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updateLinks="never" codeName="ThisWorkbook" defaultThemeVersion="166925"/>
  <mc:AlternateContent xmlns:mc="http://schemas.openxmlformats.org/markup-compatibility/2006">
    <mc:Choice Requires="x15">
      <x15ac:absPath xmlns:x15ac="http://schemas.microsoft.com/office/spreadsheetml/2010/11/ac" url="/Users/mymac/Desktop/"/>
    </mc:Choice>
  </mc:AlternateContent>
  <xr:revisionPtr revIDLastSave="0" documentId="13_ncr:1_{3E88440C-43C5-1441-A7BD-5756CB03D8F9}" xr6:coauthVersionLast="47" xr6:coauthVersionMax="47" xr10:uidLastSave="{00000000-0000-0000-0000-000000000000}"/>
  <workbookProtection workbookAlgorithmName="SHA-512" workbookHashValue="FtawDziL6a0MYu1nRR24IxJXzZvnqLH4U7NTV3HYib3wRwr2I9UvZx+/sNIzKv4oCBQL+75oAp+R8lft2kS3ZA==" workbookSaltValue="eJLtcRmrdTz7EXPBgxhR/Q==" workbookSpinCount="100000" lockStructure="1"/>
  <bookViews>
    <workbookView xWindow="2060" yWindow="500" windowWidth="32340" windowHeight="19100" tabRatio="836" xr2:uid="{00000000-000D-0000-FFFF-FFFF00000000}"/>
  </bookViews>
  <sheets>
    <sheet name="Set up ~ Config" sheetId="1" r:id="rId1"/>
    <sheet name="Jrnl Rev" sheetId="2" r:id="rId2"/>
    <sheet name="Jrnl Exp ~ Dép" sheetId="3" r:id="rId3"/>
    <sheet name="Transactions" sheetId="4" r:id="rId4"/>
    <sheet name="Reconciliation" sheetId="5" r:id="rId5"/>
    <sheet name="Budget Tracker~Suivi" sheetId="7" r:id="rId6"/>
    <sheet name="DND Claims~Réclam MDN" sheetId="24" r:id="rId7"/>
    <sheet name="Cover~Page~Titre" sheetId="11" r:id="rId8"/>
    <sheet name="ACC9 (Page 1) ID" sheetId="12" r:id="rId9"/>
    <sheet name="ACC9 (Pages 2-3) Rev" sheetId="13" r:id="rId10"/>
    <sheet name="ACC9 (Pages 4-5-6) Exp~Dép" sheetId="14" r:id="rId11"/>
    <sheet name="ACC9 (Page 7-8) Bal Sh~Bilan" sheetId="15" r:id="rId12"/>
    <sheet name="ACC9 (Pages 9-11) Assets~Immo" sheetId="16" r:id="rId13"/>
    <sheet name="T3010" sheetId="17" r:id="rId14"/>
    <sheet name="TP-985.22-V" sheetId="18" r:id="rId15"/>
    <sheet name="Remise~Tax.~Rebate" sheetId="19" r:id="rId16"/>
    <sheet name="Data~Transf.~Données" sheetId="20" r:id="rId17"/>
    <sheet name="Budget Next FY~Proch. AF" sheetId="23" r:id="rId18"/>
    <sheet name="Roll Up Pgm" sheetId="22" state="hidden" r:id="rId19"/>
  </sheets>
  <externalReferences>
    <externalReference r:id="rId20"/>
  </externalReferences>
  <definedNames>
    <definedName name="_xlnm._FilterDatabase" localSheetId="16" hidden="1">'Data~Transf.~Données'!$B$82:$O$583</definedName>
    <definedName name="_xlnm._FilterDatabase" localSheetId="3" hidden="1">Transactions!$B$8:$N$1016</definedName>
    <definedName name="BestTime" localSheetId="16">#REF!</definedName>
    <definedName name="BestTime">'Set up ~ Config'!$L$30:$L$35</definedName>
    <definedName name="_xlnm.Criteria" localSheetId="3">Transactions!#REF!</definedName>
    <definedName name="DebutAnnee">'Set up ~ Config'!$L$9</definedName>
    <definedName name="EndOfYear" localSheetId="16">#REF!</definedName>
    <definedName name="EndOfYear" localSheetId="6">'[1]Somm. Réconcil des Cptes'!$Q$4</definedName>
    <definedName name="EndOfYear" localSheetId="4">Reconciliation!$T$4</definedName>
    <definedName name="EndOfYear">#REF!</definedName>
    <definedName name="FY">'Set up ~ Config'!$P$39</definedName>
    <definedName name="jurisdiction">'ACC9 (Page 1) ID'!$O$7:$O$19</definedName>
    <definedName name="_xlnm.Print_Area" localSheetId="8">'ACC9 (Page 1) ID'!$B$1:$J$49</definedName>
    <definedName name="_xlnm.Print_Area" localSheetId="11">'ACC9 (Page 7-8) Bal Sh~Bilan'!$B$1:$N$99</definedName>
    <definedName name="_xlnm.Print_Area" localSheetId="9">'ACC9 (Pages 2-3) Rev'!$B$1:$K$69</definedName>
    <definedName name="_xlnm.Print_Area" localSheetId="10">'ACC9 (Pages 4-5-6) Exp~Dép'!$B$1:$K$121</definedName>
    <definedName name="_xlnm.Print_Area" localSheetId="12">'ACC9 (Pages 9-11) Assets~Immo'!$B$1:$J$149</definedName>
    <definedName name="_xlnm.Print_Area" localSheetId="17">'Budget Next FY~Proch. AF'!$B$1:$K$166</definedName>
    <definedName name="_xlnm.Print_Area" localSheetId="5">'Budget Tracker~Suivi'!$A$1:$J$166</definedName>
    <definedName name="_xlnm.Print_Area" localSheetId="7">'Cover~Page~Titre'!$C$1:$O$60</definedName>
    <definedName name="_xlnm.Print_Area" localSheetId="16">'Data~Transf.~Données'!$B$1:$H$83</definedName>
    <definedName name="_xlnm.Print_Area" localSheetId="6">'DND Claims~Réclam MDN'!$A$1:$AC$58</definedName>
    <definedName name="_xlnm.Print_Area" localSheetId="2">'Jrnl Exp ~ Dép'!$A$1</definedName>
    <definedName name="_xlnm.Print_Area" localSheetId="1">'Jrnl Rev'!$A$1</definedName>
    <definedName name="_xlnm.Print_Area" localSheetId="4">Reconciliation!$C$1:$N$604</definedName>
    <definedName name="_xlnm.Print_Area" localSheetId="15">'Remise~Tax.~Rebate'!$B$3:$H$128</definedName>
    <definedName name="_xlnm.Print_Area" localSheetId="0">'Set up ~ Config'!$B$1:$J$63</definedName>
    <definedName name="_xlnm.Print_Area" localSheetId="13">'T3010'!$B$1:$G$89</definedName>
    <definedName name="_xlnm.Print_Area" localSheetId="14">'TP-985.22-V'!$B$1:$G$60</definedName>
    <definedName name="_xlnm.Print_Area" localSheetId="3">Transactions!$C$1:$L$1016</definedName>
    <definedName name="_xlnm.Print_Titles" localSheetId="9">'ACC9 (Pages 2-3) Rev'!$1:$5</definedName>
    <definedName name="_xlnm.Print_Titles" localSheetId="10">'ACC9 (Pages 4-5-6) Exp~Dép'!$1:$8</definedName>
    <definedName name="_xlnm.Print_Titles" localSheetId="12">'ACC9 (Pages 9-11) Assets~Immo'!$1:$7</definedName>
    <definedName name="_xlnm.Print_Titles" localSheetId="17">'Budget Next FY~Proch. AF'!$6:$9</definedName>
    <definedName name="_xlnm.Print_Titles" localSheetId="5">'Budget Tracker~Suivi'!$1:$7</definedName>
    <definedName name="_xlnm.Print_Titles" localSheetId="6">'DND Claims~Réclam MDN'!$1:$7</definedName>
    <definedName name="_xlnm.Print_Titles" localSheetId="2">'Jrnl Exp ~ Dép'!$B:$P</definedName>
    <definedName name="_xlnm.Print_Titles" localSheetId="1">'Jrnl Rev'!$B:$Q,'Jrnl Rev'!$5:$8</definedName>
    <definedName name="_xlnm.Print_Titles" localSheetId="4">Reconciliation!$1:$4</definedName>
    <definedName name="_xlnm.Print_Titles" localSheetId="15">'Remise~Tax.~Rebate'!$3:$5</definedName>
    <definedName name="_xlnm.Print_Titles" localSheetId="0">'Set up ~ Config'!$1:$7</definedName>
    <definedName name="_xlnm.Print_Titles" localSheetId="13">'T3010'!$1:$6</definedName>
    <definedName name="_xlnm.Print_Titles" localSheetId="14">'TP-985.22-V'!$1:$6</definedName>
    <definedName name="_xlnm.Print_Titles" localSheetId="3">Transactions!$1:$8</definedName>
    <definedName name="Prov" localSheetId="16">'Data~Transf.~Données'!$P$80:$P$84</definedName>
    <definedName name="Prov" localSheetId="6">#REF!</definedName>
    <definedName name="Prov">#REF!</definedName>
    <definedName name="Rate" localSheetId="16">'Data~Transf.~Données'!$Q$80:$Q$84</definedName>
    <definedName name="Rate" localSheetId="6">#REF!</definedName>
    <definedName name="Rate">#REF!</definedName>
    <definedName name="StartOfYear">'Set up ~ Config'!$L$8</definedName>
    <definedName name="TodayDate" localSheetId="6">'[1]Réconcil Dét. Des comptes'!$T$9</definedName>
    <definedName name="TodayDate">Reconciliation!$T$10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32" i="1" l="1"/>
  <c r="G31" i="1"/>
  <c r="J94" i="15"/>
  <c r="E94" i="15"/>
  <c r="N17" i="3"/>
  <c r="O17" i="3" s="1"/>
  <c r="N18" i="3"/>
  <c r="O18" i="3"/>
  <c r="N19" i="3"/>
  <c r="O19" i="3"/>
  <c r="N20" i="3"/>
  <c r="O20" i="3"/>
  <c r="N21" i="3"/>
  <c r="O21" i="3"/>
  <c r="N22" i="3"/>
  <c r="O22" i="3"/>
  <c r="N23" i="3"/>
  <c r="O23" i="3" s="1"/>
  <c r="N24" i="3"/>
  <c r="O24" i="3" s="1"/>
  <c r="N25" i="3"/>
  <c r="O25" i="3" s="1"/>
  <c r="N26" i="3"/>
  <c r="O26" i="3" s="1"/>
  <c r="N27" i="3"/>
  <c r="O27" i="3" s="1"/>
  <c r="N28" i="3"/>
  <c r="O28" i="3" s="1"/>
  <c r="N29" i="3"/>
  <c r="O29" i="3" s="1"/>
  <c r="N30" i="3"/>
  <c r="O30" i="3" s="1"/>
  <c r="N31" i="3"/>
  <c r="O31" i="3" s="1"/>
  <c r="N32" i="3"/>
  <c r="O32" i="3" s="1"/>
  <c r="N33" i="3"/>
  <c r="O33" i="3" s="1"/>
  <c r="N34" i="3"/>
  <c r="O34" i="3" s="1"/>
  <c r="N35" i="3"/>
  <c r="O35" i="3" s="1"/>
  <c r="N36" i="3"/>
  <c r="O36" i="3" s="1"/>
  <c r="N37" i="3"/>
  <c r="O37" i="3" s="1"/>
  <c r="N38" i="3"/>
  <c r="O38" i="3" s="1"/>
  <c r="N39" i="3"/>
  <c r="O39" i="3" s="1"/>
  <c r="N40" i="3"/>
  <c r="O40" i="3" s="1"/>
  <c r="N41" i="3"/>
  <c r="O41" i="3" s="1"/>
  <c r="N42" i="3"/>
  <c r="O42" i="3" s="1"/>
  <c r="N43" i="3"/>
  <c r="O43" i="3" s="1"/>
  <c r="N44" i="3"/>
  <c r="O44" i="3" s="1"/>
  <c r="N45" i="3"/>
  <c r="O45" i="3" s="1"/>
  <c r="N46" i="3"/>
  <c r="O46" i="3" s="1"/>
  <c r="N47" i="3"/>
  <c r="O47" i="3" s="1"/>
  <c r="N48" i="3"/>
  <c r="O48" i="3" s="1"/>
  <c r="N49" i="3"/>
  <c r="O49" i="3" s="1"/>
  <c r="N50" i="3"/>
  <c r="O50" i="3" s="1"/>
  <c r="N51" i="3"/>
  <c r="O51" i="3" s="1"/>
  <c r="N52" i="3"/>
  <c r="O52" i="3" s="1"/>
  <c r="N53" i="3"/>
  <c r="O53" i="3" s="1"/>
  <c r="N54" i="3"/>
  <c r="O54" i="3" s="1"/>
  <c r="N55" i="3"/>
  <c r="O55" i="3" s="1"/>
  <c r="N56" i="3"/>
  <c r="O56" i="3" s="1"/>
  <c r="N57" i="3"/>
  <c r="O57" i="3" s="1"/>
  <c r="N58" i="3"/>
  <c r="O58" i="3" s="1"/>
  <c r="N59" i="3"/>
  <c r="O59" i="3" s="1"/>
  <c r="N60" i="3"/>
  <c r="O60" i="3" s="1"/>
  <c r="N61" i="3"/>
  <c r="O61" i="3" s="1"/>
  <c r="N62" i="3"/>
  <c r="O62" i="3" s="1"/>
  <c r="N63" i="3"/>
  <c r="O63" i="3" s="1"/>
  <c r="N64" i="3"/>
  <c r="O64" i="3" s="1"/>
  <c r="N65" i="3"/>
  <c r="O65" i="3" s="1"/>
  <c r="N66" i="3"/>
  <c r="O66" i="3" s="1"/>
  <c r="N67" i="3"/>
  <c r="O67" i="3" s="1"/>
  <c r="N68" i="3"/>
  <c r="O68" i="3" s="1"/>
  <c r="N69" i="3"/>
  <c r="O69" i="3"/>
  <c r="N70" i="3"/>
  <c r="O70" i="3" s="1"/>
  <c r="N71" i="3"/>
  <c r="O71" i="3"/>
  <c r="N72" i="3"/>
  <c r="O72" i="3" s="1"/>
  <c r="N73" i="3"/>
  <c r="O73" i="3"/>
  <c r="N74" i="3"/>
  <c r="O74" i="3" s="1"/>
  <c r="N75" i="3"/>
  <c r="O75" i="3"/>
  <c r="N76" i="3"/>
  <c r="O76" i="3" s="1"/>
  <c r="N77" i="3"/>
  <c r="O77" i="3"/>
  <c r="N78" i="3"/>
  <c r="O78" i="3" s="1"/>
  <c r="N79" i="3"/>
  <c r="O79" i="3"/>
  <c r="N80" i="3"/>
  <c r="O80" i="3" s="1"/>
  <c r="N81" i="3"/>
  <c r="O81" i="3"/>
  <c r="N82" i="3"/>
  <c r="O82" i="3" s="1"/>
  <c r="N83" i="3"/>
  <c r="O83" i="3"/>
  <c r="N84" i="3"/>
  <c r="O84" i="3" s="1"/>
  <c r="N85" i="3"/>
  <c r="O85" i="3"/>
  <c r="N86" i="3"/>
  <c r="O86" i="3" s="1"/>
  <c r="N87" i="3"/>
  <c r="O87" i="3"/>
  <c r="N88" i="3"/>
  <c r="O88" i="3" s="1"/>
  <c r="N89" i="3"/>
  <c r="O89" i="3"/>
  <c r="N90" i="3"/>
  <c r="O90" i="3" s="1"/>
  <c r="N91" i="3"/>
  <c r="O91" i="3"/>
  <c r="N92" i="3"/>
  <c r="O92" i="3" s="1"/>
  <c r="N93" i="3"/>
  <c r="O93" i="3"/>
  <c r="N94" i="3"/>
  <c r="O94" i="3" s="1"/>
  <c r="N95" i="3"/>
  <c r="O95" i="3"/>
  <c r="N96" i="3"/>
  <c r="O96" i="3" s="1"/>
  <c r="N97" i="3"/>
  <c r="O97" i="3"/>
  <c r="N98" i="3"/>
  <c r="O98" i="3" s="1"/>
  <c r="N99" i="3"/>
  <c r="O99" i="3"/>
  <c r="N100" i="3"/>
  <c r="O100" i="3" s="1"/>
  <c r="N101" i="3"/>
  <c r="O101" i="3"/>
  <c r="N102" i="3"/>
  <c r="O102" i="3" s="1"/>
  <c r="N103" i="3"/>
  <c r="O103" i="3"/>
  <c r="N104" i="3"/>
  <c r="O104" i="3" s="1"/>
  <c r="N105" i="3"/>
  <c r="O105" i="3"/>
  <c r="N106" i="3"/>
  <c r="O106" i="3" s="1"/>
  <c r="N107" i="3"/>
  <c r="O107" i="3"/>
  <c r="N108" i="3"/>
  <c r="O108" i="3" s="1"/>
  <c r="N109" i="3"/>
  <c r="O109" i="3"/>
  <c r="N110" i="3"/>
  <c r="O110" i="3"/>
  <c r="N111" i="3"/>
  <c r="O111" i="3"/>
  <c r="N112" i="3"/>
  <c r="O112" i="3"/>
  <c r="N113" i="3"/>
  <c r="O113" i="3"/>
  <c r="N114" i="3"/>
  <c r="O114" i="3"/>
  <c r="N115" i="3"/>
  <c r="O115" i="3"/>
  <c r="N116" i="3"/>
  <c r="O116" i="3"/>
  <c r="N117" i="3"/>
  <c r="O117" i="3"/>
  <c r="N118" i="3"/>
  <c r="O118" i="3"/>
  <c r="N119" i="3"/>
  <c r="O119" i="3"/>
  <c r="N120" i="3"/>
  <c r="O120" i="3"/>
  <c r="N121" i="3"/>
  <c r="O121" i="3"/>
  <c r="N122" i="3"/>
  <c r="O122" i="3"/>
  <c r="N123" i="3"/>
  <c r="O123" i="3"/>
  <c r="N124" i="3"/>
  <c r="O124" i="3"/>
  <c r="N125" i="3"/>
  <c r="O125" i="3"/>
  <c r="N126" i="3"/>
  <c r="O126" i="3"/>
  <c r="N127" i="3"/>
  <c r="O127" i="3"/>
  <c r="N128" i="3"/>
  <c r="O128" i="3"/>
  <c r="N129" i="3"/>
  <c r="O129" i="3"/>
  <c r="N130" i="3"/>
  <c r="O130" i="3"/>
  <c r="N131" i="3"/>
  <c r="O131" i="3"/>
  <c r="N132" i="3"/>
  <c r="O132" i="3"/>
  <c r="N133" i="3"/>
  <c r="O133" i="3"/>
  <c r="N134" i="3"/>
  <c r="O134" i="3"/>
  <c r="N135" i="3"/>
  <c r="O135" i="3"/>
  <c r="N136" i="3"/>
  <c r="O136" i="3"/>
  <c r="N137" i="3"/>
  <c r="O137" i="3"/>
  <c r="N138" i="3"/>
  <c r="O138" i="3"/>
  <c r="N139" i="3"/>
  <c r="O139" i="3"/>
  <c r="N140" i="3"/>
  <c r="O140" i="3"/>
  <c r="N141" i="3"/>
  <c r="O141" i="3"/>
  <c r="N142" i="3"/>
  <c r="O142" i="3"/>
  <c r="N143" i="3"/>
  <c r="O143" i="3"/>
  <c r="N144" i="3"/>
  <c r="O144" i="3"/>
  <c r="N145" i="3"/>
  <c r="O145" i="3"/>
  <c r="N146" i="3"/>
  <c r="O146" i="3"/>
  <c r="N147" i="3"/>
  <c r="O147" i="3"/>
  <c r="N148" i="3"/>
  <c r="O148" i="3"/>
  <c r="N149" i="3"/>
  <c r="O149" i="3"/>
  <c r="N150" i="3"/>
  <c r="O150" i="3"/>
  <c r="N151" i="3"/>
  <c r="O151" i="3"/>
  <c r="N152" i="3"/>
  <c r="O152" i="3"/>
  <c r="N153" i="3"/>
  <c r="O153" i="3"/>
  <c r="N154" i="3"/>
  <c r="O154" i="3"/>
  <c r="N155" i="3"/>
  <c r="O155" i="3"/>
  <c r="N156" i="3"/>
  <c r="O156" i="3"/>
  <c r="N157" i="3"/>
  <c r="O157" i="3"/>
  <c r="N158" i="3"/>
  <c r="O158" i="3"/>
  <c r="N159" i="3"/>
  <c r="O159" i="3"/>
  <c r="N160" i="3"/>
  <c r="O160" i="3"/>
  <c r="N161" i="3"/>
  <c r="O161" i="3"/>
  <c r="N162" i="3"/>
  <c r="O162" i="3"/>
  <c r="N163" i="3"/>
  <c r="O163" i="3"/>
  <c r="N164" i="3"/>
  <c r="O164" i="3"/>
  <c r="N165" i="3"/>
  <c r="O165" i="3"/>
  <c r="N166" i="3"/>
  <c r="O166" i="3"/>
  <c r="N167" i="3"/>
  <c r="O167" i="3"/>
  <c r="N168" i="3"/>
  <c r="O168" i="3"/>
  <c r="N169" i="3"/>
  <c r="O169" i="3"/>
  <c r="N170" i="3"/>
  <c r="O170" i="3"/>
  <c r="N171" i="3"/>
  <c r="O171" i="3"/>
  <c r="N172" i="3"/>
  <c r="O172" i="3"/>
  <c r="N173" i="3"/>
  <c r="O173" i="3"/>
  <c r="N174" i="3"/>
  <c r="O174" i="3"/>
  <c r="N175" i="3"/>
  <c r="O175" i="3"/>
  <c r="N176" i="3"/>
  <c r="O176" i="3"/>
  <c r="N177" i="3"/>
  <c r="O177" i="3"/>
  <c r="N178" i="3"/>
  <c r="O178" i="3"/>
  <c r="N179" i="3"/>
  <c r="O179" i="3"/>
  <c r="N180" i="3"/>
  <c r="O180" i="3"/>
  <c r="N181" i="3"/>
  <c r="O181" i="3"/>
  <c r="N182" i="3"/>
  <c r="O182" i="3"/>
  <c r="N183" i="3"/>
  <c r="O183" i="3"/>
  <c r="N184" i="3"/>
  <c r="O184" i="3"/>
  <c r="N185" i="3"/>
  <c r="O185" i="3"/>
  <c r="N186" i="3"/>
  <c r="O186" i="3"/>
  <c r="N187" i="3"/>
  <c r="O187" i="3"/>
  <c r="N188" i="3"/>
  <c r="O188" i="3"/>
  <c r="N189" i="3"/>
  <c r="O189" i="3"/>
  <c r="N190" i="3"/>
  <c r="O190" i="3"/>
  <c r="N191" i="3"/>
  <c r="O191" i="3"/>
  <c r="N192" i="3"/>
  <c r="O192" i="3"/>
  <c r="N193" i="3"/>
  <c r="O193" i="3"/>
  <c r="N194" i="3"/>
  <c r="O194" i="3"/>
  <c r="N195" i="3"/>
  <c r="O195" i="3"/>
  <c r="N196" i="3"/>
  <c r="O196" i="3"/>
  <c r="N197" i="3"/>
  <c r="O197" i="3"/>
  <c r="N198" i="3"/>
  <c r="O198" i="3"/>
  <c r="N199" i="3"/>
  <c r="O199" i="3"/>
  <c r="N200" i="3"/>
  <c r="O200" i="3"/>
  <c r="N201" i="3"/>
  <c r="O201" i="3"/>
  <c r="N202" i="3"/>
  <c r="O202" i="3"/>
  <c r="N203" i="3"/>
  <c r="O203" i="3"/>
  <c r="N204" i="3"/>
  <c r="O204" i="3"/>
  <c r="N205" i="3"/>
  <c r="O205" i="3"/>
  <c r="N206" i="3"/>
  <c r="O206" i="3"/>
  <c r="N207" i="3"/>
  <c r="O207" i="3"/>
  <c r="N208" i="3"/>
  <c r="O208" i="3"/>
  <c r="N209" i="3"/>
  <c r="O209" i="3"/>
  <c r="N210" i="3"/>
  <c r="O210" i="3"/>
  <c r="N211" i="3"/>
  <c r="O211" i="3"/>
  <c r="N212" i="3"/>
  <c r="O212" i="3"/>
  <c r="N213" i="3"/>
  <c r="O213" i="3"/>
  <c r="N214" i="3"/>
  <c r="O214" i="3"/>
  <c r="N215" i="3"/>
  <c r="O215" i="3"/>
  <c r="N216" i="3"/>
  <c r="O216" i="3"/>
  <c r="N217" i="3"/>
  <c r="O217" i="3"/>
  <c r="N218" i="3"/>
  <c r="O218" i="3"/>
  <c r="N219" i="3"/>
  <c r="O219" i="3"/>
  <c r="N220" i="3"/>
  <c r="O220" i="3"/>
  <c r="N221" i="3"/>
  <c r="O221" i="3"/>
  <c r="N222" i="3"/>
  <c r="O222" i="3"/>
  <c r="N223" i="3"/>
  <c r="O223" i="3"/>
  <c r="N224" i="3"/>
  <c r="O224" i="3"/>
  <c r="N225" i="3"/>
  <c r="O225" i="3"/>
  <c r="N226" i="3"/>
  <c r="O226" i="3"/>
  <c r="N227" i="3"/>
  <c r="O227" i="3"/>
  <c r="N228" i="3"/>
  <c r="O228" i="3"/>
  <c r="N229" i="3"/>
  <c r="O229" i="3"/>
  <c r="N230" i="3"/>
  <c r="O230" i="3"/>
  <c r="N231" i="3"/>
  <c r="O231" i="3"/>
  <c r="N232" i="3"/>
  <c r="O232" i="3"/>
  <c r="N233" i="3"/>
  <c r="O233" i="3"/>
  <c r="N234" i="3"/>
  <c r="O234" i="3"/>
  <c r="N235" i="3"/>
  <c r="O235" i="3"/>
  <c r="N236" i="3"/>
  <c r="O236" i="3"/>
  <c r="N237" i="3"/>
  <c r="O237" i="3"/>
  <c r="N238" i="3"/>
  <c r="O238" i="3"/>
  <c r="N239" i="3"/>
  <c r="O239" i="3"/>
  <c r="N240" i="3"/>
  <c r="O240" i="3"/>
  <c r="N241" i="3"/>
  <c r="O241" i="3"/>
  <c r="N242" i="3"/>
  <c r="O242" i="3"/>
  <c r="N243" i="3"/>
  <c r="O243" i="3"/>
  <c r="N244" i="3"/>
  <c r="O244" i="3"/>
  <c r="N245" i="3"/>
  <c r="O245" i="3"/>
  <c r="N246" i="3"/>
  <c r="O246" i="3"/>
  <c r="N247" i="3"/>
  <c r="O247" i="3"/>
  <c r="N248" i="3"/>
  <c r="O248" i="3"/>
  <c r="N249" i="3"/>
  <c r="O249" i="3"/>
  <c r="N250" i="3"/>
  <c r="O250" i="3"/>
  <c r="N251" i="3"/>
  <c r="O251" i="3"/>
  <c r="N252" i="3"/>
  <c r="O252" i="3"/>
  <c r="N253" i="3"/>
  <c r="O253" i="3"/>
  <c r="N254" i="3"/>
  <c r="O254" i="3"/>
  <c r="N255" i="3"/>
  <c r="O255" i="3"/>
  <c r="N256" i="3"/>
  <c r="O256" i="3"/>
  <c r="N257" i="3"/>
  <c r="O257" i="3"/>
  <c r="N258" i="3"/>
  <c r="O258" i="3"/>
  <c r="N259" i="3"/>
  <c r="O259" i="3"/>
  <c r="N260" i="3"/>
  <c r="O260" i="3"/>
  <c r="N261" i="3"/>
  <c r="O261" i="3"/>
  <c r="N262" i="3"/>
  <c r="O262" i="3"/>
  <c r="N263" i="3"/>
  <c r="O263" i="3"/>
  <c r="N264" i="3"/>
  <c r="O264" i="3"/>
  <c r="N265" i="3"/>
  <c r="O265" i="3"/>
  <c r="N266" i="3"/>
  <c r="O266" i="3"/>
  <c r="N267" i="3"/>
  <c r="O267" i="3"/>
  <c r="N268" i="3"/>
  <c r="O268" i="3"/>
  <c r="N269" i="3"/>
  <c r="O269" i="3"/>
  <c r="N270" i="3"/>
  <c r="O270" i="3"/>
  <c r="N271" i="3"/>
  <c r="O271" i="3"/>
  <c r="N272" i="3"/>
  <c r="O272" i="3"/>
  <c r="N273" i="3"/>
  <c r="O273" i="3"/>
  <c r="N274" i="3"/>
  <c r="O274" i="3"/>
  <c r="N275" i="3"/>
  <c r="O275" i="3"/>
  <c r="N276" i="3"/>
  <c r="O276" i="3"/>
  <c r="N277" i="3"/>
  <c r="O277" i="3"/>
  <c r="N278" i="3"/>
  <c r="O278" i="3"/>
  <c r="N279" i="3"/>
  <c r="O279" i="3"/>
  <c r="N280" i="3"/>
  <c r="O280" i="3"/>
  <c r="N281" i="3"/>
  <c r="O281" i="3"/>
  <c r="N282" i="3"/>
  <c r="O282" i="3"/>
  <c r="N283" i="3"/>
  <c r="O283" i="3"/>
  <c r="N284" i="3"/>
  <c r="O284" i="3"/>
  <c r="N285" i="3"/>
  <c r="O285" i="3"/>
  <c r="N286" i="3"/>
  <c r="O286" i="3"/>
  <c r="N287" i="3"/>
  <c r="O287" i="3"/>
  <c r="N288" i="3"/>
  <c r="O288" i="3"/>
  <c r="N289" i="3"/>
  <c r="O289" i="3"/>
  <c r="N290" i="3"/>
  <c r="O290" i="3"/>
  <c r="N291" i="3"/>
  <c r="O291" i="3"/>
  <c r="N292" i="3"/>
  <c r="O292" i="3"/>
  <c r="N293" i="3"/>
  <c r="O293" i="3"/>
  <c r="N294" i="3"/>
  <c r="O294" i="3"/>
  <c r="N295" i="3"/>
  <c r="O295" i="3"/>
  <c r="N296" i="3"/>
  <c r="O296" i="3"/>
  <c r="N297" i="3"/>
  <c r="O297" i="3"/>
  <c r="N298" i="3"/>
  <c r="O298" i="3"/>
  <c r="N299" i="3"/>
  <c r="O299" i="3"/>
  <c r="N300" i="3"/>
  <c r="O300" i="3"/>
  <c r="N301" i="3"/>
  <c r="O301" i="3"/>
  <c r="N302" i="3"/>
  <c r="O302" i="3"/>
  <c r="N303" i="3"/>
  <c r="O303" i="3"/>
  <c r="N304" i="3"/>
  <c r="O304" i="3"/>
  <c r="N305" i="3"/>
  <c r="O305" i="3"/>
  <c r="N306" i="3"/>
  <c r="O306" i="3"/>
  <c r="N307" i="3"/>
  <c r="O307" i="3"/>
  <c r="N308" i="3"/>
  <c r="O308" i="3"/>
  <c r="N309" i="3"/>
  <c r="O309" i="3"/>
  <c r="N310" i="3"/>
  <c r="O310" i="3"/>
  <c r="N311" i="3"/>
  <c r="O311" i="3"/>
  <c r="N312" i="3"/>
  <c r="O312" i="3"/>
  <c r="N313" i="3"/>
  <c r="O313" i="3"/>
  <c r="N314" i="3"/>
  <c r="O314" i="3"/>
  <c r="N315" i="3"/>
  <c r="O315" i="3"/>
  <c r="N316" i="3"/>
  <c r="O316" i="3"/>
  <c r="N317" i="3"/>
  <c r="O317" i="3"/>
  <c r="N318" i="3"/>
  <c r="O318" i="3"/>
  <c r="N319" i="3"/>
  <c r="O319" i="3"/>
  <c r="N320" i="3"/>
  <c r="O320" i="3"/>
  <c r="N321" i="3"/>
  <c r="O321" i="3"/>
  <c r="N322" i="3"/>
  <c r="O322" i="3"/>
  <c r="N323" i="3"/>
  <c r="O323" i="3"/>
  <c r="N324" i="3"/>
  <c r="O324" i="3"/>
  <c r="N325" i="3"/>
  <c r="O325" i="3"/>
  <c r="N326" i="3"/>
  <c r="O326" i="3"/>
  <c r="N327" i="3"/>
  <c r="O327" i="3"/>
  <c r="N328" i="3"/>
  <c r="O328" i="3"/>
  <c r="N329" i="3"/>
  <c r="O329" i="3"/>
  <c r="N330" i="3"/>
  <c r="O330" i="3"/>
  <c r="N331" i="3"/>
  <c r="O331" i="3"/>
  <c r="N332" i="3"/>
  <c r="O332" i="3"/>
  <c r="N333" i="3"/>
  <c r="O333" i="3"/>
  <c r="N334" i="3"/>
  <c r="O334" i="3"/>
  <c r="N335" i="3"/>
  <c r="O335" i="3"/>
  <c r="N336" i="3"/>
  <c r="O336" i="3"/>
  <c r="N337" i="3"/>
  <c r="O337" i="3"/>
  <c r="N338" i="3"/>
  <c r="O338" i="3"/>
  <c r="N339" i="3"/>
  <c r="O339" i="3"/>
  <c r="N340" i="3"/>
  <c r="O340" i="3"/>
  <c r="N341" i="3"/>
  <c r="O341" i="3"/>
  <c r="N342" i="3"/>
  <c r="O342" i="3"/>
  <c r="N343" i="3"/>
  <c r="O343" i="3"/>
  <c r="N344" i="3"/>
  <c r="O344" i="3"/>
  <c r="N345" i="3"/>
  <c r="O345" i="3"/>
  <c r="N346" i="3"/>
  <c r="O346" i="3"/>
  <c r="N347" i="3"/>
  <c r="O347" i="3"/>
  <c r="N348" i="3"/>
  <c r="O348" i="3"/>
  <c r="N349" i="3"/>
  <c r="O349" i="3"/>
  <c r="N350" i="3"/>
  <c r="O350" i="3"/>
  <c r="N351" i="3"/>
  <c r="O351" i="3"/>
  <c r="N352" i="3"/>
  <c r="O352" i="3"/>
  <c r="N353" i="3"/>
  <c r="O353" i="3"/>
  <c r="N354" i="3"/>
  <c r="O354" i="3"/>
  <c r="N355" i="3"/>
  <c r="O355" i="3"/>
  <c r="N356" i="3"/>
  <c r="O356" i="3"/>
  <c r="N357" i="3"/>
  <c r="O357" i="3"/>
  <c r="N358" i="3"/>
  <c r="O358" i="3"/>
  <c r="N359" i="3"/>
  <c r="O359" i="3"/>
  <c r="N360" i="3"/>
  <c r="O360" i="3"/>
  <c r="N361" i="3"/>
  <c r="O361" i="3"/>
  <c r="N362" i="3"/>
  <c r="O362" i="3"/>
  <c r="N363" i="3"/>
  <c r="O363" i="3"/>
  <c r="N364" i="3"/>
  <c r="O364" i="3"/>
  <c r="N365" i="3"/>
  <c r="O365" i="3"/>
  <c r="N366" i="3"/>
  <c r="O366" i="3"/>
  <c r="N367" i="3"/>
  <c r="O367" i="3"/>
  <c r="N368" i="3"/>
  <c r="O368" i="3"/>
  <c r="N369" i="3"/>
  <c r="O369" i="3"/>
  <c r="N370" i="3"/>
  <c r="O370" i="3"/>
  <c r="N371" i="3"/>
  <c r="O371" i="3"/>
  <c r="N372" i="3"/>
  <c r="O372" i="3"/>
  <c r="N373" i="3"/>
  <c r="O373" i="3"/>
  <c r="N374" i="3"/>
  <c r="O374" i="3"/>
  <c r="N375" i="3"/>
  <c r="O375" i="3"/>
  <c r="N376" i="3"/>
  <c r="O376" i="3"/>
  <c r="N377" i="3"/>
  <c r="O377" i="3"/>
  <c r="N378" i="3"/>
  <c r="O378" i="3"/>
  <c r="N379" i="3"/>
  <c r="O379" i="3"/>
  <c r="N380" i="3"/>
  <c r="O380" i="3"/>
  <c r="N381" i="3"/>
  <c r="O381" i="3"/>
  <c r="N382" i="3"/>
  <c r="O382" i="3"/>
  <c r="N383" i="3"/>
  <c r="O383" i="3"/>
  <c r="N384" i="3"/>
  <c r="O384" i="3"/>
  <c r="N385" i="3"/>
  <c r="O385" i="3"/>
  <c r="N386" i="3"/>
  <c r="O386" i="3"/>
  <c r="N387" i="3"/>
  <c r="O387" i="3"/>
  <c r="N388" i="3"/>
  <c r="O388" i="3"/>
  <c r="N389" i="3"/>
  <c r="O389" i="3"/>
  <c r="N390" i="3"/>
  <c r="O390" i="3"/>
  <c r="N391" i="3"/>
  <c r="O391" i="3"/>
  <c r="N392" i="3"/>
  <c r="O392" i="3"/>
  <c r="N393" i="3"/>
  <c r="O393" i="3"/>
  <c r="N394" i="3"/>
  <c r="O394" i="3"/>
  <c r="N395" i="3"/>
  <c r="O395" i="3"/>
  <c r="N396" i="3"/>
  <c r="O396" i="3"/>
  <c r="N397" i="3"/>
  <c r="O397" i="3"/>
  <c r="N398" i="3"/>
  <c r="O398" i="3"/>
  <c r="N399" i="3"/>
  <c r="O399" i="3"/>
  <c r="N400" i="3"/>
  <c r="O400" i="3"/>
  <c r="N401" i="3"/>
  <c r="O401" i="3"/>
  <c r="N402" i="3"/>
  <c r="O402" i="3"/>
  <c r="N403" i="3"/>
  <c r="O403" i="3"/>
  <c r="N404" i="3"/>
  <c r="O404" i="3"/>
  <c r="N405" i="3"/>
  <c r="O405" i="3"/>
  <c r="N406" i="3"/>
  <c r="O406" i="3"/>
  <c r="N407" i="3"/>
  <c r="O407" i="3"/>
  <c r="N408" i="3"/>
  <c r="O408" i="3"/>
  <c r="N409" i="3"/>
  <c r="O409" i="3"/>
  <c r="N410" i="3"/>
  <c r="O410" i="3"/>
  <c r="N411" i="3"/>
  <c r="O411" i="3"/>
  <c r="N412" i="3"/>
  <c r="O412" i="3"/>
  <c r="N413" i="3"/>
  <c r="O413" i="3"/>
  <c r="N414" i="3"/>
  <c r="O414" i="3"/>
  <c r="N415" i="3"/>
  <c r="O415" i="3"/>
  <c r="N416" i="3"/>
  <c r="O416" i="3"/>
  <c r="N417" i="3"/>
  <c r="O417" i="3"/>
  <c r="N418" i="3"/>
  <c r="O418" i="3"/>
  <c r="N419" i="3"/>
  <c r="O419" i="3"/>
  <c r="N420" i="3"/>
  <c r="O420" i="3"/>
  <c r="N421" i="3"/>
  <c r="O421" i="3"/>
  <c r="N422" i="3"/>
  <c r="O422" i="3"/>
  <c r="N423" i="3"/>
  <c r="O423" i="3"/>
  <c r="N424" i="3"/>
  <c r="O424" i="3"/>
  <c r="N425" i="3"/>
  <c r="O425" i="3"/>
  <c r="N426" i="3"/>
  <c r="O426" i="3"/>
  <c r="N427" i="3"/>
  <c r="O427" i="3"/>
  <c r="N428" i="3"/>
  <c r="O428" i="3"/>
  <c r="N429" i="3"/>
  <c r="O429" i="3"/>
  <c r="N430" i="3"/>
  <c r="O430" i="3"/>
  <c r="N431" i="3"/>
  <c r="O431" i="3"/>
  <c r="N432" i="3"/>
  <c r="O432" i="3"/>
  <c r="N433" i="3"/>
  <c r="O433" i="3"/>
  <c r="N434" i="3"/>
  <c r="O434" i="3"/>
  <c r="N435" i="3"/>
  <c r="O435" i="3"/>
  <c r="N436" i="3"/>
  <c r="O436" i="3"/>
  <c r="N437" i="3"/>
  <c r="O437" i="3"/>
  <c r="N438" i="3"/>
  <c r="O438" i="3"/>
  <c r="N439" i="3"/>
  <c r="O439" i="3"/>
  <c r="N440" i="3"/>
  <c r="O440" i="3"/>
  <c r="N441" i="3"/>
  <c r="O441" i="3"/>
  <c r="N442" i="3"/>
  <c r="O442" i="3"/>
  <c r="N443" i="3"/>
  <c r="O443" i="3"/>
  <c r="N444" i="3"/>
  <c r="O444" i="3"/>
  <c r="N445" i="3"/>
  <c r="O445" i="3"/>
  <c r="N446" i="3"/>
  <c r="O446" i="3"/>
  <c r="N447" i="3"/>
  <c r="O447" i="3"/>
  <c r="N448" i="3"/>
  <c r="O448" i="3"/>
  <c r="N449" i="3"/>
  <c r="O449" i="3"/>
  <c r="N450" i="3"/>
  <c r="O450" i="3"/>
  <c r="N451" i="3"/>
  <c r="O451" i="3"/>
  <c r="N452" i="3"/>
  <c r="O452" i="3"/>
  <c r="N453" i="3"/>
  <c r="O453" i="3"/>
  <c r="N454" i="3"/>
  <c r="O454" i="3"/>
  <c r="N455" i="3"/>
  <c r="O455" i="3"/>
  <c r="N456" i="3"/>
  <c r="O456" i="3"/>
  <c r="N457" i="3"/>
  <c r="O457" i="3"/>
  <c r="N458" i="3"/>
  <c r="O458" i="3"/>
  <c r="N459" i="3"/>
  <c r="O459" i="3"/>
  <c r="N460" i="3"/>
  <c r="O460" i="3"/>
  <c r="N461" i="3"/>
  <c r="O461" i="3"/>
  <c r="N462" i="3"/>
  <c r="O462" i="3"/>
  <c r="N463" i="3"/>
  <c r="O463" i="3"/>
  <c r="N464" i="3"/>
  <c r="O464" i="3"/>
  <c r="N465" i="3"/>
  <c r="O465" i="3"/>
  <c r="N466" i="3"/>
  <c r="O466" i="3"/>
  <c r="N467" i="3"/>
  <c r="O467" i="3"/>
  <c r="N468" i="3"/>
  <c r="O468" i="3"/>
  <c r="N469" i="3"/>
  <c r="O469" i="3"/>
  <c r="N470" i="3"/>
  <c r="O470" i="3"/>
  <c r="N471" i="3"/>
  <c r="O471" i="3"/>
  <c r="N472" i="3"/>
  <c r="O472" i="3"/>
  <c r="N473" i="3"/>
  <c r="O473" i="3"/>
  <c r="N474" i="3"/>
  <c r="O474" i="3"/>
  <c r="N475" i="3"/>
  <c r="O475" i="3"/>
  <c r="N476" i="3"/>
  <c r="O476" i="3"/>
  <c r="N477" i="3"/>
  <c r="O477" i="3"/>
  <c r="N478" i="3"/>
  <c r="O478" i="3"/>
  <c r="N479" i="3"/>
  <c r="O479" i="3"/>
  <c r="N480" i="3"/>
  <c r="O480" i="3"/>
  <c r="N481" i="3"/>
  <c r="O481" i="3"/>
  <c r="N482" i="3"/>
  <c r="O482" i="3"/>
  <c r="N483" i="3"/>
  <c r="O483" i="3"/>
  <c r="N484" i="3"/>
  <c r="O484" i="3"/>
  <c r="N485" i="3"/>
  <c r="O485" i="3"/>
  <c r="N486" i="3"/>
  <c r="O486" i="3"/>
  <c r="N487" i="3"/>
  <c r="O487" i="3"/>
  <c r="N488" i="3"/>
  <c r="O488" i="3"/>
  <c r="N489" i="3"/>
  <c r="O489" i="3"/>
  <c r="N490" i="3"/>
  <c r="O490" i="3"/>
  <c r="N491" i="3"/>
  <c r="O491" i="3"/>
  <c r="N492" i="3"/>
  <c r="O492" i="3"/>
  <c r="N493" i="3"/>
  <c r="O493" i="3"/>
  <c r="N494" i="3"/>
  <c r="O494" i="3"/>
  <c r="N495" i="3"/>
  <c r="O495" i="3"/>
  <c r="N496" i="3"/>
  <c r="O496" i="3"/>
  <c r="N497" i="3"/>
  <c r="O497" i="3"/>
  <c r="N498" i="3"/>
  <c r="O498" i="3"/>
  <c r="N499" i="3"/>
  <c r="O499" i="3"/>
  <c r="N500" i="3"/>
  <c r="O500" i="3"/>
  <c r="N501" i="3"/>
  <c r="O501" i="3"/>
  <c r="N502" i="3"/>
  <c r="O502" i="3"/>
  <c r="N503" i="3"/>
  <c r="O503" i="3"/>
  <c r="N504" i="3"/>
  <c r="O504" i="3"/>
  <c r="N505" i="3"/>
  <c r="O505" i="3"/>
  <c r="N506" i="3"/>
  <c r="O506" i="3"/>
  <c r="N507" i="3"/>
  <c r="O507" i="3"/>
  <c r="N508" i="3"/>
  <c r="O508" i="3"/>
  <c r="N509" i="3"/>
  <c r="O509" i="3"/>
  <c r="N510" i="3"/>
  <c r="O510" i="3"/>
  <c r="N511" i="3"/>
  <c r="O511" i="3"/>
  <c r="N512" i="3"/>
  <c r="O512" i="3"/>
  <c r="N513" i="3"/>
  <c r="O513" i="3"/>
  <c r="N514" i="3"/>
  <c r="O514" i="3"/>
  <c r="N515" i="3"/>
  <c r="O515" i="3"/>
  <c r="N16" i="3"/>
  <c r="O16" i="3" s="1"/>
  <c r="L97" i="15" l="1"/>
  <c r="N17" i="2"/>
  <c r="O17" i="2"/>
  <c r="N18" i="2"/>
  <c r="O18" i="2" s="1"/>
  <c r="N19" i="2"/>
  <c r="O19" i="2" s="1"/>
  <c r="N20" i="2"/>
  <c r="O20" i="2" s="1"/>
  <c r="N21" i="2"/>
  <c r="O21" i="2" s="1"/>
  <c r="N22" i="2"/>
  <c r="O22" i="2" s="1"/>
  <c r="N23" i="2"/>
  <c r="O23" i="2"/>
  <c r="N24" i="2"/>
  <c r="O24" i="2" s="1"/>
  <c r="N25" i="2"/>
  <c r="O25" i="2"/>
  <c r="N26" i="2"/>
  <c r="O26" i="2" s="1"/>
  <c r="N27" i="2"/>
  <c r="O27" i="2" s="1"/>
  <c r="N28" i="2"/>
  <c r="O28" i="2" s="1"/>
  <c r="N29" i="2"/>
  <c r="O29" i="2" s="1"/>
  <c r="N30" i="2"/>
  <c r="O30" i="2" s="1"/>
  <c r="N31" i="2"/>
  <c r="O31" i="2" s="1"/>
  <c r="N32" i="2"/>
  <c r="O32" i="2" s="1"/>
  <c r="N33" i="2"/>
  <c r="O33" i="2" s="1"/>
  <c r="N34" i="2"/>
  <c r="O34" i="2"/>
  <c r="N35" i="2"/>
  <c r="O35" i="2" s="1"/>
  <c r="N36" i="2"/>
  <c r="O36" i="2" s="1"/>
  <c r="N37" i="2"/>
  <c r="O37" i="2"/>
  <c r="N38" i="2"/>
  <c r="O38" i="2" s="1"/>
  <c r="N39" i="2"/>
  <c r="O39" i="2" s="1"/>
  <c r="N40" i="2"/>
  <c r="O40" i="2" s="1"/>
  <c r="N41" i="2"/>
  <c r="O41" i="2" s="1"/>
  <c r="N42" i="2"/>
  <c r="O42" i="2" s="1"/>
  <c r="N43" i="2"/>
  <c r="O43" i="2" s="1"/>
  <c r="N44" i="2"/>
  <c r="O44" i="2" s="1"/>
  <c r="N45" i="2"/>
  <c r="O45" i="2"/>
  <c r="N46" i="2"/>
  <c r="O46" i="2" s="1"/>
  <c r="N47" i="2"/>
  <c r="O47" i="2" s="1"/>
  <c r="N48" i="2"/>
  <c r="O48" i="2" s="1"/>
  <c r="N49" i="2"/>
  <c r="O49" i="2" s="1"/>
  <c r="N50" i="2"/>
  <c r="O50" i="2" s="1"/>
  <c r="N51" i="2"/>
  <c r="O51" i="2" s="1"/>
  <c r="N52" i="2"/>
  <c r="O52" i="2" s="1"/>
  <c r="N53" i="2"/>
  <c r="O53" i="2" s="1"/>
  <c r="N54" i="2"/>
  <c r="O54" i="2" s="1"/>
  <c r="N55" i="2"/>
  <c r="O55" i="2" s="1"/>
  <c r="N56" i="2"/>
  <c r="O56" i="2" s="1"/>
  <c r="N57" i="2"/>
  <c r="O57" i="2" s="1"/>
  <c r="N58" i="2"/>
  <c r="O58" i="2" s="1"/>
  <c r="N59" i="2"/>
  <c r="O59" i="2" s="1"/>
  <c r="N60" i="2"/>
  <c r="O60" i="2" s="1"/>
  <c r="N61" i="2"/>
  <c r="O61" i="2" s="1"/>
  <c r="N62" i="2"/>
  <c r="O62" i="2" s="1"/>
  <c r="N63" i="2"/>
  <c r="O63" i="2" s="1"/>
  <c r="N64" i="2"/>
  <c r="O64" i="2"/>
  <c r="N65" i="2"/>
  <c r="O65" i="2" s="1"/>
  <c r="N66" i="2"/>
  <c r="O66" i="2" s="1"/>
  <c r="N67" i="2"/>
  <c r="O67" i="2"/>
  <c r="N68" i="2"/>
  <c r="O68" i="2" s="1"/>
  <c r="N69" i="2"/>
  <c r="O69" i="2" s="1"/>
  <c r="N70" i="2"/>
  <c r="O70" i="2"/>
  <c r="N71" i="2"/>
  <c r="O71" i="2" s="1"/>
  <c r="N72" i="2"/>
  <c r="O72" i="2" s="1"/>
  <c r="N73" i="2"/>
  <c r="O73" i="2" s="1"/>
  <c r="N74" i="2"/>
  <c r="O74" i="2" s="1"/>
  <c r="N75" i="2"/>
  <c r="O75" i="2" s="1"/>
  <c r="N76" i="2"/>
  <c r="O76" i="2" s="1"/>
  <c r="N77" i="2"/>
  <c r="O77" i="2" s="1"/>
  <c r="N78" i="2"/>
  <c r="O78" i="2" s="1"/>
  <c r="N79" i="2"/>
  <c r="O79" i="2"/>
  <c r="N80" i="2"/>
  <c r="O80" i="2" s="1"/>
  <c r="N81" i="2"/>
  <c r="O81" i="2"/>
  <c r="N82" i="2"/>
  <c r="O82" i="2" s="1"/>
  <c r="N83" i="2"/>
  <c r="O83" i="2" s="1"/>
  <c r="N84" i="2"/>
  <c r="O84" i="2" s="1"/>
  <c r="N85" i="2"/>
  <c r="O85" i="2" s="1"/>
  <c r="N86" i="2"/>
  <c r="O86" i="2" s="1"/>
  <c r="N87" i="2"/>
  <c r="O87" i="2" s="1"/>
  <c r="N88" i="2"/>
  <c r="O88" i="2" s="1"/>
  <c r="N89" i="2"/>
  <c r="O89" i="2" s="1"/>
  <c r="N90" i="2"/>
  <c r="O90" i="2"/>
  <c r="N91" i="2"/>
  <c r="O91" i="2" s="1"/>
  <c r="N92" i="2"/>
  <c r="O92" i="2"/>
  <c r="N93" i="2"/>
  <c r="O93" i="2" s="1"/>
  <c r="N94" i="2"/>
  <c r="O94" i="2" s="1"/>
  <c r="N95" i="2"/>
  <c r="O95" i="2" s="1"/>
  <c r="N96" i="2"/>
  <c r="O96" i="2" s="1"/>
  <c r="N97" i="2"/>
  <c r="O97" i="2" s="1"/>
  <c r="N98" i="2"/>
  <c r="O98" i="2" s="1"/>
  <c r="N99" i="2"/>
  <c r="O99" i="2" s="1"/>
  <c r="N100" i="2"/>
  <c r="O100" i="2" s="1"/>
  <c r="N101" i="2"/>
  <c r="O101" i="2"/>
  <c r="N102" i="2"/>
  <c r="O102" i="2" s="1"/>
  <c r="N103" i="2"/>
  <c r="O103" i="2" s="1"/>
  <c r="N104" i="2"/>
  <c r="O104" i="2"/>
  <c r="N105" i="2"/>
  <c r="O105" i="2" s="1"/>
  <c r="N106" i="2"/>
  <c r="O106" i="2" s="1"/>
  <c r="N107" i="2"/>
  <c r="O107" i="2"/>
  <c r="N108" i="2"/>
  <c r="O108" i="2" s="1"/>
  <c r="N109" i="2"/>
  <c r="O109" i="2" s="1"/>
  <c r="N110" i="2"/>
  <c r="O110" i="2" s="1"/>
  <c r="N111" i="2"/>
  <c r="O111" i="2" s="1"/>
  <c r="N112" i="2"/>
  <c r="O112" i="2"/>
  <c r="N113" i="2"/>
  <c r="O113" i="2" s="1"/>
  <c r="N114" i="2"/>
  <c r="O114" i="2" s="1"/>
  <c r="N115" i="2"/>
  <c r="O115" i="2" s="1"/>
  <c r="N116" i="2"/>
  <c r="O116" i="2" s="1"/>
  <c r="N117" i="2"/>
  <c r="O117" i="2" s="1"/>
  <c r="N118" i="2"/>
  <c r="O118" i="2" s="1"/>
  <c r="N119" i="2"/>
  <c r="O119" i="2" s="1"/>
  <c r="N120" i="2"/>
  <c r="O120" i="2" s="1"/>
  <c r="N121" i="2"/>
  <c r="O121" i="2" s="1"/>
  <c r="N122" i="2"/>
  <c r="O122" i="2"/>
  <c r="N123" i="2"/>
  <c r="O123" i="2" s="1"/>
  <c r="N124" i="2"/>
  <c r="O124" i="2" s="1"/>
  <c r="N125" i="2"/>
  <c r="O125" i="2" s="1"/>
  <c r="N126" i="2"/>
  <c r="O126" i="2" s="1"/>
  <c r="N127" i="2"/>
  <c r="O127" i="2" s="1"/>
  <c r="N128" i="2"/>
  <c r="O128" i="2" s="1"/>
  <c r="N129" i="2"/>
  <c r="O129" i="2" s="1"/>
  <c r="N130" i="2"/>
  <c r="O130" i="2" s="1"/>
  <c r="N131" i="2"/>
  <c r="O131" i="2"/>
  <c r="N132" i="2"/>
  <c r="O132" i="2" s="1"/>
  <c r="N133" i="2"/>
  <c r="O133" i="2"/>
  <c r="N134" i="2"/>
  <c r="O134" i="2" s="1"/>
  <c r="N135" i="2"/>
  <c r="O135" i="2"/>
  <c r="N136" i="2"/>
  <c r="O136" i="2" s="1"/>
  <c r="N137" i="2"/>
  <c r="O137" i="2" s="1"/>
  <c r="N138" i="2"/>
  <c r="O138" i="2" s="1"/>
  <c r="N139" i="2"/>
  <c r="O139" i="2" s="1"/>
  <c r="N140" i="2"/>
  <c r="O140" i="2" s="1"/>
  <c r="N141" i="2"/>
  <c r="O141" i="2" s="1"/>
  <c r="N142" i="2"/>
  <c r="O142" i="2" s="1"/>
  <c r="N143" i="2"/>
  <c r="O143" i="2" s="1"/>
  <c r="N144" i="2"/>
  <c r="O144" i="2" s="1"/>
  <c r="N145" i="2"/>
  <c r="O145" i="2" s="1"/>
  <c r="N146" i="2"/>
  <c r="O146" i="2" s="1"/>
  <c r="N147" i="2"/>
  <c r="O147" i="2" s="1"/>
  <c r="N148" i="2"/>
  <c r="O148" i="2" s="1"/>
  <c r="N149" i="2"/>
  <c r="O149" i="2"/>
  <c r="N150" i="2"/>
  <c r="O150" i="2" s="1"/>
  <c r="N151" i="2"/>
  <c r="O151" i="2" s="1"/>
  <c r="N152" i="2"/>
  <c r="O152" i="2" s="1"/>
  <c r="N153" i="2"/>
  <c r="O153" i="2" s="1"/>
  <c r="N154" i="2"/>
  <c r="O154" i="2" s="1"/>
  <c r="N155" i="2"/>
  <c r="O155" i="2" s="1"/>
  <c r="N156" i="2"/>
  <c r="O156" i="2" s="1"/>
  <c r="N157" i="2"/>
  <c r="O157" i="2" s="1"/>
  <c r="N158" i="2"/>
  <c r="O158" i="2" s="1"/>
  <c r="N159" i="2"/>
  <c r="O159" i="2"/>
  <c r="N160" i="2"/>
  <c r="O160" i="2" s="1"/>
  <c r="N161" i="2"/>
  <c r="O161" i="2" s="1"/>
  <c r="N162" i="2"/>
  <c r="O162" i="2" s="1"/>
  <c r="N163" i="2"/>
  <c r="O163" i="2" s="1"/>
  <c r="N164" i="2"/>
  <c r="O164" i="2" s="1"/>
  <c r="N165" i="2"/>
  <c r="O165" i="2" s="1"/>
  <c r="N166" i="2"/>
  <c r="O166" i="2" s="1"/>
  <c r="N167" i="2"/>
  <c r="O167" i="2" s="1"/>
  <c r="N168" i="2"/>
  <c r="O168" i="2" s="1"/>
  <c r="N169" i="2"/>
  <c r="O169" i="2" s="1"/>
  <c r="N170" i="2"/>
  <c r="O170" i="2" s="1"/>
  <c r="N171" i="2"/>
  <c r="O171" i="2" s="1"/>
  <c r="N172" i="2"/>
  <c r="O172" i="2" s="1"/>
  <c r="N173" i="2"/>
  <c r="O173" i="2" s="1"/>
  <c r="N174" i="2"/>
  <c r="O174" i="2" s="1"/>
  <c r="N175" i="2"/>
  <c r="O175" i="2" s="1"/>
  <c r="N176" i="2"/>
  <c r="O176" i="2" s="1"/>
  <c r="N177" i="2"/>
  <c r="O177" i="2" s="1"/>
  <c r="N178" i="2"/>
  <c r="O178" i="2" s="1"/>
  <c r="N179" i="2"/>
  <c r="O179" i="2"/>
  <c r="N180" i="2"/>
  <c r="O180" i="2" s="1"/>
  <c r="N181" i="2"/>
  <c r="O181" i="2" s="1"/>
  <c r="N182" i="2"/>
  <c r="O182" i="2" s="1"/>
  <c r="N183" i="2"/>
  <c r="O183" i="2" s="1"/>
  <c r="N184" i="2"/>
  <c r="O184" i="2" s="1"/>
  <c r="N185" i="2"/>
  <c r="O185" i="2" s="1"/>
  <c r="N186" i="2"/>
  <c r="O186" i="2" s="1"/>
  <c r="N187" i="2"/>
  <c r="O187" i="2" s="1"/>
  <c r="N188" i="2"/>
  <c r="O188" i="2" s="1"/>
  <c r="N189" i="2"/>
  <c r="O189" i="2" s="1"/>
  <c r="N190" i="2"/>
  <c r="O190" i="2"/>
  <c r="N191" i="2"/>
  <c r="O191" i="2"/>
  <c r="N192" i="2"/>
  <c r="O192" i="2"/>
  <c r="N193" i="2"/>
  <c r="O193" i="2"/>
  <c r="N194" i="2"/>
  <c r="O194" i="2" s="1"/>
  <c r="N195" i="2"/>
  <c r="O195" i="2" s="1"/>
  <c r="N196" i="2"/>
  <c r="O196" i="2" s="1"/>
  <c r="N197" i="2"/>
  <c r="O197" i="2" s="1"/>
  <c r="N198" i="2"/>
  <c r="O198" i="2" s="1"/>
  <c r="N199" i="2"/>
  <c r="O199" i="2" s="1"/>
  <c r="N200" i="2"/>
  <c r="O200" i="2" s="1"/>
  <c r="N201" i="2"/>
  <c r="O201" i="2" s="1"/>
  <c r="N202" i="2"/>
  <c r="O202" i="2" s="1"/>
  <c r="N203" i="2"/>
  <c r="O203" i="2"/>
  <c r="N204" i="2"/>
  <c r="O204" i="2" s="1"/>
  <c r="N205" i="2"/>
  <c r="O205" i="2" s="1"/>
  <c r="N206" i="2"/>
  <c r="O206" i="2" s="1"/>
  <c r="N207" i="2"/>
  <c r="O207" i="2" s="1"/>
  <c r="N208" i="2"/>
  <c r="O208" i="2" s="1"/>
  <c r="N209" i="2"/>
  <c r="O209" i="2" s="1"/>
  <c r="N210" i="2"/>
  <c r="O210" i="2" s="1"/>
  <c r="N211" i="2"/>
  <c r="O211" i="2" s="1"/>
  <c r="N212" i="2"/>
  <c r="O212" i="2"/>
  <c r="N213" i="2"/>
  <c r="O213" i="2" s="1"/>
  <c r="N214" i="2"/>
  <c r="O214" i="2" s="1"/>
  <c r="N215" i="2"/>
  <c r="O215" i="2" s="1"/>
  <c r="N216" i="2"/>
  <c r="O216" i="2" s="1"/>
  <c r="N217" i="2"/>
  <c r="O217" i="2" s="1"/>
  <c r="N218" i="2"/>
  <c r="O218" i="2" s="1"/>
  <c r="N219" i="2"/>
  <c r="O219" i="2" s="1"/>
  <c r="N220" i="2"/>
  <c r="O220" i="2"/>
  <c r="N221" i="2"/>
  <c r="O221" i="2" s="1"/>
  <c r="N222" i="2"/>
  <c r="O222" i="2"/>
  <c r="N223" i="2"/>
  <c r="O223" i="2" s="1"/>
  <c r="N224" i="2"/>
  <c r="O224" i="2"/>
  <c r="N225" i="2"/>
  <c r="O225" i="2" s="1"/>
  <c r="N226" i="2"/>
  <c r="O226" i="2" s="1"/>
  <c r="N227" i="2"/>
  <c r="O227" i="2" s="1"/>
  <c r="N228" i="2"/>
  <c r="O228" i="2" s="1"/>
  <c r="N229" i="2"/>
  <c r="O229" i="2" s="1"/>
  <c r="N230" i="2"/>
  <c r="O230" i="2" s="1"/>
  <c r="N231" i="2"/>
  <c r="O231" i="2"/>
  <c r="N232" i="2"/>
  <c r="O232" i="2" s="1"/>
  <c r="N233" i="2"/>
  <c r="O233" i="2" s="1"/>
  <c r="N234" i="2"/>
  <c r="O234" i="2"/>
  <c r="N235" i="2"/>
  <c r="O235" i="2" s="1"/>
  <c r="N236" i="2"/>
  <c r="O236" i="2" s="1"/>
  <c r="N237" i="2"/>
  <c r="O237" i="2" s="1"/>
  <c r="N238" i="2"/>
  <c r="O238" i="2" s="1"/>
  <c r="N239" i="2"/>
  <c r="O239" i="2" s="1"/>
  <c r="N240" i="2"/>
  <c r="O240" i="2" s="1"/>
  <c r="N241" i="2"/>
  <c r="O241" i="2" s="1"/>
  <c r="N242" i="2"/>
  <c r="O242" i="2"/>
  <c r="N243" i="2"/>
  <c r="O243" i="2" s="1"/>
  <c r="N244" i="2"/>
  <c r="O244" i="2" s="1"/>
  <c r="N245" i="2"/>
  <c r="O245" i="2"/>
  <c r="N246" i="2"/>
  <c r="O246" i="2" s="1"/>
  <c r="N247" i="2"/>
  <c r="O247" i="2" s="1"/>
  <c r="N248" i="2"/>
  <c r="O248" i="2" s="1"/>
  <c r="N249" i="2"/>
  <c r="O249" i="2"/>
  <c r="N250" i="2"/>
  <c r="O250" i="2" s="1"/>
  <c r="N251" i="2"/>
  <c r="O251" i="2" s="1"/>
  <c r="N252" i="2"/>
  <c r="O252" i="2" s="1"/>
  <c r="N253" i="2"/>
  <c r="O253" i="2" s="1"/>
  <c r="N254" i="2"/>
  <c r="O254" i="2" s="1"/>
  <c r="N255" i="2"/>
  <c r="O255" i="2"/>
  <c r="N256" i="2"/>
  <c r="O256" i="2" s="1"/>
  <c r="N257" i="2"/>
  <c r="O257" i="2"/>
  <c r="N258" i="2"/>
  <c r="O258" i="2" s="1"/>
  <c r="N259" i="2"/>
  <c r="O259" i="2" s="1"/>
  <c r="N260" i="2"/>
  <c r="O260" i="2" s="1"/>
  <c r="N261" i="2"/>
  <c r="O261" i="2" s="1"/>
  <c r="N262" i="2"/>
  <c r="O262" i="2" s="1"/>
  <c r="N263" i="2"/>
  <c r="O263" i="2" s="1"/>
  <c r="N264" i="2"/>
  <c r="O264" i="2"/>
  <c r="N265" i="2"/>
  <c r="O265" i="2" s="1"/>
  <c r="N266" i="2"/>
  <c r="O266" i="2" s="1"/>
  <c r="N267" i="2"/>
  <c r="O267" i="2"/>
  <c r="N268" i="2"/>
  <c r="O268" i="2" s="1"/>
  <c r="N269" i="2"/>
  <c r="O269" i="2" s="1"/>
  <c r="N270" i="2"/>
  <c r="O270" i="2"/>
  <c r="N271" i="2"/>
  <c r="O271" i="2" s="1"/>
  <c r="N272" i="2"/>
  <c r="O272" i="2" s="1"/>
  <c r="N273" i="2"/>
  <c r="O273" i="2" s="1"/>
  <c r="N274" i="2"/>
  <c r="O274" i="2" s="1"/>
  <c r="N275" i="2"/>
  <c r="O275" i="2" s="1"/>
  <c r="N276" i="2"/>
  <c r="O276" i="2" s="1"/>
  <c r="N277" i="2"/>
  <c r="O277" i="2" s="1"/>
  <c r="N278" i="2"/>
  <c r="O278" i="2" s="1"/>
  <c r="N279" i="2"/>
  <c r="O279" i="2"/>
  <c r="N280" i="2"/>
  <c r="O280" i="2" s="1"/>
  <c r="N281" i="2"/>
  <c r="O281" i="2"/>
  <c r="N282" i="2"/>
  <c r="O282" i="2" s="1"/>
  <c r="N283" i="2"/>
  <c r="O283" i="2" s="1"/>
  <c r="N284" i="2"/>
  <c r="O284" i="2" s="1"/>
  <c r="N285" i="2"/>
  <c r="O285" i="2" s="1"/>
  <c r="N286" i="2"/>
  <c r="O286" i="2" s="1"/>
  <c r="N287" i="2"/>
  <c r="O287" i="2" s="1"/>
  <c r="N288" i="2"/>
  <c r="O288" i="2" s="1"/>
  <c r="N289" i="2"/>
  <c r="O289" i="2" s="1"/>
  <c r="N290" i="2"/>
  <c r="O290" i="2"/>
  <c r="N291" i="2"/>
  <c r="O291" i="2" s="1"/>
  <c r="N292" i="2"/>
  <c r="O292" i="2"/>
  <c r="N293" i="2"/>
  <c r="O293" i="2" s="1"/>
  <c r="N294" i="2"/>
  <c r="O294" i="2" s="1"/>
  <c r="N295" i="2"/>
  <c r="O295" i="2" s="1"/>
  <c r="N296" i="2"/>
  <c r="O296" i="2" s="1"/>
  <c r="N297" i="2"/>
  <c r="O297" i="2" s="1"/>
  <c r="N298" i="2"/>
  <c r="O298" i="2" s="1"/>
  <c r="N299" i="2"/>
  <c r="O299" i="2" s="1"/>
  <c r="N300" i="2"/>
  <c r="O300" i="2" s="1"/>
  <c r="N301" i="2"/>
  <c r="O301" i="2" s="1"/>
  <c r="N302" i="2"/>
  <c r="O302" i="2"/>
  <c r="N303" i="2"/>
  <c r="O303" i="2" s="1"/>
  <c r="N304" i="2"/>
  <c r="O304" i="2" s="1"/>
  <c r="N305" i="2"/>
  <c r="O305" i="2" s="1"/>
  <c r="N306" i="2"/>
  <c r="O306" i="2" s="1"/>
  <c r="N307" i="2"/>
  <c r="O307" i="2" s="1"/>
  <c r="N308" i="2"/>
  <c r="O308" i="2" s="1"/>
  <c r="N309" i="2"/>
  <c r="O309" i="2" s="1"/>
  <c r="N310" i="2"/>
  <c r="O310" i="2" s="1"/>
  <c r="N311" i="2"/>
  <c r="O311" i="2" s="1"/>
  <c r="N312" i="2"/>
  <c r="O312" i="2" s="1"/>
  <c r="N313" i="2"/>
  <c r="O313" i="2" s="1"/>
  <c r="N314" i="2"/>
  <c r="O314" i="2" s="1"/>
  <c r="N315" i="2"/>
  <c r="O315" i="2" s="1"/>
  <c r="N316" i="2"/>
  <c r="O316" i="2" s="1"/>
  <c r="N317" i="2"/>
  <c r="O317" i="2" s="1"/>
  <c r="N318" i="2"/>
  <c r="O318" i="2" s="1"/>
  <c r="N319" i="2"/>
  <c r="O319" i="2" s="1"/>
  <c r="N320" i="2"/>
  <c r="O320" i="2"/>
  <c r="N321" i="2"/>
  <c r="O321" i="2" s="1"/>
  <c r="N322" i="2"/>
  <c r="O322" i="2" s="1"/>
  <c r="N323" i="2"/>
  <c r="O323" i="2" s="1"/>
  <c r="N324" i="2"/>
  <c r="O324" i="2" s="1"/>
  <c r="N325" i="2"/>
  <c r="O325" i="2" s="1"/>
  <c r="N326" i="2"/>
  <c r="O326" i="2" s="1"/>
  <c r="N327" i="2"/>
  <c r="O327" i="2" s="1"/>
  <c r="N328" i="2"/>
  <c r="O328" i="2" s="1"/>
  <c r="N329" i="2"/>
  <c r="O329" i="2" s="1"/>
  <c r="N330" i="2"/>
  <c r="O330" i="2" s="1"/>
  <c r="N331" i="2"/>
  <c r="O331" i="2" s="1"/>
  <c r="N332" i="2"/>
  <c r="O332" i="2" s="1"/>
  <c r="N333" i="2"/>
  <c r="O333" i="2"/>
  <c r="N334" i="2"/>
  <c r="O334" i="2" s="1"/>
  <c r="N335" i="2"/>
  <c r="O335" i="2"/>
  <c r="N336" i="2"/>
  <c r="O336" i="2" s="1"/>
  <c r="N337" i="2"/>
  <c r="O337" i="2"/>
  <c r="N338" i="2"/>
  <c r="O338" i="2" s="1"/>
  <c r="N339" i="2"/>
  <c r="O339" i="2" s="1"/>
  <c r="N340" i="2"/>
  <c r="O340" i="2" s="1"/>
  <c r="N341" i="2"/>
  <c r="O341" i="2" s="1"/>
  <c r="N342" i="2"/>
  <c r="O342" i="2" s="1"/>
  <c r="N343" i="2"/>
  <c r="O343" i="2" s="1"/>
  <c r="N344" i="2"/>
  <c r="O344" i="2" s="1"/>
  <c r="N345" i="2"/>
  <c r="O345" i="2"/>
  <c r="N346" i="2"/>
  <c r="O346" i="2" s="1"/>
  <c r="N347" i="2"/>
  <c r="O347" i="2"/>
  <c r="N348" i="2"/>
  <c r="O348" i="2" s="1"/>
  <c r="N349" i="2"/>
  <c r="O349" i="2" s="1"/>
  <c r="N350" i="2"/>
  <c r="O350" i="2" s="1"/>
  <c r="N351" i="2"/>
  <c r="O351" i="2" s="1"/>
  <c r="N352" i="2"/>
  <c r="O352" i="2" s="1"/>
  <c r="N353" i="2"/>
  <c r="O353" i="2"/>
  <c r="N354" i="2"/>
  <c r="O354" i="2" s="1"/>
  <c r="N355" i="2"/>
  <c r="O355" i="2" s="1"/>
  <c r="N356" i="2"/>
  <c r="O356" i="2" s="1"/>
  <c r="N357" i="2"/>
  <c r="O357" i="2" s="1"/>
  <c r="N358" i="2"/>
  <c r="O358" i="2" s="1"/>
  <c r="N359" i="2"/>
  <c r="O359" i="2" s="1"/>
  <c r="N360" i="2"/>
  <c r="O360" i="2"/>
  <c r="N361" i="2"/>
  <c r="O361" i="2" s="1"/>
  <c r="N362" i="2"/>
  <c r="O362" i="2" s="1"/>
  <c r="N363" i="2"/>
  <c r="O363" i="2" s="1"/>
  <c r="N364" i="2"/>
  <c r="O364" i="2" s="1"/>
  <c r="N365" i="2"/>
  <c r="O365" i="2" s="1"/>
  <c r="N366" i="2"/>
  <c r="O366" i="2" s="1"/>
  <c r="N367" i="2"/>
  <c r="O367" i="2"/>
  <c r="N368" i="2"/>
  <c r="O368" i="2" s="1"/>
  <c r="N369" i="2"/>
  <c r="O369" i="2" s="1"/>
  <c r="N370" i="2"/>
  <c r="O370" i="2" s="1"/>
  <c r="N371" i="2"/>
  <c r="O371" i="2" s="1"/>
  <c r="N372" i="2"/>
  <c r="O372" i="2" s="1"/>
  <c r="N373" i="2"/>
  <c r="O373" i="2" s="1"/>
  <c r="N374" i="2"/>
  <c r="O374" i="2" s="1"/>
  <c r="N375" i="2"/>
  <c r="O375" i="2" s="1"/>
  <c r="N376" i="2"/>
  <c r="O376" i="2" s="1"/>
  <c r="N377" i="2"/>
  <c r="O377" i="2"/>
  <c r="N378" i="2"/>
  <c r="O378" i="2" s="1"/>
  <c r="N379" i="2"/>
  <c r="O379" i="2" s="1"/>
  <c r="N380" i="2"/>
  <c r="O380" i="2" s="1"/>
  <c r="N381" i="2"/>
  <c r="O381" i="2" s="1"/>
  <c r="N382" i="2"/>
  <c r="O382" i="2" s="1"/>
  <c r="N383" i="2"/>
  <c r="O383" i="2" s="1"/>
  <c r="N384" i="2"/>
  <c r="O384" i="2" s="1"/>
  <c r="N385" i="2"/>
  <c r="O385" i="2" s="1"/>
  <c r="N386" i="2"/>
  <c r="O386" i="2" s="1"/>
  <c r="N387" i="2"/>
  <c r="O387" i="2" s="1"/>
  <c r="N388" i="2"/>
  <c r="O388" i="2" s="1"/>
  <c r="N389" i="2"/>
  <c r="O389" i="2" s="1"/>
  <c r="N390" i="2"/>
  <c r="O390" i="2" s="1"/>
  <c r="N391" i="2"/>
  <c r="O391" i="2" s="1"/>
  <c r="N392" i="2"/>
  <c r="O392" i="2" s="1"/>
  <c r="N393" i="2"/>
  <c r="O393" i="2"/>
  <c r="N394" i="2"/>
  <c r="O394" i="2" s="1"/>
  <c r="N395" i="2"/>
  <c r="O395" i="2" s="1"/>
  <c r="N396" i="2"/>
  <c r="O396" i="2" s="1"/>
  <c r="N397" i="2"/>
  <c r="O397" i="2" s="1"/>
  <c r="N398" i="2"/>
  <c r="O398" i="2" s="1"/>
  <c r="N399" i="2"/>
  <c r="O399" i="2" s="1"/>
  <c r="N400" i="2"/>
  <c r="O400" i="2"/>
  <c r="N401" i="2"/>
  <c r="O401" i="2" s="1"/>
  <c r="N402" i="2"/>
  <c r="O402" i="2" s="1"/>
  <c r="N403" i="2"/>
  <c r="O403" i="2" s="1"/>
  <c r="N404" i="2"/>
  <c r="O404" i="2" s="1"/>
  <c r="N405" i="2"/>
  <c r="O405" i="2" s="1"/>
  <c r="N406" i="2"/>
  <c r="O406" i="2" s="1"/>
  <c r="N407" i="2"/>
  <c r="O407" i="2" s="1"/>
  <c r="N408" i="2"/>
  <c r="O408" i="2" s="1"/>
  <c r="N409" i="2"/>
  <c r="O409" i="2" s="1"/>
  <c r="N410" i="2"/>
  <c r="O410" i="2" s="1"/>
  <c r="N411" i="2"/>
  <c r="O411" i="2" s="1"/>
  <c r="N412" i="2"/>
  <c r="O412" i="2"/>
  <c r="N413" i="2"/>
  <c r="O413" i="2" s="1"/>
  <c r="N414" i="2"/>
  <c r="O414" i="2"/>
  <c r="N415" i="2"/>
  <c r="O415" i="2" s="1"/>
  <c r="N416" i="2"/>
  <c r="O416" i="2" s="1"/>
  <c r="N417" i="2"/>
  <c r="O417" i="2" s="1"/>
  <c r="N418" i="2"/>
  <c r="O418" i="2" s="1"/>
  <c r="N419" i="2"/>
  <c r="O419" i="2" s="1"/>
  <c r="N420" i="2"/>
  <c r="O420" i="2" s="1"/>
  <c r="N421" i="2"/>
  <c r="O421" i="2" s="1"/>
  <c r="N422" i="2"/>
  <c r="O422" i="2" s="1"/>
  <c r="N423" i="2"/>
  <c r="O423" i="2" s="1"/>
  <c r="N424" i="2"/>
  <c r="O424" i="2"/>
  <c r="N425" i="2"/>
  <c r="O425" i="2" s="1"/>
  <c r="N426" i="2"/>
  <c r="O426" i="2" s="1"/>
  <c r="N427" i="2"/>
  <c r="O427" i="2" s="1"/>
  <c r="N428" i="2"/>
  <c r="O428" i="2" s="1"/>
  <c r="N429" i="2"/>
  <c r="O429" i="2" s="1"/>
  <c r="N430" i="2"/>
  <c r="O430" i="2" s="1"/>
  <c r="N431" i="2"/>
  <c r="O431" i="2" s="1"/>
  <c r="N432" i="2"/>
  <c r="O432" i="2" s="1"/>
  <c r="N433" i="2"/>
  <c r="O433" i="2" s="1"/>
  <c r="N434" i="2"/>
  <c r="O434" i="2" s="1"/>
  <c r="N435" i="2"/>
  <c r="O435" i="2"/>
  <c r="N436" i="2"/>
  <c r="O436" i="2" s="1"/>
  <c r="N437" i="2"/>
  <c r="O437" i="2"/>
  <c r="N438" i="2"/>
  <c r="O438" i="2" s="1"/>
  <c r="N439" i="2"/>
  <c r="O439" i="2" s="1"/>
  <c r="N440" i="2"/>
  <c r="O440" i="2" s="1"/>
  <c r="N441" i="2"/>
  <c r="O441" i="2" s="1"/>
  <c r="N442" i="2"/>
  <c r="O442" i="2" s="1"/>
  <c r="N443" i="2"/>
  <c r="O443" i="2" s="1"/>
  <c r="N444" i="2"/>
  <c r="O444" i="2" s="1"/>
  <c r="N445" i="2"/>
  <c r="O445" i="2" s="1"/>
  <c r="N446" i="2"/>
  <c r="O446" i="2" s="1"/>
  <c r="N447" i="2"/>
  <c r="O447" i="2" s="1"/>
  <c r="N448" i="2"/>
  <c r="O448" i="2" s="1"/>
  <c r="N449" i="2"/>
  <c r="O449" i="2" s="1"/>
  <c r="N450" i="2"/>
  <c r="O450" i="2" s="1"/>
  <c r="N451" i="2"/>
  <c r="O451" i="2" s="1"/>
  <c r="N452" i="2"/>
  <c r="O452" i="2" s="1"/>
  <c r="N453" i="2"/>
  <c r="O453" i="2"/>
  <c r="N454" i="2"/>
  <c r="O454" i="2" s="1"/>
  <c r="N455" i="2"/>
  <c r="O455" i="2" s="1"/>
  <c r="N456" i="2"/>
  <c r="O456" i="2" s="1"/>
  <c r="N457" i="2"/>
  <c r="O457" i="2" s="1"/>
  <c r="N458" i="2"/>
  <c r="O458" i="2" s="1"/>
  <c r="N459" i="2"/>
  <c r="O459" i="2"/>
  <c r="N460" i="2"/>
  <c r="O460" i="2" s="1"/>
  <c r="N461" i="2"/>
  <c r="O461" i="2" s="1"/>
  <c r="N462" i="2"/>
  <c r="O462" i="2" s="1"/>
  <c r="N463" i="2"/>
  <c r="O463" i="2" s="1"/>
  <c r="N464" i="2"/>
  <c r="O464" i="2" s="1"/>
  <c r="N465" i="2"/>
  <c r="O465" i="2" s="1"/>
  <c r="N466" i="2"/>
  <c r="O466" i="2" s="1"/>
  <c r="N467" i="2"/>
  <c r="O467" i="2" s="1"/>
  <c r="N468" i="2"/>
  <c r="O468" i="2" s="1"/>
  <c r="N469" i="2"/>
  <c r="O469" i="2"/>
  <c r="N470" i="2"/>
  <c r="O470" i="2" s="1"/>
  <c r="N471" i="2"/>
  <c r="O471" i="2" s="1"/>
  <c r="N472" i="2"/>
  <c r="O472" i="2" s="1"/>
  <c r="N473" i="2"/>
  <c r="O473" i="2" s="1"/>
  <c r="N474" i="2"/>
  <c r="O474" i="2" s="1"/>
  <c r="N475" i="2"/>
  <c r="O475" i="2"/>
  <c r="N476" i="2"/>
  <c r="O476" i="2" s="1"/>
  <c r="N477" i="2"/>
  <c r="O477" i="2" s="1"/>
  <c r="N478" i="2"/>
  <c r="O478" i="2" s="1"/>
  <c r="N479" i="2"/>
  <c r="O479" i="2" s="1"/>
  <c r="N480" i="2"/>
  <c r="O480" i="2"/>
  <c r="N481" i="2"/>
  <c r="O481" i="2" s="1"/>
  <c r="N482" i="2"/>
  <c r="O482" i="2"/>
  <c r="N483" i="2"/>
  <c r="O483" i="2" s="1"/>
  <c r="N484" i="2"/>
  <c r="O484" i="2" s="1"/>
  <c r="N485" i="2"/>
  <c r="O485" i="2" s="1"/>
  <c r="N486" i="2"/>
  <c r="O486" i="2" s="1"/>
  <c r="N487" i="2"/>
  <c r="O487" i="2" s="1"/>
  <c r="N488" i="2"/>
  <c r="O488" i="2" s="1"/>
  <c r="N489" i="2"/>
  <c r="O489" i="2"/>
  <c r="N490" i="2"/>
  <c r="O490" i="2" s="1"/>
  <c r="N491" i="2"/>
  <c r="O491" i="2" s="1"/>
  <c r="N492" i="2"/>
  <c r="O492" i="2"/>
  <c r="N493" i="2"/>
  <c r="O493" i="2" s="1"/>
  <c r="N494" i="2"/>
  <c r="O494" i="2" s="1"/>
  <c r="N495" i="2"/>
  <c r="O495" i="2" s="1"/>
  <c r="N496" i="2"/>
  <c r="O496" i="2" s="1"/>
  <c r="N497" i="2"/>
  <c r="O497" i="2" s="1"/>
  <c r="N498" i="2"/>
  <c r="O498" i="2" s="1"/>
  <c r="N499" i="2"/>
  <c r="O499" i="2" s="1"/>
  <c r="N500" i="2"/>
  <c r="O500" i="2"/>
  <c r="N501" i="2"/>
  <c r="O501" i="2" s="1"/>
  <c r="N502" i="2"/>
  <c r="O502" i="2" s="1"/>
  <c r="N503" i="2"/>
  <c r="O503" i="2" s="1"/>
  <c r="N504" i="2"/>
  <c r="O504" i="2" s="1"/>
  <c r="N505" i="2"/>
  <c r="O505" i="2" s="1"/>
  <c r="N506" i="2"/>
  <c r="O506" i="2" s="1"/>
  <c r="N507" i="2"/>
  <c r="O507" i="2" s="1"/>
  <c r="N508" i="2"/>
  <c r="O508" i="2" s="1"/>
  <c r="N509" i="2"/>
  <c r="O509" i="2"/>
  <c r="N510" i="2"/>
  <c r="O510" i="2" s="1"/>
  <c r="N511" i="2"/>
  <c r="O511" i="2" s="1"/>
  <c r="N512" i="2"/>
  <c r="O512" i="2"/>
  <c r="N513" i="2"/>
  <c r="O513" i="2" s="1"/>
  <c r="N514" i="2"/>
  <c r="O514" i="2"/>
  <c r="N515" i="2"/>
  <c r="O515" i="2" s="1"/>
  <c r="N16" i="2"/>
  <c r="O16" i="2" s="1"/>
  <c r="H189" i="1"/>
  <c r="H179" i="1"/>
  <c r="D145" i="1"/>
  <c r="H188" i="1"/>
  <c r="H187" i="1"/>
  <c r="F126" i="19" s="1"/>
  <c r="H186" i="1"/>
  <c r="F125" i="19" s="1"/>
  <c r="H185" i="1"/>
  <c r="F124" i="19" s="1"/>
  <c r="H183" i="1"/>
  <c r="F189" i="1"/>
  <c r="F188" i="1"/>
  <c r="D127" i="19" s="1"/>
  <c r="F187" i="1"/>
  <c r="F186" i="1"/>
  <c r="D125" i="19" s="1"/>
  <c r="F185" i="1"/>
  <c r="D124" i="19" s="1"/>
  <c r="H175" i="1"/>
  <c r="F114" i="19" s="1"/>
  <c r="H176" i="1"/>
  <c r="M150" i="1" s="1"/>
  <c r="F179" i="1"/>
  <c r="M146" i="1" s="1"/>
  <c r="F133" i="1"/>
  <c r="M154" i="1"/>
  <c r="M155" i="1"/>
  <c r="D143" i="1"/>
  <c r="D144" i="1"/>
  <c r="D135" i="1"/>
  <c r="D142" i="1"/>
  <c r="D141" i="1"/>
  <c r="D139" i="1"/>
  <c r="D137" i="1"/>
  <c r="D140" i="1"/>
  <c r="D138" i="1"/>
  <c r="B139" i="1"/>
  <c r="B138" i="1"/>
  <c r="B137" i="1"/>
  <c r="H1014" i="4"/>
  <c r="M16" i="1"/>
  <c r="M17" i="1"/>
  <c r="M18" i="1"/>
  <c r="M19" i="1"/>
  <c r="M20" i="1"/>
  <c r="M21" i="1"/>
  <c r="M22" i="1"/>
  <c r="M15" i="1"/>
  <c r="K1014" i="4"/>
  <c r="E23" i="12"/>
  <c r="F158" i="23"/>
  <c r="F164" i="23"/>
  <c r="F134" i="23"/>
  <c r="F135" i="23"/>
  <c r="F136" i="23"/>
  <c r="F137" i="23"/>
  <c r="F138" i="23"/>
  <c r="F118" i="23"/>
  <c r="F119" i="23"/>
  <c r="F120" i="23"/>
  <c r="F121" i="23"/>
  <c r="F122" i="23"/>
  <c r="F103" i="23"/>
  <c r="F105" i="23"/>
  <c r="F106" i="23"/>
  <c r="F107" i="23"/>
  <c r="F108" i="23"/>
  <c r="F109" i="23"/>
  <c r="F110" i="23"/>
  <c r="F111" i="23"/>
  <c r="F112" i="23"/>
  <c r="F100" i="23"/>
  <c r="F70" i="23"/>
  <c r="F81" i="23"/>
  <c r="F82" i="23"/>
  <c r="F83" i="23"/>
  <c r="F84" i="23"/>
  <c r="F85" i="23"/>
  <c r="F86" i="23"/>
  <c r="F87" i="23"/>
  <c r="F53" i="23"/>
  <c r="F54" i="23"/>
  <c r="F43" i="23"/>
  <c r="F44" i="23"/>
  <c r="F45" i="23"/>
  <c r="F46" i="23"/>
  <c r="F19" i="23"/>
  <c r="F20" i="23"/>
  <c r="B2" i="12"/>
  <c r="B9" i="11"/>
  <c r="F127" i="19"/>
  <c r="F128" i="19"/>
  <c r="F122" i="19"/>
  <c r="D126" i="19"/>
  <c r="D128" i="19"/>
  <c r="D122" i="19"/>
  <c r="D112" i="19"/>
  <c r="F115" i="19" l="1"/>
  <c r="M149" i="1"/>
  <c r="D118" i="19"/>
  <c r="P155" i="1"/>
  <c r="P153" i="1"/>
  <c r="P152" i="1"/>
  <c r="P151" i="1"/>
  <c r="P150" i="1"/>
  <c r="P149" i="1"/>
  <c r="P147" i="1"/>
  <c r="P146" i="1"/>
  <c r="P144" i="1"/>
  <c r="P143" i="1"/>
  <c r="P142" i="1"/>
  <c r="V21" i="19"/>
  <c r="P137" i="1"/>
  <c r="K47" i="1"/>
  <c r="G19" i="17"/>
  <c r="E22" i="12"/>
  <c r="E21" i="12"/>
  <c r="E20" i="12"/>
  <c r="E19" i="12"/>
  <c r="E18" i="12"/>
  <c r="W81" i="15" l="1"/>
  <c r="L10" i="1"/>
  <c r="L7" i="1"/>
  <c r="L6" i="1"/>
  <c r="J107" i="1"/>
  <c r="L8" i="1"/>
  <c r="I126" i="1" l="1"/>
  <c r="M34" i="1"/>
  <c r="H132" i="1"/>
  <c r="D125" i="1"/>
  <c r="D126" i="1"/>
  <c r="D127" i="1"/>
  <c r="D128" i="1"/>
  <c r="E132" i="1"/>
  <c r="I137" i="1"/>
  <c r="I135" i="1"/>
  <c r="I136" i="1"/>
  <c r="E182" i="1"/>
  <c r="B132" i="1"/>
  <c r="G132" i="1"/>
  <c r="B136" i="1"/>
  <c r="D133" i="1"/>
  <c r="B143" i="1"/>
  <c r="B142" i="1"/>
  <c r="D134" i="1"/>
  <c r="D136" i="1"/>
  <c r="B134" i="1"/>
  <c r="F132" i="1"/>
  <c r="B123" i="1"/>
  <c r="C10" i="1"/>
  <c r="B105" i="1"/>
  <c r="F20" i="1"/>
  <c r="B96" i="1"/>
  <c r="B41" i="1"/>
  <c r="E183" i="1"/>
  <c r="E173" i="1"/>
  <c r="E172" i="1"/>
  <c r="F24" i="1"/>
  <c r="H107" i="1"/>
  <c r="L5" i="1"/>
  <c r="F374" i="5" s="1"/>
  <c r="B4" i="1"/>
  <c r="D5" i="1"/>
  <c r="F25" i="1"/>
  <c r="D63" i="1"/>
  <c r="F18" i="1"/>
  <c r="F14" i="1"/>
  <c r="B23" i="1"/>
  <c r="B22" i="1"/>
  <c r="F21" i="1"/>
  <c r="F22" i="1"/>
  <c r="F23" i="1"/>
  <c r="B29" i="1"/>
  <c r="B18" i="1"/>
  <c r="F8" i="1"/>
  <c r="B27" i="1"/>
  <c r="B2" i="1" l="1"/>
  <c r="B3" i="7" s="1"/>
  <c r="F11" i="12"/>
  <c r="F88" i="5"/>
  <c r="F595" i="5"/>
  <c r="F465" i="5"/>
  <c r="F491" i="5"/>
  <c r="F218" i="5"/>
  <c r="F348" i="5"/>
  <c r="F322" i="5"/>
  <c r="F335" i="5"/>
  <c r="F231" i="5"/>
  <c r="F439" i="5"/>
  <c r="F140" i="5"/>
  <c r="F517" i="5"/>
  <c r="F205" i="5"/>
  <c r="F62" i="5"/>
  <c r="F179" i="5"/>
  <c r="F478" i="5"/>
  <c r="F413" i="5"/>
  <c r="F192" i="5"/>
  <c r="M5" i="1"/>
  <c r="N5" i="1" s="1"/>
  <c r="F166" i="5"/>
  <c r="F361" i="5"/>
  <c r="F257" i="5"/>
  <c r="F75" i="5"/>
  <c r="M6" i="1"/>
  <c r="N6" i="1" s="1"/>
  <c r="F127" i="5"/>
  <c r="F569" i="5"/>
  <c r="F309" i="5"/>
  <c r="F114" i="5"/>
  <c r="F49" i="5"/>
  <c r="F582" i="5"/>
  <c r="F400" i="5"/>
  <c r="F452" i="5"/>
  <c r="F556" i="5"/>
  <c r="F153" i="5"/>
  <c r="F270" i="5"/>
  <c r="F101" i="5"/>
  <c r="F244" i="5"/>
  <c r="F296" i="5"/>
  <c r="F23" i="5"/>
  <c r="F543" i="5"/>
  <c r="F283" i="5"/>
  <c r="F10" i="5"/>
  <c r="F504" i="5"/>
  <c r="F426" i="5"/>
  <c r="F387" i="5"/>
  <c r="F530" i="5"/>
  <c r="T7" i="12" l="1"/>
  <c r="O5" i="1"/>
  <c r="C3" i="5"/>
  <c r="O19" i="1"/>
  <c r="L29" i="1"/>
  <c r="L28" i="1"/>
  <c r="L25" i="1"/>
  <c r="L24" i="1"/>
  <c r="G8" i="23"/>
  <c r="J30" i="12"/>
  <c r="J26" i="12"/>
  <c r="Q2" i="5"/>
  <c r="I10" i="5" s="1"/>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D501" i="20"/>
  <c r="D502" i="20"/>
  <c r="D503" i="20"/>
  <c r="D504" i="20"/>
  <c r="D505" i="20"/>
  <c r="D506" i="20"/>
  <c r="D507" i="20"/>
  <c r="D508" i="20"/>
  <c r="D509" i="20"/>
  <c r="D510" i="20"/>
  <c r="D511" i="20"/>
  <c r="D512" i="20"/>
  <c r="D513" i="20"/>
  <c r="D514" i="20"/>
  <c r="D515" i="20"/>
  <c r="D516" i="20"/>
  <c r="D517" i="20"/>
  <c r="D518" i="20"/>
  <c r="D519" i="20"/>
  <c r="D520" i="20"/>
  <c r="D521" i="20"/>
  <c r="D522" i="20"/>
  <c r="D523" i="20"/>
  <c r="D524" i="20"/>
  <c r="D525" i="20"/>
  <c r="D526" i="20"/>
  <c r="D527" i="20"/>
  <c r="D528" i="20"/>
  <c r="D529" i="20"/>
  <c r="D530" i="20"/>
  <c r="D531" i="20"/>
  <c r="D532" i="20"/>
  <c r="D533" i="20"/>
  <c r="D534" i="20"/>
  <c r="D535" i="20"/>
  <c r="D536" i="20"/>
  <c r="D537" i="20"/>
  <c r="D538" i="20"/>
  <c r="D539" i="20"/>
  <c r="D540" i="20"/>
  <c r="D541" i="20"/>
  <c r="D542" i="20"/>
  <c r="D543" i="20"/>
  <c r="D544" i="20"/>
  <c r="D545" i="20"/>
  <c r="D546" i="20"/>
  <c r="D547" i="20"/>
  <c r="D548" i="20"/>
  <c r="D549" i="20"/>
  <c r="D550" i="20"/>
  <c r="D551" i="20"/>
  <c r="D552" i="20"/>
  <c r="D553" i="20"/>
  <c r="D554" i="20"/>
  <c r="D555" i="20"/>
  <c r="D556" i="20"/>
  <c r="D557" i="20"/>
  <c r="D558" i="20"/>
  <c r="D559" i="20"/>
  <c r="D560" i="20"/>
  <c r="D561" i="20"/>
  <c r="D562" i="20"/>
  <c r="D563" i="20"/>
  <c r="D564" i="20"/>
  <c r="D565" i="20"/>
  <c r="D566" i="20"/>
  <c r="D567" i="20"/>
  <c r="D568" i="20"/>
  <c r="D569" i="20"/>
  <c r="D570" i="20"/>
  <c r="D571" i="20"/>
  <c r="D572" i="20"/>
  <c r="D573" i="20"/>
  <c r="D574" i="20"/>
  <c r="D575" i="20"/>
  <c r="D576" i="20"/>
  <c r="D577" i="20"/>
  <c r="D578" i="20"/>
  <c r="D579" i="20"/>
  <c r="D580" i="20"/>
  <c r="D581" i="20"/>
  <c r="D582" i="20"/>
  <c r="D583" i="20"/>
  <c r="G85" i="20"/>
  <c r="G86" i="20"/>
  <c r="G87" i="20"/>
  <c r="G88" i="20"/>
  <c r="G89" i="20"/>
  <c r="G90" i="20"/>
  <c r="G91" i="20"/>
  <c r="G92" i="20"/>
  <c r="G93" i="20"/>
  <c r="G94" i="20"/>
  <c r="G95" i="20"/>
  <c r="G96" i="20"/>
  <c r="G97" i="20"/>
  <c r="G98" i="20"/>
  <c r="G99" i="20"/>
  <c r="G100" i="20"/>
  <c r="G101" i="20"/>
  <c r="G102" i="20"/>
  <c r="G103" i="20"/>
  <c r="G104" i="20"/>
  <c r="G105" i="20"/>
  <c r="G106" i="20"/>
  <c r="G107" i="20"/>
  <c r="G108" i="20"/>
  <c r="G109" i="20"/>
  <c r="G110" i="20"/>
  <c r="G111" i="20"/>
  <c r="G112" i="20"/>
  <c r="G113" i="20"/>
  <c r="G114" i="20"/>
  <c r="G115" i="20"/>
  <c r="G116" i="20"/>
  <c r="G117" i="20"/>
  <c r="G118" i="20"/>
  <c r="G119" i="20"/>
  <c r="G120" i="20"/>
  <c r="G121" i="20"/>
  <c r="G122" i="20"/>
  <c r="G123" i="20"/>
  <c r="G124" i="20"/>
  <c r="G125" i="20"/>
  <c r="G126" i="20"/>
  <c r="G127" i="20"/>
  <c r="G128" i="20"/>
  <c r="G129" i="20"/>
  <c r="G130" i="20"/>
  <c r="G131" i="20"/>
  <c r="G132" i="20"/>
  <c r="G133" i="20"/>
  <c r="G134" i="20"/>
  <c r="G135" i="20"/>
  <c r="G136" i="20"/>
  <c r="G137" i="20"/>
  <c r="G138" i="20"/>
  <c r="G139" i="20"/>
  <c r="G140" i="20"/>
  <c r="G141" i="20"/>
  <c r="G142" i="20"/>
  <c r="G143" i="20"/>
  <c r="G144" i="20"/>
  <c r="G145" i="20"/>
  <c r="G146" i="20"/>
  <c r="G147" i="20"/>
  <c r="G148" i="20"/>
  <c r="G149" i="20"/>
  <c r="G150" i="20"/>
  <c r="G151" i="20"/>
  <c r="G152" i="20"/>
  <c r="G153" i="20"/>
  <c r="G154" i="20"/>
  <c r="G155" i="20"/>
  <c r="G156" i="20"/>
  <c r="G157" i="20"/>
  <c r="G158" i="20"/>
  <c r="G159" i="20"/>
  <c r="G160" i="20"/>
  <c r="G161" i="20"/>
  <c r="G162" i="20"/>
  <c r="G163" i="20"/>
  <c r="G164" i="20"/>
  <c r="G165" i="20"/>
  <c r="G166" i="20"/>
  <c r="G167" i="20"/>
  <c r="G168" i="20"/>
  <c r="G169" i="20"/>
  <c r="G170" i="20"/>
  <c r="G171" i="20"/>
  <c r="G172" i="20"/>
  <c r="G173" i="20"/>
  <c r="G174" i="20"/>
  <c r="G175" i="20"/>
  <c r="G176" i="20"/>
  <c r="G177" i="20"/>
  <c r="G178" i="20"/>
  <c r="G179" i="20"/>
  <c r="G180" i="20"/>
  <c r="G181" i="20"/>
  <c r="G182" i="20"/>
  <c r="G183" i="20"/>
  <c r="G184" i="20"/>
  <c r="G185" i="20"/>
  <c r="G186" i="20"/>
  <c r="G187" i="20"/>
  <c r="G188" i="20"/>
  <c r="G189" i="20"/>
  <c r="G190" i="20"/>
  <c r="G191" i="20"/>
  <c r="G192" i="20"/>
  <c r="G193" i="20"/>
  <c r="G194" i="20"/>
  <c r="G195" i="20"/>
  <c r="G196" i="20"/>
  <c r="G197" i="20"/>
  <c r="G198" i="20"/>
  <c r="G199" i="20"/>
  <c r="G200" i="20"/>
  <c r="G201" i="20"/>
  <c r="G202" i="20"/>
  <c r="G203" i="20"/>
  <c r="G204" i="20"/>
  <c r="G205" i="20"/>
  <c r="G206" i="20"/>
  <c r="G207" i="20"/>
  <c r="G208" i="20"/>
  <c r="G209" i="20"/>
  <c r="G210" i="20"/>
  <c r="G211" i="20"/>
  <c r="G212" i="20"/>
  <c r="G213" i="20"/>
  <c r="G214" i="20"/>
  <c r="G215" i="20"/>
  <c r="G216" i="20"/>
  <c r="G217" i="20"/>
  <c r="G218" i="20"/>
  <c r="G219" i="20"/>
  <c r="G220" i="20"/>
  <c r="G221" i="20"/>
  <c r="G222" i="20"/>
  <c r="G223" i="20"/>
  <c r="G224" i="20"/>
  <c r="G225" i="20"/>
  <c r="G226" i="20"/>
  <c r="G227" i="20"/>
  <c r="G228" i="20"/>
  <c r="G229" i="20"/>
  <c r="G230" i="20"/>
  <c r="G231" i="20"/>
  <c r="G232" i="20"/>
  <c r="G233" i="20"/>
  <c r="G234" i="20"/>
  <c r="G235" i="20"/>
  <c r="G236" i="20"/>
  <c r="G237" i="20"/>
  <c r="G238" i="20"/>
  <c r="G239" i="20"/>
  <c r="G240" i="20"/>
  <c r="G241" i="20"/>
  <c r="G242" i="20"/>
  <c r="G243" i="20"/>
  <c r="G244" i="20"/>
  <c r="G245" i="20"/>
  <c r="G246" i="20"/>
  <c r="G247" i="20"/>
  <c r="G248" i="20"/>
  <c r="G249" i="20"/>
  <c r="G250" i="20"/>
  <c r="G251" i="20"/>
  <c r="G252" i="20"/>
  <c r="G253" i="20"/>
  <c r="G254" i="20"/>
  <c r="G255" i="20"/>
  <c r="G256" i="20"/>
  <c r="G257" i="20"/>
  <c r="G258" i="20"/>
  <c r="G259" i="20"/>
  <c r="G260" i="20"/>
  <c r="G261" i="20"/>
  <c r="G262" i="20"/>
  <c r="G263" i="20"/>
  <c r="G264" i="20"/>
  <c r="G265" i="20"/>
  <c r="G266" i="20"/>
  <c r="G267" i="20"/>
  <c r="G268" i="20"/>
  <c r="G269" i="20"/>
  <c r="G270" i="20"/>
  <c r="G271" i="20"/>
  <c r="G272" i="20"/>
  <c r="G273" i="20"/>
  <c r="G274" i="20"/>
  <c r="G275" i="20"/>
  <c r="G276" i="20"/>
  <c r="G277" i="20"/>
  <c r="G278" i="20"/>
  <c r="G279" i="20"/>
  <c r="G280" i="20"/>
  <c r="G281" i="20"/>
  <c r="G282" i="20"/>
  <c r="G283" i="20"/>
  <c r="G284" i="20"/>
  <c r="G285" i="20"/>
  <c r="G286" i="20"/>
  <c r="G287" i="20"/>
  <c r="G288" i="20"/>
  <c r="G289" i="20"/>
  <c r="G290" i="20"/>
  <c r="G291" i="20"/>
  <c r="G292" i="20"/>
  <c r="G293" i="20"/>
  <c r="G294" i="20"/>
  <c r="G295" i="20"/>
  <c r="G296" i="20"/>
  <c r="G297" i="20"/>
  <c r="G298" i="20"/>
  <c r="G299" i="20"/>
  <c r="G300" i="20"/>
  <c r="G301" i="20"/>
  <c r="G302" i="20"/>
  <c r="G303" i="20"/>
  <c r="G304" i="20"/>
  <c r="G305" i="20"/>
  <c r="G306" i="20"/>
  <c r="G307" i="20"/>
  <c r="G308" i="20"/>
  <c r="G309" i="20"/>
  <c r="G310" i="20"/>
  <c r="G311" i="20"/>
  <c r="G312" i="20"/>
  <c r="G313" i="20"/>
  <c r="G314" i="20"/>
  <c r="G315" i="20"/>
  <c r="G316" i="20"/>
  <c r="G317" i="20"/>
  <c r="G318" i="20"/>
  <c r="G319" i="20"/>
  <c r="G320" i="20"/>
  <c r="G321" i="20"/>
  <c r="G322" i="20"/>
  <c r="G323" i="20"/>
  <c r="G324" i="20"/>
  <c r="G325" i="20"/>
  <c r="G326" i="20"/>
  <c r="G327" i="20"/>
  <c r="G328" i="20"/>
  <c r="G329" i="20"/>
  <c r="G330" i="20"/>
  <c r="G331" i="20"/>
  <c r="G332" i="20"/>
  <c r="G333" i="20"/>
  <c r="G334" i="20"/>
  <c r="G335" i="20"/>
  <c r="G336" i="20"/>
  <c r="G337" i="20"/>
  <c r="G338" i="20"/>
  <c r="G339" i="20"/>
  <c r="G340" i="20"/>
  <c r="G341" i="20"/>
  <c r="G342" i="20"/>
  <c r="G343" i="20"/>
  <c r="G344" i="20"/>
  <c r="G345" i="20"/>
  <c r="G346" i="20"/>
  <c r="G347" i="20"/>
  <c r="G348" i="20"/>
  <c r="G349" i="20"/>
  <c r="G350" i="20"/>
  <c r="G351" i="20"/>
  <c r="G352" i="20"/>
  <c r="G353" i="20"/>
  <c r="G354" i="20"/>
  <c r="G355" i="20"/>
  <c r="G356" i="20"/>
  <c r="G357" i="20"/>
  <c r="G358" i="20"/>
  <c r="G359" i="20"/>
  <c r="G360" i="20"/>
  <c r="G361" i="20"/>
  <c r="G362" i="20"/>
  <c r="G363" i="20"/>
  <c r="G364" i="20"/>
  <c r="G365" i="20"/>
  <c r="G366" i="20"/>
  <c r="G367" i="20"/>
  <c r="G368" i="20"/>
  <c r="G369" i="20"/>
  <c r="G370" i="20"/>
  <c r="G371" i="20"/>
  <c r="G372" i="20"/>
  <c r="G373" i="20"/>
  <c r="G374" i="20"/>
  <c r="G375" i="20"/>
  <c r="G376" i="20"/>
  <c r="G377" i="20"/>
  <c r="G378" i="20"/>
  <c r="G379" i="20"/>
  <c r="G380" i="20"/>
  <c r="G381" i="20"/>
  <c r="G382" i="20"/>
  <c r="G383" i="20"/>
  <c r="G384" i="20"/>
  <c r="G385" i="20"/>
  <c r="G386" i="20"/>
  <c r="G387" i="20"/>
  <c r="G388" i="20"/>
  <c r="G389" i="20"/>
  <c r="G390" i="20"/>
  <c r="G391" i="20"/>
  <c r="G392" i="20"/>
  <c r="G393" i="20"/>
  <c r="G394" i="20"/>
  <c r="G395" i="20"/>
  <c r="G396" i="20"/>
  <c r="G397" i="20"/>
  <c r="G398" i="20"/>
  <c r="G399" i="20"/>
  <c r="G400" i="20"/>
  <c r="G401" i="20"/>
  <c r="G402" i="20"/>
  <c r="G403" i="20"/>
  <c r="G404" i="20"/>
  <c r="G405" i="20"/>
  <c r="G406" i="20"/>
  <c r="G407" i="20"/>
  <c r="G408" i="20"/>
  <c r="G409" i="20"/>
  <c r="G410" i="20"/>
  <c r="G411" i="20"/>
  <c r="G412" i="20"/>
  <c r="G413" i="20"/>
  <c r="G414" i="20"/>
  <c r="G415" i="20"/>
  <c r="G416" i="20"/>
  <c r="G417" i="20"/>
  <c r="G418" i="20"/>
  <c r="G419" i="20"/>
  <c r="G420" i="20"/>
  <c r="G421" i="20"/>
  <c r="G422" i="20"/>
  <c r="G423" i="20"/>
  <c r="G424" i="20"/>
  <c r="G425" i="20"/>
  <c r="G426" i="20"/>
  <c r="G427" i="20"/>
  <c r="G428" i="20"/>
  <c r="G429" i="20"/>
  <c r="G430" i="20"/>
  <c r="G431" i="20"/>
  <c r="G432" i="20"/>
  <c r="G433" i="20"/>
  <c r="G434" i="20"/>
  <c r="G435" i="20"/>
  <c r="G436" i="20"/>
  <c r="G437" i="20"/>
  <c r="G438" i="20"/>
  <c r="G439" i="20"/>
  <c r="G440" i="20"/>
  <c r="G441" i="20"/>
  <c r="G442" i="20"/>
  <c r="G443" i="20"/>
  <c r="G444" i="20"/>
  <c r="G445" i="20"/>
  <c r="G446" i="20"/>
  <c r="G447" i="20"/>
  <c r="G448" i="20"/>
  <c r="G449" i="20"/>
  <c r="G450" i="20"/>
  <c r="G451" i="20"/>
  <c r="G452" i="20"/>
  <c r="G453" i="20"/>
  <c r="G454" i="20"/>
  <c r="G455" i="20"/>
  <c r="G456" i="20"/>
  <c r="G457" i="20"/>
  <c r="G458" i="20"/>
  <c r="G459" i="20"/>
  <c r="G460" i="20"/>
  <c r="G461" i="20"/>
  <c r="G462" i="20"/>
  <c r="G463" i="20"/>
  <c r="G464" i="20"/>
  <c r="G465" i="20"/>
  <c r="G466" i="20"/>
  <c r="G467" i="20"/>
  <c r="G468" i="20"/>
  <c r="G469" i="20"/>
  <c r="G470" i="20"/>
  <c r="G471" i="20"/>
  <c r="G472" i="20"/>
  <c r="G473" i="20"/>
  <c r="G474" i="20"/>
  <c r="G475" i="20"/>
  <c r="G476" i="20"/>
  <c r="G477" i="20"/>
  <c r="G478" i="20"/>
  <c r="G479" i="20"/>
  <c r="G480" i="20"/>
  <c r="G481" i="20"/>
  <c r="G482" i="20"/>
  <c r="G483" i="20"/>
  <c r="G484" i="20"/>
  <c r="G485" i="20"/>
  <c r="G486" i="20"/>
  <c r="G487" i="20"/>
  <c r="G488" i="20"/>
  <c r="G489" i="20"/>
  <c r="G490" i="20"/>
  <c r="G491" i="20"/>
  <c r="G492" i="20"/>
  <c r="G493" i="20"/>
  <c r="G494" i="20"/>
  <c r="G495" i="20"/>
  <c r="G496" i="20"/>
  <c r="G497" i="20"/>
  <c r="G498" i="20"/>
  <c r="G499" i="20"/>
  <c r="G500" i="20"/>
  <c r="G501" i="20"/>
  <c r="G502" i="20"/>
  <c r="G503" i="20"/>
  <c r="G504" i="20"/>
  <c r="G505" i="20"/>
  <c r="G506" i="20"/>
  <c r="G507" i="20"/>
  <c r="G508" i="20"/>
  <c r="G509" i="20"/>
  <c r="G510" i="20"/>
  <c r="G511" i="20"/>
  <c r="G512" i="20"/>
  <c r="G513" i="20"/>
  <c r="G514" i="20"/>
  <c r="G515" i="20"/>
  <c r="G516" i="20"/>
  <c r="G517" i="20"/>
  <c r="G518" i="20"/>
  <c r="G519" i="20"/>
  <c r="G520" i="20"/>
  <c r="G521" i="20"/>
  <c r="G522" i="20"/>
  <c r="G523" i="20"/>
  <c r="G524" i="20"/>
  <c r="G525" i="20"/>
  <c r="G526" i="20"/>
  <c r="G527" i="20"/>
  <c r="G528" i="20"/>
  <c r="G529" i="20"/>
  <c r="G530" i="20"/>
  <c r="G531" i="20"/>
  <c r="G532" i="20"/>
  <c r="G533" i="20"/>
  <c r="G534" i="20"/>
  <c r="G535" i="20"/>
  <c r="G536" i="20"/>
  <c r="G537" i="20"/>
  <c r="G538" i="20"/>
  <c r="G539" i="20"/>
  <c r="G540" i="20"/>
  <c r="G541" i="20"/>
  <c r="G542" i="20"/>
  <c r="G543" i="20"/>
  <c r="G544" i="20"/>
  <c r="G545" i="20"/>
  <c r="G546" i="20"/>
  <c r="G547" i="20"/>
  <c r="G548" i="20"/>
  <c r="G549" i="20"/>
  <c r="G550" i="20"/>
  <c r="G551" i="20"/>
  <c r="G552" i="20"/>
  <c r="G553" i="20"/>
  <c r="G554" i="20"/>
  <c r="G555" i="20"/>
  <c r="G556" i="20"/>
  <c r="G557" i="20"/>
  <c r="G558" i="20"/>
  <c r="G559" i="20"/>
  <c r="G560" i="20"/>
  <c r="G561" i="20"/>
  <c r="G562" i="20"/>
  <c r="G563" i="20"/>
  <c r="G564" i="20"/>
  <c r="G565" i="20"/>
  <c r="G566" i="20"/>
  <c r="G567" i="20"/>
  <c r="G568" i="20"/>
  <c r="G569" i="20"/>
  <c r="G570" i="20"/>
  <c r="G571" i="20"/>
  <c r="G572" i="20"/>
  <c r="G573" i="20"/>
  <c r="G574" i="20"/>
  <c r="G575" i="20"/>
  <c r="G576" i="20"/>
  <c r="G577" i="20"/>
  <c r="G578" i="20"/>
  <c r="G579" i="20"/>
  <c r="G580" i="20"/>
  <c r="G581" i="20"/>
  <c r="G582" i="20"/>
  <c r="G583" i="20"/>
  <c r="G84" i="20"/>
  <c r="T6" i="12" l="1"/>
  <c r="I595" i="5"/>
  <c r="I335" i="5"/>
  <c r="I75" i="5"/>
  <c r="I426" i="5"/>
  <c r="I127" i="5"/>
  <c r="I361" i="5"/>
  <c r="I582" i="5"/>
  <c r="I322" i="5"/>
  <c r="I62" i="5"/>
  <c r="I140" i="5"/>
  <c r="I374" i="5"/>
  <c r="I569" i="5"/>
  <c r="I309" i="5"/>
  <c r="I49" i="5"/>
  <c r="I166" i="5"/>
  <c r="I114" i="5"/>
  <c r="I556" i="5"/>
  <c r="I296" i="5"/>
  <c r="I23" i="5"/>
  <c r="I413" i="5"/>
  <c r="I543" i="5"/>
  <c r="I283" i="5"/>
  <c r="I530" i="5"/>
  <c r="I270" i="5"/>
  <c r="I244" i="5"/>
  <c r="I88" i="5"/>
  <c r="I517" i="5"/>
  <c r="I257" i="5"/>
  <c r="I504" i="5"/>
  <c r="I153" i="5"/>
  <c r="I491" i="5"/>
  <c r="I231" i="5"/>
  <c r="I205" i="5"/>
  <c r="I400" i="5"/>
  <c r="I478" i="5"/>
  <c r="I218" i="5"/>
  <c r="I465" i="5"/>
  <c r="I387" i="5"/>
  <c r="I101" i="5"/>
  <c r="I452" i="5"/>
  <c r="I192" i="5"/>
  <c r="I439" i="5"/>
  <c r="I179" i="5"/>
  <c r="I348" i="5"/>
  <c r="K309" i="5"/>
  <c r="C556" i="5"/>
  <c r="C569" i="5"/>
  <c r="I411" i="5"/>
  <c r="I476" i="5"/>
  <c r="K88" i="5"/>
  <c r="K335" i="5"/>
  <c r="K348" i="5"/>
  <c r="K361" i="5"/>
  <c r="K374" i="5"/>
  <c r="K387" i="5"/>
  <c r="K413" i="5"/>
  <c r="K452" i="5"/>
  <c r="C388" i="5"/>
  <c r="C415" i="5"/>
  <c r="C557" i="5"/>
  <c r="C558" i="5"/>
  <c r="K400" i="5"/>
  <c r="C570" i="5"/>
  <c r="C571" i="5"/>
  <c r="C584" i="5"/>
  <c r="C595" i="5"/>
  <c r="I99" i="5"/>
  <c r="I138" i="5"/>
  <c r="K465" i="5"/>
  <c r="C387" i="5"/>
  <c r="I385" i="5"/>
  <c r="K569" i="5"/>
  <c r="C400" i="5"/>
  <c r="I437" i="5"/>
  <c r="I424" i="5"/>
  <c r="C401" i="5"/>
  <c r="I450" i="5"/>
  <c r="C389" i="5"/>
  <c r="C414" i="5"/>
  <c r="I463" i="5"/>
  <c r="C453" i="5"/>
  <c r="C466" i="5"/>
  <c r="I528" i="5"/>
  <c r="I515" i="5"/>
  <c r="C545" i="5"/>
  <c r="K49" i="5"/>
  <c r="C465" i="5"/>
  <c r="I125" i="5"/>
  <c r="K75" i="5"/>
  <c r="K595" i="5"/>
  <c r="C478" i="5"/>
  <c r="I164" i="5"/>
  <c r="K114" i="5"/>
  <c r="K101" i="5"/>
  <c r="C479" i="5"/>
  <c r="I177" i="5"/>
  <c r="K127" i="5"/>
  <c r="I151" i="5"/>
  <c r="C480" i="5"/>
  <c r="I190" i="5"/>
  <c r="K140" i="5"/>
  <c r="C467" i="5"/>
  <c r="C491" i="5"/>
  <c r="I203" i="5"/>
  <c r="K153" i="5"/>
  <c r="I242" i="5"/>
  <c r="C505" i="5"/>
  <c r="I255" i="5"/>
  <c r="K205" i="5"/>
  <c r="C504" i="5"/>
  <c r="K192" i="5"/>
  <c r="C543" i="5"/>
  <c r="I359" i="5"/>
  <c r="K582" i="5"/>
  <c r="C402" i="5"/>
  <c r="C492" i="5"/>
  <c r="C582" i="5"/>
  <c r="I216" i="5"/>
  <c r="I489" i="5"/>
  <c r="K166" i="5"/>
  <c r="K426" i="5"/>
  <c r="C413" i="5"/>
  <c r="C493" i="5"/>
  <c r="C583" i="5"/>
  <c r="I229" i="5"/>
  <c r="I502" i="5"/>
  <c r="K179" i="5"/>
  <c r="K439" i="5"/>
  <c r="K478" i="5"/>
  <c r="C427" i="5"/>
  <c r="C517" i="5"/>
  <c r="C597" i="5"/>
  <c r="I281" i="5"/>
  <c r="I554" i="5"/>
  <c r="K231" i="5"/>
  <c r="K491" i="5"/>
  <c r="C596" i="5"/>
  <c r="C428" i="5"/>
  <c r="C518" i="5"/>
  <c r="C63" i="5"/>
  <c r="I294" i="5"/>
  <c r="I567" i="5"/>
  <c r="K244" i="5"/>
  <c r="K504" i="5"/>
  <c r="C426" i="5"/>
  <c r="K218" i="5"/>
  <c r="C439" i="5"/>
  <c r="C519" i="5"/>
  <c r="C64" i="5"/>
  <c r="I307" i="5"/>
  <c r="I580" i="5"/>
  <c r="K257" i="5"/>
  <c r="K517" i="5"/>
  <c r="I268" i="5"/>
  <c r="C440" i="5"/>
  <c r="C530" i="5"/>
  <c r="C375" i="5"/>
  <c r="I320" i="5"/>
  <c r="I593" i="5"/>
  <c r="K270" i="5"/>
  <c r="K530" i="5"/>
  <c r="C506" i="5"/>
  <c r="C441" i="5"/>
  <c r="C531" i="5"/>
  <c r="C376" i="5"/>
  <c r="I333" i="5"/>
  <c r="K10" i="5"/>
  <c r="K283" i="5"/>
  <c r="K543" i="5"/>
  <c r="I541" i="5"/>
  <c r="C452" i="5"/>
  <c r="C532" i="5"/>
  <c r="I21" i="5"/>
  <c r="I346" i="5"/>
  <c r="K23" i="5"/>
  <c r="K296" i="5"/>
  <c r="K556" i="5"/>
  <c r="C454" i="5"/>
  <c r="C544" i="5"/>
  <c r="I112" i="5"/>
  <c r="I372" i="5"/>
  <c r="K62" i="5"/>
  <c r="K322" i="5"/>
  <c r="B85" i="20"/>
  <c r="N85" i="20" s="1"/>
  <c r="B86" i="20"/>
  <c r="N86" i="20" s="1"/>
  <c r="B87" i="20"/>
  <c r="N87" i="20" s="1"/>
  <c r="B88" i="20"/>
  <c r="N88" i="20" s="1"/>
  <c r="B89" i="20"/>
  <c r="N89" i="20" s="1"/>
  <c r="B90" i="20"/>
  <c r="N90" i="20" s="1"/>
  <c r="B91" i="20"/>
  <c r="N91" i="20" s="1"/>
  <c r="B92" i="20"/>
  <c r="N92" i="20" s="1"/>
  <c r="B93" i="20"/>
  <c r="N93" i="20" s="1"/>
  <c r="B94" i="20"/>
  <c r="N94" i="20" s="1"/>
  <c r="B95" i="20"/>
  <c r="N95" i="20" s="1"/>
  <c r="B96" i="20"/>
  <c r="N96" i="20" s="1"/>
  <c r="B97" i="20"/>
  <c r="N97" i="20" s="1"/>
  <c r="B98" i="20"/>
  <c r="N98" i="20" s="1"/>
  <c r="B99" i="20"/>
  <c r="N99" i="20" s="1"/>
  <c r="B100" i="20"/>
  <c r="N100" i="20" s="1"/>
  <c r="B101" i="20"/>
  <c r="N101" i="20" s="1"/>
  <c r="B102" i="20"/>
  <c r="N102" i="20" s="1"/>
  <c r="B103" i="20"/>
  <c r="N103" i="20" s="1"/>
  <c r="B104" i="20"/>
  <c r="N104" i="20" s="1"/>
  <c r="B105" i="20"/>
  <c r="N105" i="20" s="1"/>
  <c r="B106" i="20"/>
  <c r="N106" i="20" s="1"/>
  <c r="B107" i="20"/>
  <c r="N107" i="20" s="1"/>
  <c r="B108" i="20"/>
  <c r="N108" i="20" s="1"/>
  <c r="B109" i="20"/>
  <c r="N109" i="20" s="1"/>
  <c r="B110" i="20"/>
  <c r="N110" i="20" s="1"/>
  <c r="B111" i="20"/>
  <c r="N111" i="20" s="1"/>
  <c r="B112" i="20"/>
  <c r="N112" i="20" s="1"/>
  <c r="B113" i="20"/>
  <c r="N113" i="20" s="1"/>
  <c r="B114" i="20"/>
  <c r="N114" i="20" s="1"/>
  <c r="B115" i="20"/>
  <c r="N115" i="20" s="1"/>
  <c r="B116" i="20"/>
  <c r="N116" i="20" s="1"/>
  <c r="B117" i="20"/>
  <c r="N117" i="20" s="1"/>
  <c r="B118" i="20"/>
  <c r="N118" i="20" s="1"/>
  <c r="B119" i="20"/>
  <c r="N119" i="20" s="1"/>
  <c r="B120" i="20"/>
  <c r="N120" i="20" s="1"/>
  <c r="B121" i="20"/>
  <c r="N121" i="20" s="1"/>
  <c r="B122" i="20"/>
  <c r="N122" i="20" s="1"/>
  <c r="B123" i="20"/>
  <c r="N123" i="20" s="1"/>
  <c r="B124" i="20"/>
  <c r="N124" i="20" s="1"/>
  <c r="B125" i="20"/>
  <c r="N125" i="20" s="1"/>
  <c r="B126" i="20"/>
  <c r="N126" i="20" s="1"/>
  <c r="B127" i="20"/>
  <c r="N127" i="20" s="1"/>
  <c r="B128" i="20"/>
  <c r="N128" i="20" s="1"/>
  <c r="B129" i="20"/>
  <c r="N129" i="20" s="1"/>
  <c r="B130" i="20"/>
  <c r="N130" i="20" s="1"/>
  <c r="B131" i="20"/>
  <c r="N131" i="20" s="1"/>
  <c r="B132" i="20"/>
  <c r="N132" i="20" s="1"/>
  <c r="B133" i="20"/>
  <c r="N133" i="20" s="1"/>
  <c r="B134" i="20"/>
  <c r="N134" i="20" s="1"/>
  <c r="B135" i="20"/>
  <c r="N135" i="20" s="1"/>
  <c r="B136" i="20"/>
  <c r="N136" i="20" s="1"/>
  <c r="B137" i="20"/>
  <c r="N137" i="20" s="1"/>
  <c r="B138" i="20"/>
  <c r="N138" i="20" s="1"/>
  <c r="B139" i="20"/>
  <c r="N139" i="20" s="1"/>
  <c r="B140" i="20"/>
  <c r="N140" i="20" s="1"/>
  <c r="B141" i="20"/>
  <c r="N141" i="20" s="1"/>
  <c r="B142" i="20"/>
  <c r="N142" i="20" s="1"/>
  <c r="B143" i="20"/>
  <c r="N143" i="20" s="1"/>
  <c r="B144" i="20"/>
  <c r="N144" i="20" s="1"/>
  <c r="B145" i="20"/>
  <c r="N145" i="20" s="1"/>
  <c r="B146" i="20"/>
  <c r="N146" i="20" s="1"/>
  <c r="B147" i="20"/>
  <c r="N147" i="20" s="1"/>
  <c r="B148" i="20"/>
  <c r="N148" i="20" s="1"/>
  <c r="B149" i="20"/>
  <c r="N149" i="20" s="1"/>
  <c r="B150" i="20"/>
  <c r="N150" i="20" s="1"/>
  <c r="B151" i="20"/>
  <c r="N151" i="20" s="1"/>
  <c r="B152" i="20"/>
  <c r="N152" i="20" s="1"/>
  <c r="B153" i="20"/>
  <c r="N153" i="20" s="1"/>
  <c r="B154" i="20"/>
  <c r="N154" i="20" s="1"/>
  <c r="B155" i="20"/>
  <c r="N155" i="20" s="1"/>
  <c r="B156" i="20"/>
  <c r="N156" i="20" s="1"/>
  <c r="B157" i="20"/>
  <c r="N157" i="20" s="1"/>
  <c r="B158" i="20"/>
  <c r="N158" i="20" s="1"/>
  <c r="B159" i="20"/>
  <c r="N159" i="20" s="1"/>
  <c r="B160" i="20"/>
  <c r="N160" i="20" s="1"/>
  <c r="B161" i="20"/>
  <c r="N161" i="20" s="1"/>
  <c r="B162" i="20"/>
  <c r="N162" i="20" s="1"/>
  <c r="B163" i="20"/>
  <c r="N163" i="20" s="1"/>
  <c r="B164" i="20"/>
  <c r="N164" i="20" s="1"/>
  <c r="B165" i="20"/>
  <c r="N165" i="20" s="1"/>
  <c r="B166" i="20"/>
  <c r="N166" i="20" s="1"/>
  <c r="B167" i="20"/>
  <c r="N167" i="20" s="1"/>
  <c r="B168" i="20"/>
  <c r="N168" i="20" s="1"/>
  <c r="B169" i="20"/>
  <c r="N169" i="20" s="1"/>
  <c r="B170" i="20"/>
  <c r="N170" i="20" s="1"/>
  <c r="B171" i="20"/>
  <c r="N171" i="20" s="1"/>
  <c r="B172" i="20"/>
  <c r="N172" i="20" s="1"/>
  <c r="B173" i="20"/>
  <c r="N173" i="20" s="1"/>
  <c r="B174" i="20"/>
  <c r="N174" i="20" s="1"/>
  <c r="B175" i="20"/>
  <c r="N175" i="20" s="1"/>
  <c r="B176" i="20"/>
  <c r="N176" i="20" s="1"/>
  <c r="B177" i="20"/>
  <c r="N177" i="20" s="1"/>
  <c r="B178" i="20"/>
  <c r="N178" i="20" s="1"/>
  <c r="B179" i="20"/>
  <c r="N179" i="20" s="1"/>
  <c r="B180" i="20"/>
  <c r="N180" i="20" s="1"/>
  <c r="B181" i="20"/>
  <c r="N181" i="20" s="1"/>
  <c r="B182" i="20"/>
  <c r="N182" i="20" s="1"/>
  <c r="B183" i="20"/>
  <c r="N183" i="20" s="1"/>
  <c r="B184" i="20"/>
  <c r="N184" i="20" s="1"/>
  <c r="B185" i="20"/>
  <c r="N185" i="20" s="1"/>
  <c r="B186" i="20"/>
  <c r="N186" i="20" s="1"/>
  <c r="B187" i="20"/>
  <c r="N187" i="20" s="1"/>
  <c r="B188" i="20"/>
  <c r="N188" i="20" s="1"/>
  <c r="B189" i="20"/>
  <c r="N189" i="20" s="1"/>
  <c r="B190" i="20"/>
  <c r="N190" i="20" s="1"/>
  <c r="B191" i="20"/>
  <c r="N191" i="20" s="1"/>
  <c r="B192" i="20"/>
  <c r="N192" i="20" s="1"/>
  <c r="B193" i="20"/>
  <c r="N193" i="20" s="1"/>
  <c r="B194" i="20"/>
  <c r="N194" i="20" s="1"/>
  <c r="B195" i="20"/>
  <c r="N195" i="20" s="1"/>
  <c r="B196" i="20"/>
  <c r="N196" i="20" s="1"/>
  <c r="B197" i="20"/>
  <c r="N197" i="20" s="1"/>
  <c r="B198" i="20"/>
  <c r="N198" i="20" s="1"/>
  <c r="B199" i="20"/>
  <c r="N199" i="20" s="1"/>
  <c r="B200" i="20"/>
  <c r="N200" i="20" s="1"/>
  <c r="B201" i="20"/>
  <c r="N201" i="20" s="1"/>
  <c r="B202" i="20"/>
  <c r="N202" i="20" s="1"/>
  <c r="B203" i="20"/>
  <c r="N203" i="20" s="1"/>
  <c r="B204" i="20"/>
  <c r="N204" i="20" s="1"/>
  <c r="B205" i="20"/>
  <c r="N205" i="20" s="1"/>
  <c r="B206" i="20"/>
  <c r="N206" i="20" s="1"/>
  <c r="B207" i="20"/>
  <c r="N207" i="20" s="1"/>
  <c r="B208" i="20"/>
  <c r="N208" i="20" s="1"/>
  <c r="B209" i="20"/>
  <c r="N209" i="20" s="1"/>
  <c r="B210" i="20"/>
  <c r="N210" i="20" s="1"/>
  <c r="B211" i="20"/>
  <c r="N211" i="20" s="1"/>
  <c r="B212" i="20"/>
  <c r="N212" i="20" s="1"/>
  <c r="B213" i="20"/>
  <c r="N213" i="20" s="1"/>
  <c r="B214" i="20"/>
  <c r="N214" i="20" s="1"/>
  <c r="B215" i="20"/>
  <c r="N215" i="20" s="1"/>
  <c r="B216" i="20"/>
  <c r="N216" i="20" s="1"/>
  <c r="B217" i="20"/>
  <c r="N217" i="20" s="1"/>
  <c r="B218" i="20"/>
  <c r="N218" i="20" s="1"/>
  <c r="B219" i="20"/>
  <c r="N219" i="20" s="1"/>
  <c r="B220" i="20"/>
  <c r="N220" i="20" s="1"/>
  <c r="B221" i="20"/>
  <c r="N221" i="20" s="1"/>
  <c r="B222" i="20"/>
  <c r="N222" i="20" s="1"/>
  <c r="B223" i="20"/>
  <c r="N223" i="20" s="1"/>
  <c r="B224" i="20"/>
  <c r="N224" i="20" s="1"/>
  <c r="B225" i="20"/>
  <c r="N225" i="20" s="1"/>
  <c r="B226" i="20"/>
  <c r="N226" i="20" s="1"/>
  <c r="B227" i="20"/>
  <c r="N227" i="20" s="1"/>
  <c r="B228" i="20"/>
  <c r="N228" i="20" s="1"/>
  <c r="B229" i="20"/>
  <c r="N229" i="20" s="1"/>
  <c r="B230" i="20"/>
  <c r="N230" i="20" s="1"/>
  <c r="B231" i="20"/>
  <c r="N231" i="20" s="1"/>
  <c r="B232" i="20"/>
  <c r="N232" i="20" s="1"/>
  <c r="B233" i="20"/>
  <c r="N233" i="20" s="1"/>
  <c r="B234" i="20"/>
  <c r="N234" i="20" s="1"/>
  <c r="B235" i="20"/>
  <c r="N235" i="20" s="1"/>
  <c r="B236" i="20"/>
  <c r="N236" i="20" s="1"/>
  <c r="B237" i="20"/>
  <c r="N237" i="20" s="1"/>
  <c r="B238" i="20"/>
  <c r="N238" i="20" s="1"/>
  <c r="B239" i="20"/>
  <c r="N239" i="20" s="1"/>
  <c r="B240" i="20"/>
  <c r="N240" i="20" s="1"/>
  <c r="B241" i="20"/>
  <c r="N241" i="20" s="1"/>
  <c r="B242" i="20"/>
  <c r="N242" i="20" s="1"/>
  <c r="B243" i="20"/>
  <c r="N243" i="20" s="1"/>
  <c r="B244" i="20"/>
  <c r="N244" i="20" s="1"/>
  <c r="B245" i="20"/>
  <c r="N245" i="20" s="1"/>
  <c r="B246" i="20"/>
  <c r="N246" i="20" s="1"/>
  <c r="B247" i="20"/>
  <c r="N247" i="20" s="1"/>
  <c r="B248" i="20"/>
  <c r="N248" i="20" s="1"/>
  <c r="B249" i="20"/>
  <c r="N249" i="20" s="1"/>
  <c r="B250" i="20"/>
  <c r="N250" i="20" s="1"/>
  <c r="B251" i="20"/>
  <c r="N251" i="20" s="1"/>
  <c r="B252" i="20"/>
  <c r="N252" i="20" s="1"/>
  <c r="B253" i="20"/>
  <c r="N253" i="20" s="1"/>
  <c r="B254" i="20"/>
  <c r="N254" i="20" s="1"/>
  <c r="B255" i="20"/>
  <c r="N255" i="20" s="1"/>
  <c r="B256" i="20"/>
  <c r="N256" i="20" s="1"/>
  <c r="B257" i="20"/>
  <c r="N257" i="20" s="1"/>
  <c r="B258" i="20"/>
  <c r="N258" i="20" s="1"/>
  <c r="B259" i="20"/>
  <c r="N259" i="20" s="1"/>
  <c r="B260" i="20"/>
  <c r="N260" i="20" s="1"/>
  <c r="B261" i="20"/>
  <c r="N261" i="20" s="1"/>
  <c r="B262" i="20"/>
  <c r="N262" i="20" s="1"/>
  <c r="B263" i="20"/>
  <c r="N263" i="20" s="1"/>
  <c r="B264" i="20"/>
  <c r="N264" i="20" s="1"/>
  <c r="B265" i="20"/>
  <c r="N265" i="20" s="1"/>
  <c r="B266" i="20"/>
  <c r="N266" i="20" s="1"/>
  <c r="B267" i="20"/>
  <c r="N267" i="20" s="1"/>
  <c r="B268" i="20"/>
  <c r="N268" i="20" s="1"/>
  <c r="B269" i="20"/>
  <c r="N269" i="20" s="1"/>
  <c r="B270" i="20"/>
  <c r="N270" i="20" s="1"/>
  <c r="B271" i="20"/>
  <c r="N271" i="20" s="1"/>
  <c r="B272" i="20"/>
  <c r="N272" i="20" s="1"/>
  <c r="B273" i="20"/>
  <c r="N273" i="20" s="1"/>
  <c r="B274" i="20"/>
  <c r="N274" i="20" s="1"/>
  <c r="B275" i="20"/>
  <c r="N275" i="20" s="1"/>
  <c r="B276" i="20"/>
  <c r="N276" i="20" s="1"/>
  <c r="B277" i="20"/>
  <c r="N277" i="20" s="1"/>
  <c r="B278" i="20"/>
  <c r="N278" i="20" s="1"/>
  <c r="B279" i="20"/>
  <c r="N279" i="20" s="1"/>
  <c r="B280" i="20"/>
  <c r="N280" i="20" s="1"/>
  <c r="B281" i="20"/>
  <c r="N281" i="20" s="1"/>
  <c r="B282" i="20"/>
  <c r="N282" i="20" s="1"/>
  <c r="B283" i="20"/>
  <c r="N283" i="20" s="1"/>
  <c r="B284" i="20"/>
  <c r="N284" i="20" s="1"/>
  <c r="B285" i="20"/>
  <c r="N285" i="20" s="1"/>
  <c r="B286" i="20"/>
  <c r="N286" i="20" s="1"/>
  <c r="B287" i="20"/>
  <c r="N287" i="20" s="1"/>
  <c r="B288" i="20"/>
  <c r="N288" i="20" s="1"/>
  <c r="B289" i="20"/>
  <c r="N289" i="20" s="1"/>
  <c r="B290" i="20"/>
  <c r="N290" i="20" s="1"/>
  <c r="B291" i="20"/>
  <c r="N291" i="20" s="1"/>
  <c r="B292" i="20"/>
  <c r="N292" i="20" s="1"/>
  <c r="B293" i="20"/>
  <c r="N293" i="20" s="1"/>
  <c r="B294" i="20"/>
  <c r="N294" i="20" s="1"/>
  <c r="B295" i="20"/>
  <c r="N295" i="20" s="1"/>
  <c r="B296" i="20"/>
  <c r="N296" i="20" s="1"/>
  <c r="B297" i="20"/>
  <c r="N297" i="20" s="1"/>
  <c r="B298" i="20"/>
  <c r="N298" i="20" s="1"/>
  <c r="B299" i="20"/>
  <c r="N299" i="20" s="1"/>
  <c r="B300" i="20"/>
  <c r="N300" i="20" s="1"/>
  <c r="B301" i="20"/>
  <c r="N301" i="20" s="1"/>
  <c r="B302" i="20"/>
  <c r="N302" i="20" s="1"/>
  <c r="B303" i="20"/>
  <c r="N303" i="20" s="1"/>
  <c r="B304" i="20"/>
  <c r="N304" i="20" s="1"/>
  <c r="B305" i="20"/>
  <c r="N305" i="20" s="1"/>
  <c r="B306" i="20"/>
  <c r="N306" i="20" s="1"/>
  <c r="B307" i="20"/>
  <c r="N307" i="20" s="1"/>
  <c r="B308" i="20"/>
  <c r="N308" i="20" s="1"/>
  <c r="B309" i="20"/>
  <c r="N309" i="20" s="1"/>
  <c r="B310" i="20"/>
  <c r="N310" i="20" s="1"/>
  <c r="B311" i="20"/>
  <c r="N311" i="20" s="1"/>
  <c r="B312" i="20"/>
  <c r="N312" i="20" s="1"/>
  <c r="B313" i="20"/>
  <c r="N313" i="20" s="1"/>
  <c r="B314" i="20"/>
  <c r="N314" i="20" s="1"/>
  <c r="B315" i="20"/>
  <c r="N315" i="20" s="1"/>
  <c r="B316" i="20"/>
  <c r="N316" i="20" s="1"/>
  <c r="B317" i="20"/>
  <c r="N317" i="20" s="1"/>
  <c r="B318" i="20"/>
  <c r="N318" i="20" s="1"/>
  <c r="B319" i="20"/>
  <c r="N319" i="20" s="1"/>
  <c r="B320" i="20"/>
  <c r="N320" i="20" s="1"/>
  <c r="B321" i="20"/>
  <c r="N321" i="20" s="1"/>
  <c r="B322" i="20"/>
  <c r="N322" i="20" s="1"/>
  <c r="B323" i="20"/>
  <c r="N323" i="20" s="1"/>
  <c r="B324" i="20"/>
  <c r="N324" i="20" s="1"/>
  <c r="B325" i="20"/>
  <c r="N325" i="20" s="1"/>
  <c r="B326" i="20"/>
  <c r="N326" i="20" s="1"/>
  <c r="B327" i="20"/>
  <c r="N327" i="20" s="1"/>
  <c r="B328" i="20"/>
  <c r="N328" i="20" s="1"/>
  <c r="B329" i="20"/>
  <c r="N329" i="20" s="1"/>
  <c r="B330" i="20"/>
  <c r="N330" i="20" s="1"/>
  <c r="B331" i="20"/>
  <c r="N331" i="20" s="1"/>
  <c r="B332" i="20"/>
  <c r="N332" i="20" s="1"/>
  <c r="B333" i="20"/>
  <c r="N333" i="20" s="1"/>
  <c r="B334" i="20"/>
  <c r="N334" i="20" s="1"/>
  <c r="B335" i="20"/>
  <c r="N335" i="20" s="1"/>
  <c r="B336" i="20"/>
  <c r="N336" i="20" s="1"/>
  <c r="B337" i="20"/>
  <c r="N337" i="20" s="1"/>
  <c r="B338" i="20"/>
  <c r="N338" i="20" s="1"/>
  <c r="B339" i="20"/>
  <c r="N339" i="20" s="1"/>
  <c r="B340" i="20"/>
  <c r="N340" i="20" s="1"/>
  <c r="B341" i="20"/>
  <c r="N341" i="20" s="1"/>
  <c r="B342" i="20"/>
  <c r="N342" i="20" s="1"/>
  <c r="B343" i="20"/>
  <c r="N343" i="20" s="1"/>
  <c r="B344" i="20"/>
  <c r="N344" i="20" s="1"/>
  <c r="B345" i="20"/>
  <c r="N345" i="20" s="1"/>
  <c r="B346" i="20"/>
  <c r="N346" i="20" s="1"/>
  <c r="B347" i="20"/>
  <c r="N347" i="20" s="1"/>
  <c r="B348" i="20"/>
  <c r="N348" i="20" s="1"/>
  <c r="B349" i="20"/>
  <c r="N349" i="20" s="1"/>
  <c r="B350" i="20"/>
  <c r="N350" i="20" s="1"/>
  <c r="B351" i="20"/>
  <c r="N351" i="20" s="1"/>
  <c r="B352" i="20"/>
  <c r="N352" i="20" s="1"/>
  <c r="B353" i="20"/>
  <c r="N353" i="20" s="1"/>
  <c r="B354" i="20"/>
  <c r="N354" i="20" s="1"/>
  <c r="B355" i="20"/>
  <c r="N355" i="20" s="1"/>
  <c r="B356" i="20"/>
  <c r="N356" i="20" s="1"/>
  <c r="B357" i="20"/>
  <c r="N357" i="20" s="1"/>
  <c r="B358" i="20"/>
  <c r="N358" i="20" s="1"/>
  <c r="B359" i="20"/>
  <c r="N359" i="20" s="1"/>
  <c r="B360" i="20"/>
  <c r="N360" i="20" s="1"/>
  <c r="B361" i="20"/>
  <c r="N361" i="20" s="1"/>
  <c r="B362" i="20"/>
  <c r="N362" i="20" s="1"/>
  <c r="B363" i="20"/>
  <c r="N363" i="20" s="1"/>
  <c r="B364" i="20"/>
  <c r="N364" i="20" s="1"/>
  <c r="B365" i="20"/>
  <c r="N365" i="20" s="1"/>
  <c r="B366" i="20"/>
  <c r="N366" i="20" s="1"/>
  <c r="B367" i="20"/>
  <c r="N367" i="20" s="1"/>
  <c r="B368" i="20"/>
  <c r="N368" i="20" s="1"/>
  <c r="B369" i="20"/>
  <c r="N369" i="20" s="1"/>
  <c r="B370" i="20"/>
  <c r="N370" i="20" s="1"/>
  <c r="B371" i="20"/>
  <c r="N371" i="20" s="1"/>
  <c r="B372" i="20"/>
  <c r="N372" i="20" s="1"/>
  <c r="B373" i="20"/>
  <c r="N373" i="20" s="1"/>
  <c r="B374" i="20"/>
  <c r="N374" i="20" s="1"/>
  <c r="B375" i="20"/>
  <c r="N375" i="20" s="1"/>
  <c r="B376" i="20"/>
  <c r="N376" i="20" s="1"/>
  <c r="B377" i="20"/>
  <c r="N377" i="20" s="1"/>
  <c r="B378" i="20"/>
  <c r="N378" i="20" s="1"/>
  <c r="B379" i="20"/>
  <c r="N379" i="20" s="1"/>
  <c r="B380" i="20"/>
  <c r="N380" i="20" s="1"/>
  <c r="B381" i="20"/>
  <c r="N381" i="20" s="1"/>
  <c r="B382" i="20"/>
  <c r="N382" i="20" s="1"/>
  <c r="B383" i="20"/>
  <c r="N383" i="20" s="1"/>
  <c r="B384" i="20"/>
  <c r="N384" i="20" s="1"/>
  <c r="B385" i="20"/>
  <c r="N385" i="20" s="1"/>
  <c r="B386" i="20"/>
  <c r="N386" i="20" s="1"/>
  <c r="B387" i="20"/>
  <c r="N387" i="20" s="1"/>
  <c r="B388" i="20"/>
  <c r="N388" i="20" s="1"/>
  <c r="B389" i="20"/>
  <c r="N389" i="20" s="1"/>
  <c r="B390" i="20"/>
  <c r="N390" i="20" s="1"/>
  <c r="B391" i="20"/>
  <c r="N391" i="20" s="1"/>
  <c r="B392" i="20"/>
  <c r="N392" i="20" s="1"/>
  <c r="B393" i="20"/>
  <c r="N393" i="20" s="1"/>
  <c r="B394" i="20"/>
  <c r="N394" i="20" s="1"/>
  <c r="B395" i="20"/>
  <c r="N395" i="20" s="1"/>
  <c r="B396" i="20"/>
  <c r="N396" i="20" s="1"/>
  <c r="B397" i="20"/>
  <c r="N397" i="20" s="1"/>
  <c r="B398" i="20"/>
  <c r="N398" i="20" s="1"/>
  <c r="B399" i="20"/>
  <c r="N399" i="20" s="1"/>
  <c r="B400" i="20"/>
  <c r="N400" i="20" s="1"/>
  <c r="B401" i="20"/>
  <c r="N401" i="20" s="1"/>
  <c r="B402" i="20"/>
  <c r="N402" i="20" s="1"/>
  <c r="B403" i="20"/>
  <c r="N403" i="20" s="1"/>
  <c r="B404" i="20"/>
  <c r="N404" i="20" s="1"/>
  <c r="B405" i="20"/>
  <c r="N405" i="20" s="1"/>
  <c r="B406" i="20"/>
  <c r="N406" i="20" s="1"/>
  <c r="B407" i="20"/>
  <c r="N407" i="20" s="1"/>
  <c r="B408" i="20"/>
  <c r="N408" i="20" s="1"/>
  <c r="B409" i="20"/>
  <c r="N409" i="20" s="1"/>
  <c r="B410" i="20"/>
  <c r="N410" i="20" s="1"/>
  <c r="B411" i="20"/>
  <c r="N411" i="20" s="1"/>
  <c r="B412" i="20"/>
  <c r="N412" i="20" s="1"/>
  <c r="B413" i="20"/>
  <c r="N413" i="20" s="1"/>
  <c r="B414" i="20"/>
  <c r="N414" i="20" s="1"/>
  <c r="B415" i="20"/>
  <c r="N415" i="20" s="1"/>
  <c r="B416" i="20"/>
  <c r="N416" i="20" s="1"/>
  <c r="B417" i="20"/>
  <c r="N417" i="20" s="1"/>
  <c r="B418" i="20"/>
  <c r="N418" i="20" s="1"/>
  <c r="B419" i="20"/>
  <c r="N419" i="20" s="1"/>
  <c r="B420" i="20"/>
  <c r="N420" i="20" s="1"/>
  <c r="B421" i="20"/>
  <c r="N421" i="20" s="1"/>
  <c r="B422" i="20"/>
  <c r="N422" i="20" s="1"/>
  <c r="B423" i="20"/>
  <c r="N423" i="20" s="1"/>
  <c r="B424" i="20"/>
  <c r="N424" i="20" s="1"/>
  <c r="B425" i="20"/>
  <c r="N425" i="20" s="1"/>
  <c r="B426" i="20"/>
  <c r="N426" i="20" s="1"/>
  <c r="B427" i="20"/>
  <c r="N427" i="20" s="1"/>
  <c r="B428" i="20"/>
  <c r="N428" i="20" s="1"/>
  <c r="B429" i="20"/>
  <c r="N429" i="20" s="1"/>
  <c r="B430" i="20"/>
  <c r="N430" i="20" s="1"/>
  <c r="B431" i="20"/>
  <c r="N431" i="20" s="1"/>
  <c r="B432" i="20"/>
  <c r="N432" i="20" s="1"/>
  <c r="B433" i="20"/>
  <c r="N433" i="20" s="1"/>
  <c r="B434" i="20"/>
  <c r="N434" i="20" s="1"/>
  <c r="B435" i="20"/>
  <c r="N435" i="20" s="1"/>
  <c r="B436" i="20"/>
  <c r="N436" i="20" s="1"/>
  <c r="B437" i="20"/>
  <c r="N437" i="20" s="1"/>
  <c r="B438" i="20"/>
  <c r="N438" i="20" s="1"/>
  <c r="B439" i="20"/>
  <c r="N439" i="20" s="1"/>
  <c r="B440" i="20"/>
  <c r="N440" i="20" s="1"/>
  <c r="B441" i="20"/>
  <c r="N441" i="20" s="1"/>
  <c r="B442" i="20"/>
  <c r="N442" i="20" s="1"/>
  <c r="B443" i="20"/>
  <c r="N443" i="20" s="1"/>
  <c r="B444" i="20"/>
  <c r="N444" i="20" s="1"/>
  <c r="B445" i="20"/>
  <c r="N445" i="20" s="1"/>
  <c r="B446" i="20"/>
  <c r="N446" i="20" s="1"/>
  <c r="B447" i="20"/>
  <c r="N447" i="20" s="1"/>
  <c r="B448" i="20"/>
  <c r="N448" i="20" s="1"/>
  <c r="B449" i="20"/>
  <c r="N449" i="20" s="1"/>
  <c r="B450" i="20"/>
  <c r="N450" i="20" s="1"/>
  <c r="B451" i="20"/>
  <c r="N451" i="20" s="1"/>
  <c r="B452" i="20"/>
  <c r="N452" i="20" s="1"/>
  <c r="B453" i="20"/>
  <c r="N453" i="20" s="1"/>
  <c r="B454" i="20"/>
  <c r="N454" i="20" s="1"/>
  <c r="B455" i="20"/>
  <c r="N455" i="20" s="1"/>
  <c r="B456" i="20"/>
  <c r="N456" i="20" s="1"/>
  <c r="B457" i="20"/>
  <c r="N457" i="20" s="1"/>
  <c r="B458" i="20"/>
  <c r="N458" i="20" s="1"/>
  <c r="B459" i="20"/>
  <c r="N459" i="20" s="1"/>
  <c r="B460" i="20"/>
  <c r="N460" i="20" s="1"/>
  <c r="B461" i="20"/>
  <c r="N461" i="20" s="1"/>
  <c r="B462" i="20"/>
  <c r="N462" i="20" s="1"/>
  <c r="B463" i="20"/>
  <c r="N463" i="20" s="1"/>
  <c r="B464" i="20"/>
  <c r="N464" i="20" s="1"/>
  <c r="B465" i="20"/>
  <c r="N465" i="20" s="1"/>
  <c r="B466" i="20"/>
  <c r="N466" i="20" s="1"/>
  <c r="B467" i="20"/>
  <c r="N467" i="20" s="1"/>
  <c r="B468" i="20"/>
  <c r="N468" i="20" s="1"/>
  <c r="B469" i="20"/>
  <c r="N469" i="20" s="1"/>
  <c r="B470" i="20"/>
  <c r="N470" i="20" s="1"/>
  <c r="B471" i="20"/>
  <c r="N471" i="20" s="1"/>
  <c r="B472" i="20"/>
  <c r="N472" i="20" s="1"/>
  <c r="B473" i="20"/>
  <c r="N473" i="20" s="1"/>
  <c r="B474" i="20"/>
  <c r="N474" i="20" s="1"/>
  <c r="B475" i="20"/>
  <c r="N475" i="20" s="1"/>
  <c r="B476" i="20"/>
  <c r="N476" i="20" s="1"/>
  <c r="B477" i="20"/>
  <c r="N477" i="20" s="1"/>
  <c r="B478" i="20"/>
  <c r="N478" i="20" s="1"/>
  <c r="B479" i="20"/>
  <c r="N479" i="20" s="1"/>
  <c r="B480" i="20"/>
  <c r="N480" i="20" s="1"/>
  <c r="B481" i="20"/>
  <c r="N481" i="20" s="1"/>
  <c r="B482" i="20"/>
  <c r="N482" i="20" s="1"/>
  <c r="B483" i="20"/>
  <c r="N483" i="20" s="1"/>
  <c r="B484" i="20"/>
  <c r="N484" i="20" s="1"/>
  <c r="B485" i="20"/>
  <c r="N485" i="20" s="1"/>
  <c r="B486" i="20"/>
  <c r="N486" i="20" s="1"/>
  <c r="B487" i="20"/>
  <c r="N487" i="20" s="1"/>
  <c r="B488" i="20"/>
  <c r="N488" i="20" s="1"/>
  <c r="B489" i="20"/>
  <c r="N489" i="20" s="1"/>
  <c r="B490" i="20"/>
  <c r="N490" i="20" s="1"/>
  <c r="B491" i="20"/>
  <c r="N491" i="20" s="1"/>
  <c r="B492" i="20"/>
  <c r="N492" i="20" s="1"/>
  <c r="B493" i="20"/>
  <c r="N493" i="20" s="1"/>
  <c r="B494" i="20"/>
  <c r="N494" i="20" s="1"/>
  <c r="B495" i="20"/>
  <c r="N495" i="20" s="1"/>
  <c r="B496" i="20"/>
  <c r="N496" i="20" s="1"/>
  <c r="B497" i="20"/>
  <c r="N497" i="20" s="1"/>
  <c r="B498" i="20"/>
  <c r="N498" i="20" s="1"/>
  <c r="B499" i="20"/>
  <c r="N499" i="20" s="1"/>
  <c r="B500" i="20"/>
  <c r="N500" i="20" s="1"/>
  <c r="B501" i="20"/>
  <c r="N501" i="20" s="1"/>
  <c r="B502" i="20"/>
  <c r="N502" i="20" s="1"/>
  <c r="B503" i="20"/>
  <c r="N503" i="20" s="1"/>
  <c r="B504" i="20"/>
  <c r="N504" i="20" s="1"/>
  <c r="B505" i="20"/>
  <c r="N505" i="20" s="1"/>
  <c r="B506" i="20"/>
  <c r="N506" i="20" s="1"/>
  <c r="B507" i="20"/>
  <c r="N507" i="20" s="1"/>
  <c r="B508" i="20"/>
  <c r="N508" i="20" s="1"/>
  <c r="B509" i="20"/>
  <c r="N509" i="20" s="1"/>
  <c r="B510" i="20"/>
  <c r="N510" i="20" s="1"/>
  <c r="B511" i="20"/>
  <c r="N511" i="20" s="1"/>
  <c r="B512" i="20"/>
  <c r="N512" i="20" s="1"/>
  <c r="B513" i="20"/>
  <c r="N513" i="20" s="1"/>
  <c r="B514" i="20"/>
  <c r="N514" i="20" s="1"/>
  <c r="B515" i="20"/>
  <c r="N515" i="20" s="1"/>
  <c r="B516" i="20"/>
  <c r="N516" i="20" s="1"/>
  <c r="B517" i="20"/>
  <c r="N517" i="20" s="1"/>
  <c r="B518" i="20"/>
  <c r="N518" i="20" s="1"/>
  <c r="B519" i="20"/>
  <c r="N519" i="20" s="1"/>
  <c r="B520" i="20"/>
  <c r="N520" i="20" s="1"/>
  <c r="B521" i="20"/>
  <c r="N521" i="20" s="1"/>
  <c r="B522" i="20"/>
  <c r="N522" i="20" s="1"/>
  <c r="B523" i="20"/>
  <c r="N523" i="20" s="1"/>
  <c r="B524" i="20"/>
  <c r="N524" i="20" s="1"/>
  <c r="B525" i="20"/>
  <c r="N525" i="20" s="1"/>
  <c r="B526" i="20"/>
  <c r="N526" i="20" s="1"/>
  <c r="B527" i="20"/>
  <c r="N527" i="20" s="1"/>
  <c r="B528" i="20"/>
  <c r="N528" i="20" s="1"/>
  <c r="B529" i="20"/>
  <c r="N529" i="20" s="1"/>
  <c r="B530" i="20"/>
  <c r="N530" i="20" s="1"/>
  <c r="B531" i="20"/>
  <c r="N531" i="20" s="1"/>
  <c r="B532" i="20"/>
  <c r="N532" i="20" s="1"/>
  <c r="B533" i="20"/>
  <c r="N533" i="20" s="1"/>
  <c r="B534" i="20"/>
  <c r="N534" i="20" s="1"/>
  <c r="B535" i="20"/>
  <c r="N535" i="20" s="1"/>
  <c r="B536" i="20"/>
  <c r="N536" i="20" s="1"/>
  <c r="B537" i="20"/>
  <c r="N537" i="20" s="1"/>
  <c r="B538" i="20"/>
  <c r="N538" i="20" s="1"/>
  <c r="B539" i="20"/>
  <c r="N539" i="20" s="1"/>
  <c r="B540" i="20"/>
  <c r="N540" i="20" s="1"/>
  <c r="B541" i="20"/>
  <c r="N541" i="20" s="1"/>
  <c r="B542" i="20"/>
  <c r="N542" i="20" s="1"/>
  <c r="B543" i="20"/>
  <c r="N543" i="20" s="1"/>
  <c r="B544" i="20"/>
  <c r="N544" i="20" s="1"/>
  <c r="B545" i="20"/>
  <c r="N545" i="20" s="1"/>
  <c r="B546" i="20"/>
  <c r="N546" i="20" s="1"/>
  <c r="B547" i="20"/>
  <c r="N547" i="20" s="1"/>
  <c r="B548" i="20"/>
  <c r="N548" i="20" s="1"/>
  <c r="B549" i="20"/>
  <c r="N549" i="20" s="1"/>
  <c r="B550" i="20"/>
  <c r="N550" i="20" s="1"/>
  <c r="B551" i="20"/>
  <c r="N551" i="20" s="1"/>
  <c r="B552" i="20"/>
  <c r="N552" i="20" s="1"/>
  <c r="B553" i="20"/>
  <c r="N553" i="20" s="1"/>
  <c r="B554" i="20"/>
  <c r="N554" i="20" s="1"/>
  <c r="B555" i="20"/>
  <c r="N555" i="20" s="1"/>
  <c r="B556" i="20"/>
  <c r="N556" i="20" s="1"/>
  <c r="B557" i="20"/>
  <c r="N557" i="20" s="1"/>
  <c r="B558" i="20"/>
  <c r="N558" i="20" s="1"/>
  <c r="B559" i="20"/>
  <c r="N559" i="20" s="1"/>
  <c r="B560" i="20"/>
  <c r="N560" i="20" s="1"/>
  <c r="B561" i="20"/>
  <c r="N561" i="20" s="1"/>
  <c r="B562" i="20"/>
  <c r="N562" i="20" s="1"/>
  <c r="B563" i="20"/>
  <c r="N563" i="20" s="1"/>
  <c r="B564" i="20"/>
  <c r="N564" i="20" s="1"/>
  <c r="B565" i="20"/>
  <c r="N565" i="20" s="1"/>
  <c r="B566" i="20"/>
  <c r="N566" i="20" s="1"/>
  <c r="B567" i="20"/>
  <c r="N567" i="20" s="1"/>
  <c r="B568" i="20"/>
  <c r="N568" i="20" s="1"/>
  <c r="B569" i="20"/>
  <c r="N569" i="20" s="1"/>
  <c r="B570" i="20"/>
  <c r="N570" i="20" s="1"/>
  <c r="B571" i="20"/>
  <c r="N571" i="20" s="1"/>
  <c r="B572" i="20"/>
  <c r="N572" i="20" s="1"/>
  <c r="B573" i="20"/>
  <c r="N573" i="20" s="1"/>
  <c r="B574" i="20"/>
  <c r="N574" i="20" s="1"/>
  <c r="B575" i="20"/>
  <c r="N575" i="20" s="1"/>
  <c r="B576" i="20"/>
  <c r="N576" i="20" s="1"/>
  <c r="B577" i="20"/>
  <c r="N577" i="20" s="1"/>
  <c r="B578" i="20"/>
  <c r="N578" i="20" s="1"/>
  <c r="B579" i="20"/>
  <c r="N579" i="20" s="1"/>
  <c r="B580" i="20"/>
  <c r="N580" i="20" s="1"/>
  <c r="B581" i="20"/>
  <c r="N581" i="20" s="1"/>
  <c r="B582" i="20"/>
  <c r="N582" i="20" s="1"/>
  <c r="B583" i="20"/>
  <c r="N583" i="20" s="1"/>
  <c r="C85" i="20"/>
  <c r="E85" i="20"/>
  <c r="M85" i="20" s="1"/>
  <c r="F85" i="20"/>
  <c r="C86" i="20"/>
  <c r="E86" i="20"/>
  <c r="M86" i="20" s="1"/>
  <c r="F86" i="20"/>
  <c r="C87" i="20"/>
  <c r="E87" i="20"/>
  <c r="M87" i="20" s="1"/>
  <c r="F87" i="20"/>
  <c r="C88" i="20"/>
  <c r="E88" i="20"/>
  <c r="M88" i="20" s="1"/>
  <c r="F88" i="20"/>
  <c r="C89" i="20"/>
  <c r="E89" i="20"/>
  <c r="M89" i="20" s="1"/>
  <c r="F89" i="20"/>
  <c r="C90" i="20"/>
  <c r="E90" i="20"/>
  <c r="M90" i="20" s="1"/>
  <c r="F90" i="20"/>
  <c r="C91" i="20"/>
  <c r="E91" i="20"/>
  <c r="M91" i="20" s="1"/>
  <c r="F91" i="20"/>
  <c r="C92" i="20"/>
  <c r="E92" i="20"/>
  <c r="M92" i="20" s="1"/>
  <c r="F92" i="20"/>
  <c r="C93" i="20"/>
  <c r="E93" i="20"/>
  <c r="M93" i="20" s="1"/>
  <c r="F93" i="20"/>
  <c r="C94" i="20"/>
  <c r="E94" i="20"/>
  <c r="M94" i="20" s="1"/>
  <c r="F94" i="20"/>
  <c r="C95" i="20"/>
  <c r="E95" i="20"/>
  <c r="M95" i="20" s="1"/>
  <c r="F95" i="20"/>
  <c r="C96" i="20"/>
  <c r="E96" i="20"/>
  <c r="M96" i="20" s="1"/>
  <c r="F96" i="20"/>
  <c r="C97" i="20"/>
  <c r="E97" i="20"/>
  <c r="M97" i="20" s="1"/>
  <c r="F97" i="20"/>
  <c r="C98" i="20"/>
  <c r="E98" i="20"/>
  <c r="M98" i="20" s="1"/>
  <c r="F98" i="20"/>
  <c r="C99" i="20"/>
  <c r="E99" i="20"/>
  <c r="M99" i="20" s="1"/>
  <c r="F99" i="20"/>
  <c r="C100" i="20"/>
  <c r="E100" i="20"/>
  <c r="M100" i="20" s="1"/>
  <c r="F100" i="20"/>
  <c r="C101" i="20"/>
  <c r="E101" i="20"/>
  <c r="M101" i="20" s="1"/>
  <c r="F101" i="20"/>
  <c r="C102" i="20"/>
  <c r="E102" i="20"/>
  <c r="M102" i="20" s="1"/>
  <c r="F102" i="20"/>
  <c r="C103" i="20"/>
  <c r="E103" i="20"/>
  <c r="M103" i="20" s="1"/>
  <c r="F103" i="20"/>
  <c r="C104" i="20"/>
  <c r="E104" i="20"/>
  <c r="M104" i="20" s="1"/>
  <c r="F104" i="20"/>
  <c r="C105" i="20"/>
  <c r="E105" i="20"/>
  <c r="M105" i="20" s="1"/>
  <c r="F105" i="20"/>
  <c r="C106" i="20"/>
  <c r="E106" i="20"/>
  <c r="M106" i="20" s="1"/>
  <c r="F106" i="20"/>
  <c r="C107" i="20"/>
  <c r="E107" i="20"/>
  <c r="M107" i="20" s="1"/>
  <c r="F107" i="20"/>
  <c r="C108" i="20"/>
  <c r="E108" i="20"/>
  <c r="M108" i="20" s="1"/>
  <c r="F108" i="20"/>
  <c r="C109" i="20"/>
  <c r="E109" i="20"/>
  <c r="M109" i="20" s="1"/>
  <c r="F109" i="20"/>
  <c r="C110" i="20"/>
  <c r="E110" i="20"/>
  <c r="M110" i="20" s="1"/>
  <c r="F110" i="20"/>
  <c r="C111" i="20"/>
  <c r="E111" i="20"/>
  <c r="M111" i="20" s="1"/>
  <c r="F111" i="20"/>
  <c r="C112" i="20"/>
  <c r="E112" i="20"/>
  <c r="M112" i="20" s="1"/>
  <c r="F112" i="20"/>
  <c r="C113" i="20"/>
  <c r="E113" i="20"/>
  <c r="M113" i="20" s="1"/>
  <c r="F113" i="20"/>
  <c r="C114" i="20"/>
  <c r="E114" i="20"/>
  <c r="M114" i="20" s="1"/>
  <c r="F114" i="20"/>
  <c r="C115" i="20"/>
  <c r="E115" i="20"/>
  <c r="M115" i="20" s="1"/>
  <c r="F115" i="20"/>
  <c r="C116" i="20"/>
  <c r="E116" i="20"/>
  <c r="M116" i="20" s="1"/>
  <c r="F116" i="20"/>
  <c r="C117" i="20"/>
  <c r="E117" i="20"/>
  <c r="M117" i="20" s="1"/>
  <c r="F117" i="20"/>
  <c r="C118" i="20"/>
  <c r="E118" i="20"/>
  <c r="M118" i="20" s="1"/>
  <c r="F118" i="20"/>
  <c r="C119" i="20"/>
  <c r="E119" i="20"/>
  <c r="M119" i="20" s="1"/>
  <c r="F119" i="20"/>
  <c r="C120" i="20"/>
  <c r="E120" i="20"/>
  <c r="M120" i="20" s="1"/>
  <c r="F120" i="20"/>
  <c r="C121" i="20"/>
  <c r="E121" i="20"/>
  <c r="M121" i="20" s="1"/>
  <c r="F121" i="20"/>
  <c r="C122" i="20"/>
  <c r="E122" i="20"/>
  <c r="M122" i="20" s="1"/>
  <c r="F122" i="20"/>
  <c r="C123" i="20"/>
  <c r="E123" i="20"/>
  <c r="M123" i="20" s="1"/>
  <c r="F123" i="20"/>
  <c r="C124" i="20"/>
  <c r="E124" i="20"/>
  <c r="M124" i="20" s="1"/>
  <c r="F124" i="20"/>
  <c r="C125" i="20"/>
  <c r="E125" i="20"/>
  <c r="M125" i="20" s="1"/>
  <c r="F125" i="20"/>
  <c r="C126" i="20"/>
  <c r="E126" i="20"/>
  <c r="M126" i="20" s="1"/>
  <c r="F126" i="20"/>
  <c r="C127" i="20"/>
  <c r="E127" i="20"/>
  <c r="M127" i="20" s="1"/>
  <c r="F127" i="20"/>
  <c r="C128" i="20"/>
  <c r="E128" i="20"/>
  <c r="M128" i="20" s="1"/>
  <c r="F128" i="20"/>
  <c r="C129" i="20"/>
  <c r="E129" i="20"/>
  <c r="M129" i="20" s="1"/>
  <c r="F129" i="20"/>
  <c r="C130" i="20"/>
  <c r="E130" i="20"/>
  <c r="M130" i="20" s="1"/>
  <c r="F130" i="20"/>
  <c r="C131" i="20"/>
  <c r="E131" i="20"/>
  <c r="M131" i="20" s="1"/>
  <c r="F131" i="20"/>
  <c r="C132" i="20"/>
  <c r="E132" i="20"/>
  <c r="M132" i="20" s="1"/>
  <c r="F132" i="20"/>
  <c r="C133" i="20"/>
  <c r="E133" i="20"/>
  <c r="M133" i="20" s="1"/>
  <c r="F133" i="20"/>
  <c r="C134" i="20"/>
  <c r="E134" i="20"/>
  <c r="M134" i="20" s="1"/>
  <c r="F134" i="20"/>
  <c r="C135" i="20"/>
  <c r="E135" i="20"/>
  <c r="M135" i="20" s="1"/>
  <c r="F135" i="20"/>
  <c r="C136" i="20"/>
  <c r="E136" i="20"/>
  <c r="M136" i="20" s="1"/>
  <c r="F136" i="20"/>
  <c r="C137" i="20"/>
  <c r="E137" i="20"/>
  <c r="M137" i="20" s="1"/>
  <c r="F137" i="20"/>
  <c r="C138" i="20"/>
  <c r="E138" i="20"/>
  <c r="M138" i="20" s="1"/>
  <c r="F138" i="20"/>
  <c r="C139" i="20"/>
  <c r="E139" i="20"/>
  <c r="M139" i="20" s="1"/>
  <c r="F139" i="20"/>
  <c r="C140" i="20"/>
  <c r="E140" i="20"/>
  <c r="M140" i="20" s="1"/>
  <c r="F140" i="20"/>
  <c r="C141" i="20"/>
  <c r="E141" i="20"/>
  <c r="M141" i="20" s="1"/>
  <c r="F141" i="20"/>
  <c r="C142" i="20"/>
  <c r="E142" i="20"/>
  <c r="M142" i="20" s="1"/>
  <c r="F142" i="20"/>
  <c r="C143" i="20"/>
  <c r="E143" i="20"/>
  <c r="M143" i="20" s="1"/>
  <c r="F143" i="20"/>
  <c r="C144" i="20"/>
  <c r="E144" i="20"/>
  <c r="M144" i="20" s="1"/>
  <c r="F144" i="20"/>
  <c r="C145" i="20"/>
  <c r="E145" i="20"/>
  <c r="M145" i="20" s="1"/>
  <c r="F145" i="20"/>
  <c r="C146" i="20"/>
  <c r="E146" i="20"/>
  <c r="M146" i="20" s="1"/>
  <c r="F146" i="20"/>
  <c r="C147" i="20"/>
  <c r="E147" i="20"/>
  <c r="M147" i="20" s="1"/>
  <c r="F147" i="20"/>
  <c r="C148" i="20"/>
  <c r="E148" i="20"/>
  <c r="M148" i="20" s="1"/>
  <c r="F148" i="20"/>
  <c r="C149" i="20"/>
  <c r="E149" i="20"/>
  <c r="M149" i="20" s="1"/>
  <c r="F149" i="20"/>
  <c r="C150" i="20"/>
  <c r="E150" i="20"/>
  <c r="M150" i="20" s="1"/>
  <c r="F150" i="20"/>
  <c r="C151" i="20"/>
  <c r="E151" i="20"/>
  <c r="M151" i="20" s="1"/>
  <c r="F151" i="20"/>
  <c r="C152" i="20"/>
  <c r="E152" i="20"/>
  <c r="M152" i="20" s="1"/>
  <c r="F152" i="20"/>
  <c r="C153" i="20"/>
  <c r="E153" i="20"/>
  <c r="M153" i="20" s="1"/>
  <c r="F153" i="20"/>
  <c r="C154" i="20"/>
  <c r="E154" i="20"/>
  <c r="M154" i="20" s="1"/>
  <c r="F154" i="20"/>
  <c r="C155" i="20"/>
  <c r="E155" i="20"/>
  <c r="M155" i="20" s="1"/>
  <c r="F155" i="20"/>
  <c r="C156" i="20"/>
  <c r="E156" i="20"/>
  <c r="M156" i="20" s="1"/>
  <c r="F156" i="20"/>
  <c r="C157" i="20"/>
  <c r="E157" i="20"/>
  <c r="M157" i="20" s="1"/>
  <c r="F157" i="20"/>
  <c r="C158" i="20"/>
  <c r="E158" i="20"/>
  <c r="M158" i="20" s="1"/>
  <c r="F158" i="20"/>
  <c r="C159" i="20"/>
  <c r="E159" i="20"/>
  <c r="M159" i="20" s="1"/>
  <c r="F159" i="20"/>
  <c r="C160" i="20"/>
  <c r="E160" i="20"/>
  <c r="M160" i="20" s="1"/>
  <c r="F160" i="20"/>
  <c r="C161" i="20"/>
  <c r="E161" i="20"/>
  <c r="M161" i="20" s="1"/>
  <c r="F161" i="20"/>
  <c r="C162" i="20"/>
  <c r="E162" i="20"/>
  <c r="M162" i="20" s="1"/>
  <c r="F162" i="20"/>
  <c r="C163" i="20"/>
  <c r="E163" i="20"/>
  <c r="M163" i="20" s="1"/>
  <c r="F163" i="20"/>
  <c r="C164" i="20"/>
  <c r="E164" i="20"/>
  <c r="M164" i="20" s="1"/>
  <c r="F164" i="20"/>
  <c r="C165" i="20"/>
  <c r="E165" i="20"/>
  <c r="M165" i="20" s="1"/>
  <c r="F165" i="20"/>
  <c r="C166" i="20"/>
  <c r="E166" i="20"/>
  <c r="M166" i="20" s="1"/>
  <c r="F166" i="20"/>
  <c r="C167" i="20"/>
  <c r="E167" i="20"/>
  <c r="M167" i="20" s="1"/>
  <c r="F167" i="20"/>
  <c r="C168" i="20"/>
  <c r="E168" i="20"/>
  <c r="M168" i="20" s="1"/>
  <c r="F168" i="20"/>
  <c r="C169" i="20"/>
  <c r="E169" i="20"/>
  <c r="M169" i="20" s="1"/>
  <c r="F169" i="20"/>
  <c r="C170" i="20"/>
  <c r="E170" i="20"/>
  <c r="M170" i="20" s="1"/>
  <c r="F170" i="20"/>
  <c r="C171" i="20"/>
  <c r="E171" i="20"/>
  <c r="M171" i="20" s="1"/>
  <c r="F171" i="20"/>
  <c r="C172" i="20"/>
  <c r="E172" i="20"/>
  <c r="M172" i="20" s="1"/>
  <c r="F172" i="20"/>
  <c r="C173" i="20"/>
  <c r="E173" i="20"/>
  <c r="M173" i="20" s="1"/>
  <c r="F173" i="20"/>
  <c r="C174" i="20"/>
  <c r="E174" i="20"/>
  <c r="M174" i="20" s="1"/>
  <c r="F174" i="20"/>
  <c r="C175" i="20"/>
  <c r="E175" i="20"/>
  <c r="M175" i="20" s="1"/>
  <c r="F175" i="20"/>
  <c r="C176" i="20"/>
  <c r="E176" i="20"/>
  <c r="M176" i="20" s="1"/>
  <c r="F176" i="20"/>
  <c r="C177" i="20"/>
  <c r="E177" i="20"/>
  <c r="M177" i="20" s="1"/>
  <c r="F177" i="20"/>
  <c r="C178" i="20"/>
  <c r="E178" i="20"/>
  <c r="M178" i="20" s="1"/>
  <c r="F178" i="20"/>
  <c r="C179" i="20"/>
  <c r="E179" i="20"/>
  <c r="M179" i="20" s="1"/>
  <c r="F179" i="20"/>
  <c r="C180" i="20"/>
  <c r="E180" i="20"/>
  <c r="M180" i="20" s="1"/>
  <c r="F180" i="20"/>
  <c r="C181" i="20"/>
  <c r="E181" i="20"/>
  <c r="M181" i="20" s="1"/>
  <c r="F181" i="20"/>
  <c r="C182" i="20"/>
  <c r="E182" i="20"/>
  <c r="M182" i="20" s="1"/>
  <c r="F182" i="20"/>
  <c r="C183" i="20"/>
  <c r="E183" i="20"/>
  <c r="M183" i="20" s="1"/>
  <c r="F183" i="20"/>
  <c r="C184" i="20"/>
  <c r="E184" i="20"/>
  <c r="M184" i="20" s="1"/>
  <c r="F184" i="20"/>
  <c r="C185" i="20"/>
  <c r="E185" i="20"/>
  <c r="M185" i="20" s="1"/>
  <c r="F185" i="20"/>
  <c r="C186" i="20"/>
  <c r="E186" i="20"/>
  <c r="M186" i="20" s="1"/>
  <c r="F186" i="20"/>
  <c r="C187" i="20"/>
  <c r="E187" i="20"/>
  <c r="M187" i="20" s="1"/>
  <c r="F187" i="20"/>
  <c r="C188" i="20"/>
  <c r="E188" i="20"/>
  <c r="M188" i="20" s="1"/>
  <c r="F188" i="20"/>
  <c r="C189" i="20"/>
  <c r="E189" i="20"/>
  <c r="M189" i="20" s="1"/>
  <c r="F189" i="20"/>
  <c r="C190" i="20"/>
  <c r="E190" i="20"/>
  <c r="M190" i="20" s="1"/>
  <c r="F190" i="20"/>
  <c r="C191" i="20"/>
  <c r="E191" i="20"/>
  <c r="M191" i="20" s="1"/>
  <c r="F191" i="20"/>
  <c r="C192" i="20"/>
  <c r="E192" i="20"/>
  <c r="M192" i="20" s="1"/>
  <c r="F192" i="20"/>
  <c r="C193" i="20"/>
  <c r="E193" i="20"/>
  <c r="M193" i="20" s="1"/>
  <c r="F193" i="20"/>
  <c r="C194" i="20"/>
  <c r="E194" i="20"/>
  <c r="M194" i="20" s="1"/>
  <c r="F194" i="20"/>
  <c r="C195" i="20"/>
  <c r="E195" i="20"/>
  <c r="M195" i="20" s="1"/>
  <c r="F195" i="20"/>
  <c r="C196" i="20"/>
  <c r="E196" i="20"/>
  <c r="M196" i="20" s="1"/>
  <c r="F196" i="20"/>
  <c r="C197" i="20"/>
  <c r="E197" i="20"/>
  <c r="M197" i="20" s="1"/>
  <c r="F197" i="20"/>
  <c r="C198" i="20"/>
  <c r="E198" i="20"/>
  <c r="M198" i="20" s="1"/>
  <c r="F198" i="20"/>
  <c r="C199" i="20"/>
  <c r="E199" i="20"/>
  <c r="M199" i="20" s="1"/>
  <c r="F199" i="20"/>
  <c r="C200" i="20"/>
  <c r="E200" i="20"/>
  <c r="M200" i="20" s="1"/>
  <c r="F200" i="20"/>
  <c r="C201" i="20"/>
  <c r="E201" i="20"/>
  <c r="M201" i="20" s="1"/>
  <c r="F201" i="20"/>
  <c r="C202" i="20"/>
  <c r="E202" i="20"/>
  <c r="M202" i="20" s="1"/>
  <c r="F202" i="20"/>
  <c r="C203" i="20"/>
  <c r="E203" i="20"/>
  <c r="M203" i="20" s="1"/>
  <c r="F203" i="20"/>
  <c r="C204" i="20"/>
  <c r="E204" i="20"/>
  <c r="M204" i="20" s="1"/>
  <c r="F204" i="20"/>
  <c r="C205" i="20"/>
  <c r="E205" i="20"/>
  <c r="M205" i="20" s="1"/>
  <c r="F205" i="20"/>
  <c r="C206" i="20"/>
  <c r="E206" i="20"/>
  <c r="M206" i="20" s="1"/>
  <c r="F206" i="20"/>
  <c r="C207" i="20"/>
  <c r="E207" i="20"/>
  <c r="M207" i="20" s="1"/>
  <c r="F207" i="20"/>
  <c r="C208" i="20"/>
  <c r="E208" i="20"/>
  <c r="M208" i="20" s="1"/>
  <c r="F208" i="20"/>
  <c r="C209" i="20"/>
  <c r="E209" i="20"/>
  <c r="M209" i="20" s="1"/>
  <c r="F209" i="20"/>
  <c r="C210" i="20"/>
  <c r="E210" i="20"/>
  <c r="M210" i="20" s="1"/>
  <c r="F210" i="20"/>
  <c r="C211" i="20"/>
  <c r="E211" i="20"/>
  <c r="M211" i="20" s="1"/>
  <c r="F211" i="20"/>
  <c r="C212" i="20"/>
  <c r="E212" i="20"/>
  <c r="M212" i="20" s="1"/>
  <c r="F212" i="20"/>
  <c r="C213" i="20"/>
  <c r="E213" i="20"/>
  <c r="M213" i="20" s="1"/>
  <c r="F213" i="20"/>
  <c r="C214" i="20"/>
  <c r="E214" i="20"/>
  <c r="M214" i="20" s="1"/>
  <c r="F214" i="20"/>
  <c r="C215" i="20"/>
  <c r="E215" i="20"/>
  <c r="M215" i="20" s="1"/>
  <c r="F215" i="20"/>
  <c r="C216" i="20"/>
  <c r="E216" i="20"/>
  <c r="M216" i="20" s="1"/>
  <c r="F216" i="20"/>
  <c r="C217" i="20"/>
  <c r="E217" i="20"/>
  <c r="M217" i="20" s="1"/>
  <c r="F217" i="20"/>
  <c r="C218" i="20"/>
  <c r="E218" i="20"/>
  <c r="M218" i="20" s="1"/>
  <c r="F218" i="20"/>
  <c r="C219" i="20"/>
  <c r="E219" i="20"/>
  <c r="M219" i="20" s="1"/>
  <c r="F219" i="20"/>
  <c r="C220" i="20"/>
  <c r="E220" i="20"/>
  <c r="M220" i="20" s="1"/>
  <c r="F220" i="20"/>
  <c r="C221" i="20"/>
  <c r="E221" i="20"/>
  <c r="M221" i="20" s="1"/>
  <c r="F221" i="20"/>
  <c r="C222" i="20"/>
  <c r="E222" i="20"/>
  <c r="M222" i="20" s="1"/>
  <c r="F222" i="20"/>
  <c r="C223" i="20"/>
  <c r="E223" i="20"/>
  <c r="M223" i="20" s="1"/>
  <c r="F223" i="20"/>
  <c r="C224" i="20"/>
  <c r="E224" i="20"/>
  <c r="M224" i="20" s="1"/>
  <c r="F224" i="20"/>
  <c r="C225" i="20"/>
  <c r="E225" i="20"/>
  <c r="M225" i="20" s="1"/>
  <c r="F225" i="20"/>
  <c r="C226" i="20"/>
  <c r="E226" i="20"/>
  <c r="M226" i="20" s="1"/>
  <c r="F226" i="20"/>
  <c r="C227" i="20"/>
  <c r="E227" i="20"/>
  <c r="M227" i="20" s="1"/>
  <c r="F227" i="20"/>
  <c r="C228" i="20"/>
  <c r="E228" i="20"/>
  <c r="M228" i="20" s="1"/>
  <c r="F228" i="20"/>
  <c r="C229" i="20"/>
  <c r="E229" i="20"/>
  <c r="M229" i="20" s="1"/>
  <c r="F229" i="20"/>
  <c r="C230" i="20"/>
  <c r="E230" i="20"/>
  <c r="M230" i="20" s="1"/>
  <c r="F230" i="20"/>
  <c r="C231" i="20"/>
  <c r="E231" i="20"/>
  <c r="M231" i="20" s="1"/>
  <c r="F231" i="20"/>
  <c r="C232" i="20"/>
  <c r="E232" i="20"/>
  <c r="M232" i="20" s="1"/>
  <c r="F232" i="20"/>
  <c r="C233" i="20"/>
  <c r="E233" i="20"/>
  <c r="M233" i="20" s="1"/>
  <c r="F233" i="20"/>
  <c r="C234" i="20"/>
  <c r="E234" i="20"/>
  <c r="M234" i="20" s="1"/>
  <c r="F234" i="20"/>
  <c r="C235" i="20"/>
  <c r="E235" i="20"/>
  <c r="M235" i="20" s="1"/>
  <c r="F235" i="20"/>
  <c r="C236" i="20"/>
  <c r="E236" i="20"/>
  <c r="M236" i="20" s="1"/>
  <c r="F236" i="20"/>
  <c r="C237" i="20"/>
  <c r="E237" i="20"/>
  <c r="M237" i="20" s="1"/>
  <c r="F237" i="20"/>
  <c r="C238" i="20"/>
  <c r="E238" i="20"/>
  <c r="M238" i="20" s="1"/>
  <c r="F238" i="20"/>
  <c r="C239" i="20"/>
  <c r="E239" i="20"/>
  <c r="M239" i="20" s="1"/>
  <c r="F239" i="20"/>
  <c r="C240" i="20"/>
  <c r="E240" i="20"/>
  <c r="M240" i="20" s="1"/>
  <c r="F240" i="20"/>
  <c r="C241" i="20"/>
  <c r="E241" i="20"/>
  <c r="M241" i="20" s="1"/>
  <c r="F241" i="20"/>
  <c r="C242" i="20"/>
  <c r="E242" i="20"/>
  <c r="M242" i="20" s="1"/>
  <c r="F242" i="20"/>
  <c r="C243" i="20"/>
  <c r="E243" i="20"/>
  <c r="M243" i="20" s="1"/>
  <c r="F243" i="20"/>
  <c r="C244" i="20"/>
  <c r="E244" i="20"/>
  <c r="M244" i="20" s="1"/>
  <c r="F244" i="20"/>
  <c r="C245" i="20"/>
  <c r="E245" i="20"/>
  <c r="M245" i="20" s="1"/>
  <c r="F245" i="20"/>
  <c r="C246" i="20"/>
  <c r="E246" i="20"/>
  <c r="M246" i="20" s="1"/>
  <c r="F246" i="20"/>
  <c r="C247" i="20"/>
  <c r="E247" i="20"/>
  <c r="M247" i="20" s="1"/>
  <c r="F247" i="20"/>
  <c r="C248" i="20"/>
  <c r="E248" i="20"/>
  <c r="M248" i="20" s="1"/>
  <c r="F248" i="20"/>
  <c r="C249" i="20"/>
  <c r="E249" i="20"/>
  <c r="M249" i="20" s="1"/>
  <c r="F249" i="20"/>
  <c r="C250" i="20"/>
  <c r="E250" i="20"/>
  <c r="M250" i="20" s="1"/>
  <c r="F250" i="20"/>
  <c r="C251" i="20"/>
  <c r="E251" i="20"/>
  <c r="M251" i="20" s="1"/>
  <c r="F251" i="20"/>
  <c r="C252" i="20"/>
  <c r="E252" i="20"/>
  <c r="M252" i="20" s="1"/>
  <c r="F252" i="20"/>
  <c r="C253" i="20"/>
  <c r="E253" i="20"/>
  <c r="M253" i="20" s="1"/>
  <c r="F253" i="20"/>
  <c r="C254" i="20"/>
  <c r="E254" i="20"/>
  <c r="M254" i="20" s="1"/>
  <c r="F254" i="20"/>
  <c r="C255" i="20"/>
  <c r="E255" i="20"/>
  <c r="M255" i="20" s="1"/>
  <c r="F255" i="20"/>
  <c r="C256" i="20"/>
  <c r="E256" i="20"/>
  <c r="M256" i="20" s="1"/>
  <c r="F256" i="20"/>
  <c r="C257" i="20"/>
  <c r="E257" i="20"/>
  <c r="M257" i="20" s="1"/>
  <c r="F257" i="20"/>
  <c r="C258" i="20"/>
  <c r="E258" i="20"/>
  <c r="M258" i="20" s="1"/>
  <c r="F258" i="20"/>
  <c r="C259" i="20"/>
  <c r="E259" i="20"/>
  <c r="M259" i="20" s="1"/>
  <c r="F259" i="20"/>
  <c r="C260" i="20"/>
  <c r="E260" i="20"/>
  <c r="M260" i="20" s="1"/>
  <c r="F260" i="20"/>
  <c r="C261" i="20"/>
  <c r="E261" i="20"/>
  <c r="M261" i="20" s="1"/>
  <c r="F261" i="20"/>
  <c r="C262" i="20"/>
  <c r="E262" i="20"/>
  <c r="M262" i="20" s="1"/>
  <c r="F262" i="20"/>
  <c r="C263" i="20"/>
  <c r="E263" i="20"/>
  <c r="M263" i="20" s="1"/>
  <c r="F263" i="20"/>
  <c r="C264" i="20"/>
  <c r="E264" i="20"/>
  <c r="M264" i="20" s="1"/>
  <c r="F264" i="20"/>
  <c r="C265" i="20"/>
  <c r="E265" i="20"/>
  <c r="M265" i="20" s="1"/>
  <c r="F265" i="20"/>
  <c r="C266" i="20"/>
  <c r="E266" i="20"/>
  <c r="M266" i="20" s="1"/>
  <c r="F266" i="20"/>
  <c r="C267" i="20"/>
  <c r="E267" i="20"/>
  <c r="M267" i="20" s="1"/>
  <c r="F267" i="20"/>
  <c r="C268" i="20"/>
  <c r="E268" i="20"/>
  <c r="M268" i="20" s="1"/>
  <c r="F268" i="20"/>
  <c r="C269" i="20"/>
  <c r="E269" i="20"/>
  <c r="M269" i="20" s="1"/>
  <c r="F269" i="20"/>
  <c r="C270" i="20"/>
  <c r="E270" i="20"/>
  <c r="M270" i="20" s="1"/>
  <c r="F270" i="20"/>
  <c r="C271" i="20"/>
  <c r="E271" i="20"/>
  <c r="M271" i="20" s="1"/>
  <c r="F271" i="20"/>
  <c r="C272" i="20"/>
  <c r="E272" i="20"/>
  <c r="M272" i="20" s="1"/>
  <c r="F272" i="20"/>
  <c r="C273" i="20"/>
  <c r="E273" i="20"/>
  <c r="M273" i="20" s="1"/>
  <c r="F273" i="20"/>
  <c r="C274" i="20"/>
  <c r="E274" i="20"/>
  <c r="M274" i="20" s="1"/>
  <c r="F274" i="20"/>
  <c r="C275" i="20"/>
  <c r="E275" i="20"/>
  <c r="M275" i="20" s="1"/>
  <c r="F275" i="20"/>
  <c r="C276" i="20"/>
  <c r="E276" i="20"/>
  <c r="M276" i="20" s="1"/>
  <c r="F276" i="20"/>
  <c r="C277" i="20"/>
  <c r="E277" i="20"/>
  <c r="M277" i="20" s="1"/>
  <c r="F277" i="20"/>
  <c r="C278" i="20"/>
  <c r="E278" i="20"/>
  <c r="M278" i="20" s="1"/>
  <c r="F278" i="20"/>
  <c r="C279" i="20"/>
  <c r="E279" i="20"/>
  <c r="M279" i="20" s="1"/>
  <c r="F279" i="20"/>
  <c r="C280" i="20"/>
  <c r="E280" i="20"/>
  <c r="M280" i="20" s="1"/>
  <c r="F280" i="20"/>
  <c r="C281" i="20"/>
  <c r="E281" i="20"/>
  <c r="M281" i="20" s="1"/>
  <c r="F281" i="20"/>
  <c r="C282" i="20"/>
  <c r="E282" i="20"/>
  <c r="M282" i="20" s="1"/>
  <c r="F282" i="20"/>
  <c r="C283" i="20"/>
  <c r="E283" i="20"/>
  <c r="M283" i="20" s="1"/>
  <c r="F283" i="20"/>
  <c r="C284" i="20"/>
  <c r="E284" i="20"/>
  <c r="M284" i="20" s="1"/>
  <c r="F284" i="20"/>
  <c r="C285" i="20"/>
  <c r="E285" i="20"/>
  <c r="M285" i="20" s="1"/>
  <c r="F285" i="20"/>
  <c r="C286" i="20"/>
  <c r="E286" i="20"/>
  <c r="M286" i="20" s="1"/>
  <c r="F286" i="20"/>
  <c r="C287" i="20"/>
  <c r="E287" i="20"/>
  <c r="M287" i="20" s="1"/>
  <c r="F287" i="20"/>
  <c r="C288" i="20"/>
  <c r="E288" i="20"/>
  <c r="M288" i="20" s="1"/>
  <c r="F288" i="20"/>
  <c r="C289" i="20"/>
  <c r="E289" i="20"/>
  <c r="M289" i="20" s="1"/>
  <c r="F289" i="20"/>
  <c r="C290" i="20"/>
  <c r="E290" i="20"/>
  <c r="M290" i="20" s="1"/>
  <c r="F290" i="20"/>
  <c r="C291" i="20"/>
  <c r="E291" i="20"/>
  <c r="M291" i="20" s="1"/>
  <c r="F291" i="20"/>
  <c r="C292" i="20"/>
  <c r="E292" i="20"/>
  <c r="M292" i="20" s="1"/>
  <c r="F292" i="20"/>
  <c r="C293" i="20"/>
  <c r="E293" i="20"/>
  <c r="M293" i="20" s="1"/>
  <c r="F293" i="20"/>
  <c r="C294" i="20"/>
  <c r="E294" i="20"/>
  <c r="M294" i="20" s="1"/>
  <c r="F294" i="20"/>
  <c r="C295" i="20"/>
  <c r="E295" i="20"/>
  <c r="M295" i="20" s="1"/>
  <c r="F295" i="20"/>
  <c r="C296" i="20"/>
  <c r="E296" i="20"/>
  <c r="M296" i="20" s="1"/>
  <c r="F296" i="20"/>
  <c r="C297" i="20"/>
  <c r="E297" i="20"/>
  <c r="M297" i="20" s="1"/>
  <c r="F297" i="20"/>
  <c r="C298" i="20"/>
  <c r="E298" i="20"/>
  <c r="M298" i="20" s="1"/>
  <c r="F298" i="20"/>
  <c r="C299" i="20"/>
  <c r="E299" i="20"/>
  <c r="M299" i="20" s="1"/>
  <c r="F299" i="20"/>
  <c r="C300" i="20"/>
  <c r="E300" i="20"/>
  <c r="M300" i="20" s="1"/>
  <c r="F300" i="20"/>
  <c r="C301" i="20"/>
  <c r="E301" i="20"/>
  <c r="M301" i="20" s="1"/>
  <c r="F301" i="20"/>
  <c r="C302" i="20"/>
  <c r="E302" i="20"/>
  <c r="M302" i="20" s="1"/>
  <c r="F302" i="20"/>
  <c r="C303" i="20"/>
  <c r="E303" i="20"/>
  <c r="M303" i="20" s="1"/>
  <c r="F303" i="20"/>
  <c r="C304" i="20"/>
  <c r="E304" i="20"/>
  <c r="M304" i="20" s="1"/>
  <c r="F304" i="20"/>
  <c r="C305" i="20"/>
  <c r="E305" i="20"/>
  <c r="M305" i="20" s="1"/>
  <c r="F305" i="20"/>
  <c r="C306" i="20"/>
  <c r="E306" i="20"/>
  <c r="M306" i="20" s="1"/>
  <c r="F306" i="20"/>
  <c r="C307" i="20"/>
  <c r="E307" i="20"/>
  <c r="M307" i="20" s="1"/>
  <c r="F307" i="20"/>
  <c r="C308" i="20"/>
  <c r="E308" i="20"/>
  <c r="M308" i="20" s="1"/>
  <c r="F308" i="20"/>
  <c r="C309" i="20"/>
  <c r="E309" i="20"/>
  <c r="M309" i="20" s="1"/>
  <c r="F309" i="20"/>
  <c r="C310" i="20"/>
  <c r="E310" i="20"/>
  <c r="M310" i="20" s="1"/>
  <c r="F310" i="20"/>
  <c r="C311" i="20"/>
  <c r="E311" i="20"/>
  <c r="M311" i="20" s="1"/>
  <c r="F311" i="20"/>
  <c r="C312" i="20"/>
  <c r="E312" i="20"/>
  <c r="M312" i="20" s="1"/>
  <c r="F312" i="20"/>
  <c r="C313" i="20"/>
  <c r="E313" i="20"/>
  <c r="M313" i="20" s="1"/>
  <c r="F313" i="20"/>
  <c r="C314" i="20"/>
  <c r="E314" i="20"/>
  <c r="M314" i="20" s="1"/>
  <c r="F314" i="20"/>
  <c r="C315" i="20"/>
  <c r="E315" i="20"/>
  <c r="M315" i="20" s="1"/>
  <c r="F315" i="20"/>
  <c r="C316" i="20"/>
  <c r="E316" i="20"/>
  <c r="M316" i="20" s="1"/>
  <c r="F316" i="20"/>
  <c r="C317" i="20"/>
  <c r="E317" i="20"/>
  <c r="M317" i="20" s="1"/>
  <c r="F317" i="20"/>
  <c r="C318" i="20"/>
  <c r="E318" i="20"/>
  <c r="M318" i="20" s="1"/>
  <c r="F318" i="20"/>
  <c r="C319" i="20"/>
  <c r="E319" i="20"/>
  <c r="M319" i="20" s="1"/>
  <c r="F319" i="20"/>
  <c r="C320" i="20"/>
  <c r="E320" i="20"/>
  <c r="M320" i="20" s="1"/>
  <c r="F320" i="20"/>
  <c r="C321" i="20"/>
  <c r="E321" i="20"/>
  <c r="M321" i="20" s="1"/>
  <c r="F321" i="20"/>
  <c r="C322" i="20"/>
  <c r="E322" i="20"/>
  <c r="M322" i="20" s="1"/>
  <c r="F322" i="20"/>
  <c r="C323" i="20"/>
  <c r="E323" i="20"/>
  <c r="M323" i="20" s="1"/>
  <c r="F323" i="20"/>
  <c r="C324" i="20"/>
  <c r="E324" i="20"/>
  <c r="M324" i="20" s="1"/>
  <c r="F324" i="20"/>
  <c r="C325" i="20"/>
  <c r="E325" i="20"/>
  <c r="M325" i="20" s="1"/>
  <c r="F325" i="20"/>
  <c r="C326" i="20"/>
  <c r="E326" i="20"/>
  <c r="M326" i="20" s="1"/>
  <c r="F326" i="20"/>
  <c r="C327" i="20"/>
  <c r="E327" i="20"/>
  <c r="M327" i="20" s="1"/>
  <c r="F327" i="20"/>
  <c r="C328" i="20"/>
  <c r="E328" i="20"/>
  <c r="M328" i="20" s="1"/>
  <c r="F328" i="20"/>
  <c r="C329" i="20"/>
  <c r="E329" i="20"/>
  <c r="M329" i="20" s="1"/>
  <c r="F329" i="20"/>
  <c r="C330" i="20"/>
  <c r="E330" i="20"/>
  <c r="M330" i="20" s="1"/>
  <c r="F330" i="20"/>
  <c r="C331" i="20"/>
  <c r="E331" i="20"/>
  <c r="M331" i="20" s="1"/>
  <c r="F331" i="20"/>
  <c r="C332" i="20"/>
  <c r="E332" i="20"/>
  <c r="M332" i="20" s="1"/>
  <c r="F332" i="20"/>
  <c r="C333" i="20"/>
  <c r="E333" i="20"/>
  <c r="M333" i="20" s="1"/>
  <c r="F333" i="20"/>
  <c r="C334" i="20"/>
  <c r="E334" i="20"/>
  <c r="M334" i="20" s="1"/>
  <c r="F334" i="20"/>
  <c r="C335" i="20"/>
  <c r="E335" i="20"/>
  <c r="M335" i="20" s="1"/>
  <c r="F335" i="20"/>
  <c r="C336" i="20"/>
  <c r="E336" i="20"/>
  <c r="M336" i="20" s="1"/>
  <c r="F336" i="20"/>
  <c r="C337" i="20"/>
  <c r="E337" i="20"/>
  <c r="M337" i="20" s="1"/>
  <c r="F337" i="20"/>
  <c r="C338" i="20"/>
  <c r="E338" i="20"/>
  <c r="M338" i="20" s="1"/>
  <c r="F338" i="20"/>
  <c r="C339" i="20"/>
  <c r="E339" i="20"/>
  <c r="M339" i="20" s="1"/>
  <c r="F339" i="20"/>
  <c r="C340" i="20"/>
  <c r="E340" i="20"/>
  <c r="M340" i="20" s="1"/>
  <c r="F340" i="20"/>
  <c r="C341" i="20"/>
  <c r="E341" i="20"/>
  <c r="M341" i="20" s="1"/>
  <c r="F341" i="20"/>
  <c r="C342" i="20"/>
  <c r="E342" i="20"/>
  <c r="M342" i="20" s="1"/>
  <c r="F342" i="20"/>
  <c r="C343" i="20"/>
  <c r="E343" i="20"/>
  <c r="M343" i="20" s="1"/>
  <c r="F343" i="20"/>
  <c r="C344" i="20"/>
  <c r="E344" i="20"/>
  <c r="M344" i="20" s="1"/>
  <c r="F344" i="20"/>
  <c r="C345" i="20"/>
  <c r="E345" i="20"/>
  <c r="M345" i="20" s="1"/>
  <c r="F345" i="20"/>
  <c r="C346" i="20"/>
  <c r="E346" i="20"/>
  <c r="M346" i="20" s="1"/>
  <c r="F346" i="20"/>
  <c r="C347" i="20"/>
  <c r="E347" i="20"/>
  <c r="M347" i="20" s="1"/>
  <c r="F347" i="20"/>
  <c r="C348" i="20"/>
  <c r="E348" i="20"/>
  <c r="M348" i="20" s="1"/>
  <c r="F348" i="20"/>
  <c r="C349" i="20"/>
  <c r="E349" i="20"/>
  <c r="M349" i="20" s="1"/>
  <c r="F349" i="20"/>
  <c r="C350" i="20"/>
  <c r="E350" i="20"/>
  <c r="M350" i="20" s="1"/>
  <c r="F350" i="20"/>
  <c r="C351" i="20"/>
  <c r="E351" i="20"/>
  <c r="M351" i="20" s="1"/>
  <c r="F351" i="20"/>
  <c r="C352" i="20"/>
  <c r="E352" i="20"/>
  <c r="M352" i="20" s="1"/>
  <c r="F352" i="20"/>
  <c r="C353" i="20"/>
  <c r="E353" i="20"/>
  <c r="M353" i="20" s="1"/>
  <c r="F353" i="20"/>
  <c r="C354" i="20"/>
  <c r="E354" i="20"/>
  <c r="M354" i="20" s="1"/>
  <c r="F354" i="20"/>
  <c r="C355" i="20"/>
  <c r="E355" i="20"/>
  <c r="M355" i="20" s="1"/>
  <c r="F355" i="20"/>
  <c r="C356" i="20"/>
  <c r="E356" i="20"/>
  <c r="M356" i="20" s="1"/>
  <c r="F356" i="20"/>
  <c r="C357" i="20"/>
  <c r="E357" i="20"/>
  <c r="M357" i="20" s="1"/>
  <c r="F357" i="20"/>
  <c r="C358" i="20"/>
  <c r="E358" i="20"/>
  <c r="M358" i="20" s="1"/>
  <c r="F358" i="20"/>
  <c r="C359" i="20"/>
  <c r="E359" i="20"/>
  <c r="M359" i="20" s="1"/>
  <c r="F359" i="20"/>
  <c r="C360" i="20"/>
  <c r="E360" i="20"/>
  <c r="M360" i="20" s="1"/>
  <c r="F360" i="20"/>
  <c r="C361" i="20"/>
  <c r="E361" i="20"/>
  <c r="M361" i="20" s="1"/>
  <c r="F361" i="20"/>
  <c r="C362" i="20"/>
  <c r="E362" i="20"/>
  <c r="M362" i="20" s="1"/>
  <c r="F362" i="20"/>
  <c r="C363" i="20"/>
  <c r="E363" i="20"/>
  <c r="M363" i="20" s="1"/>
  <c r="F363" i="20"/>
  <c r="C364" i="20"/>
  <c r="E364" i="20"/>
  <c r="M364" i="20" s="1"/>
  <c r="F364" i="20"/>
  <c r="C365" i="20"/>
  <c r="E365" i="20"/>
  <c r="M365" i="20" s="1"/>
  <c r="F365" i="20"/>
  <c r="C366" i="20"/>
  <c r="E366" i="20"/>
  <c r="M366" i="20" s="1"/>
  <c r="F366" i="20"/>
  <c r="C367" i="20"/>
  <c r="E367" i="20"/>
  <c r="M367" i="20" s="1"/>
  <c r="F367" i="20"/>
  <c r="C368" i="20"/>
  <c r="E368" i="20"/>
  <c r="M368" i="20" s="1"/>
  <c r="F368" i="20"/>
  <c r="C369" i="20"/>
  <c r="E369" i="20"/>
  <c r="M369" i="20" s="1"/>
  <c r="F369" i="20"/>
  <c r="C370" i="20"/>
  <c r="E370" i="20"/>
  <c r="M370" i="20" s="1"/>
  <c r="F370" i="20"/>
  <c r="C371" i="20"/>
  <c r="E371" i="20"/>
  <c r="M371" i="20" s="1"/>
  <c r="F371" i="20"/>
  <c r="C372" i="20"/>
  <c r="E372" i="20"/>
  <c r="M372" i="20" s="1"/>
  <c r="F372" i="20"/>
  <c r="C373" i="20"/>
  <c r="E373" i="20"/>
  <c r="M373" i="20" s="1"/>
  <c r="F373" i="20"/>
  <c r="C374" i="20"/>
  <c r="E374" i="20"/>
  <c r="M374" i="20" s="1"/>
  <c r="F374" i="20"/>
  <c r="C375" i="20"/>
  <c r="E375" i="20"/>
  <c r="M375" i="20" s="1"/>
  <c r="F375" i="20"/>
  <c r="C376" i="20"/>
  <c r="E376" i="20"/>
  <c r="M376" i="20" s="1"/>
  <c r="F376" i="20"/>
  <c r="C377" i="20"/>
  <c r="E377" i="20"/>
  <c r="M377" i="20" s="1"/>
  <c r="F377" i="20"/>
  <c r="C378" i="20"/>
  <c r="E378" i="20"/>
  <c r="M378" i="20" s="1"/>
  <c r="F378" i="20"/>
  <c r="C379" i="20"/>
  <c r="E379" i="20"/>
  <c r="M379" i="20" s="1"/>
  <c r="F379" i="20"/>
  <c r="C380" i="20"/>
  <c r="E380" i="20"/>
  <c r="M380" i="20" s="1"/>
  <c r="F380" i="20"/>
  <c r="C381" i="20"/>
  <c r="E381" i="20"/>
  <c r="M381" i="20" s="1"/>
  <c r="F381" i="20"/>
  <c r="C382" i="20"/>
  <c r="E382" i="20"/>
  <c r="M382" i="20" s="1"/>
  <c r="F382" i="20"/>
  <c r="C383" i="20"/>
  <c r="E383" i="20"/>
  <c r="M383" i="20" s="1"/>
  <c r="F383" i="20"/>
  <c r="C384" i="20"/>
  <c r="E384" i="20"/>
  <c r="M384" i="20" s="1"/>
  <c r="F384" i="20"/>
  <c r="C385" i="20"/>
  <c r="E385" i="20"/>
  <c r="M385" i="20" s="1"/>
  <c r="F385" i="20"/>
  <c r="C386" i="20"/>
  <c r="E386" i="20"/>
  <c r="M386" i="20" s="1"/>
  <c r="F386" i="20"/>
  <c r="C387" i="20"/>
  <c r="E387" i="20"/>
  <c r="M387" i="20" s="1"/>
  <c r="F387" i="20"/>
  <c r="C388" i="20"/>
  <c r="E388" i="20"/>
  <c r="M388" i="20" s="1"/>
  <c r="F388" i="20"/>
  <c r="C389" i="20"/>
  <c r="E389" i="20"/>
  <c r="M389" i="20" s="1"/>
  <c r="F389" i="20"/>
  <c r="C390" i="20"/>
  <c r="E390" i="20"/>
  <c r="M390" i="20" s="1"/>
  <c r="F390" i="20"/>
  <c r="C391" i="20"/>
  <c r="E391" i="20"/>
  <c r="M391" i="20" s="1"/>
  <c r="F391" i="20"/>
  <c r="C392" i="20"/>
  <c r="E392" i="20"/>
  <c r="M392" i="20" s="1"/>
  <c r="F392" i="20"/>
  <c r="C393" i="20"/>
  <c r="E393" i="20"/>
  <c r="M393" i="20" s="1"/>
  <c r="F393" i="20"/>
  <c r="C394" i="20"/>
  <c r="E394" i="20"/>
  <c r="M394" i="20" s="1"/>
  <c r="F394" i="20"/>
  <c r="C395" i="20"/>
  <c r="E395" i="20"/>
  <c r="M395" i="20" s="1"/>
  <c r="F395" i="20"/>
  <c r="C396" i="20"/>
  <c r="E396" i="20"/>
  <c r="M396" i="20" s="1"/>
  <c r="F396" i="20"/>
  <c r="C397" i="20"/>
  <c r="E397" i="20"/>
  <c r="M397" i="20" s="1"/>
  <c r="F397" i="20"/>
  <c r="C398" i="20"/>
  <c r="E398" i="20"/>
  <c r="M398" i="20" s="1"/>
  <c r="F398" i="20"/>
  <c r="C399" i="20"/>
  <c r="E399" i="20"/>
  <c r="M399" i="20" s="1"/>
  <c r="F399" i="20"/>
  <c r="C400" i="20"/>
  <c r="E400" i="20"/>
  <c r="M400" i="20" s="1"/>
  <c r="F400" i="20"/>
  <c r="C401" i="20"/>
  <c r="E401" i="20"/>
  <c r="M401" i="20" s="1"/>
  <c r="F401" i="20"/>
  <c r="C402" i="20"/>
  <c r="E402" i="20"/>
  <c r="M402" i="20" s="1"/>
  <c r="F402" i="20"/>
  <c r="C403" i="20"/>
  <c r="E403" i="20"/>
  <c r="M403" i="20" s="1"/>
  <c r="F403" i="20"/>
  <c r="C404" i="20"/>
  <c r="E404" i="20"/>
  <c r="M404" i="20" s="1"/>
  <c r="F404" i="20"/>
  <c r="C405" i="20"/>
  <c r="E405" i="20"/>
  <c r="M405" i="20" s="1"/>
  <c r="F405" i="20"/>
  <c r="C406" i="20"/>
  <c r="E406" i="20"/>
  <c r="M406" i="20" s="1"/>
  <c r="F406" i="20"/>
  <c r="C407" i="20"/>
  <c r="E407" i="20"/>
  <c r="M407" i="20" s="1"/>
  <c r="F407" i="20"/>
  <c r="C408" i="20"/>
  <c r="E408" i="20"/>
  <c r="M408" i="20" s="1"/>
  <c r="F408" i="20"/>
  <c r="C409" i="20"/>
  <c r="E409" i="20"/>
  <c r="M409" i="20" s="1"/>
  <c r="F409" i="20"/>
  <c r="C410" i="20"/>
  <c r="E410" i="20"/>
  <c r="M410" i="20" s="1"/>
  <c r="F410" i="20"/>
  <c r="C411" i="20"/>
  <c r="E411" i="20"/>
  <c r="M411" i="20" s="1"/>
  <c r="F411" i="20"/>
  <c r="C412" i="20"/>
  <c r="E412" i="20"/>
  <c r="M412" i="20" s="1"/>
  <c r="F412" i="20"/>
  <c r="C413" i="20"/>
  <c r="E413" i="20"/>
  <c r="M413" i="20" s="1"/>
  <c r="F413" i="20"/>
  <c r="C414" i="20"/>
  <c r="E414" i="20"/>
  <c r="M414" i="20" s="1"/>
  <c r="F414" i="20"/>
  <c r="C415" i="20"/>
  <c r="E415" i="20"/>
  <c r="M415" i="20" s="1"/>
  <c r="F415" i="20"/>
  <c r="C416" i="20"/>
  <c r="E416" i="20"/>
  <c r="M416" i="20" s="1"/>
  <c r="F416" i="20"/>
  <c r="C417" i="20"/>
  <c r="E417" i="20"/>
  <c r="M417" i="20" s="1"/>
  <c r="F417" i="20"/>
  <c r="C418" i="20"/>
  <c r="E418" i="20"/>
  <c r="M418" i="20" s="1"/>
  <c r="F418" i="20"/>
  <c r="C419" i="20"/>
  <c r="E419" i="20"/>
  <c r="M419" i="20" s="1"/>
  <c r="F419" i="20"/>
  <c r="C420" i="20"/>
  <c r="E420" i="20"/>
  <c r="M420" i="20" s="1"/>
  <c r="F420" i="20"/>
  <c r="C421" i="20"/>
  <c r="E421" i="20"/>
  <c r="M421" i="20" s="1"/>
  <c r="F421" i="20"/>
  <c r="C422" i="20"/>
  <c r="E422" i="20"/>
  <c r="M422" i="20" s="1"/>
  <c r="F422" i="20"/>
  <c r="C423" i="20"/>
  <c r="E423" i="20"/>
  <c r="M423" i="20" s="1"/>
  <c r="F423" i="20"/>
  <c r="C424" i="20"/>
  <c r="E424" i="20"/>
  <c r="M424" i="20" s="1"/>
  <c r="F424" i="20"/>
  <c r="C425" i="20"/>
  <c r="E425" i="20"/>
  <c r="M425" i="20" s="1"/>
  <c r="F425" i="20"/>
  <c r="C426" i="20"/>
  <c r="E426" i="20"/>
  <c r="M426" i="20" s="1"/>
  <c r="F426" i="20"/>
  <c r="C427" i="20"/>
  <c r="E427" i="20"/>
  <c r="M427" i="20" s="1"/>
  <c r="F427" i="20"/>
  <c r="C428" i="20"/>
  <c r="E428" i="20"/>
  <c r="M428" i="20" s="1"/>
  <c r="F428" i="20"/>
  <c r="C429" i="20"/>
  <c r="E429" i="20"/>
  <c r="M429" i="20" s="1"/>
  <c r="F429" i="20"/>
  <c r="C430" i="20"/>
  <c r="E430" i="20"/>
  <c r="M430" i="20" s="1"/>
  <c r="F430" i="20"/>
  <c r="C431" i="20"/>
  <c r="E431" i="20"/>
  <c r="M431" i="20" s="1"/>
  <c r="F431" i="20"/>
  <c r="C432" i="20"/>
  <c r="E432" i="20"/>
  <c r="M432" i="20" s="1"/>
  <c r="F432" i="20"/>
  <c r="C433" i="20"/>
  <c r="E433" i="20"/>
  <c r="M433" i="20" s="1"/>
  <c r="F433" i="20"/>
  <c r="C434" i="20"/>
  <c r="E434" i="20"/>
  <c r="M434" i="20" s="1"/>
  <c r="F434" i="20"/>
  <c r="C435" i="20"/>
  <c r="E435" i="20"/>
  <c r="M435" i="20" s="1"/>
  <c r="F435" i="20"/>
  <c r="C436" i="20"/>
  <c r="E436" i="20"/>
  <c r="M436" i="20" s="1"/>
  <c r="F436" i="20"/>
  <c r="C437" i="20"/>
  <c r="E437" i="20"/>
  <c r="M437" i="20" s="1"/>
  <c r="F437" i="20"/>
  <c r="C438" i="20"/>
  <c r="E438" i="20"/>
  <c r="M438" i="20" s="1"/>
  <c r="F438" i="20"/>
  <c r="C439" i="20"/>
  <c r="E439" i="20"/>
  <c r="M439" i="20" s="1"/>
  <c r="F439" i="20"/>
  <c r="C440" i="20"/>
  <c r="E440" i="20"/>
  <c r="M440" i="20" s="1"/>
  <c r="F440" i="20"/>
  <c r="C441" i="20"/>
  <c r="E441" i="20"/>
  <c r="M441" i="20" s="1"/>
  <c r="F441" i="20"/>
  <c r="C442" i="20"/>
  <c r="E442" i="20"/>
  <c r="M442" i="20" s="1"/>
  <c r="F442" i="20"/>
  <c r="C443" i="20"/>
  <c r="E443" i="20"/>
  <c r="M443" i="20" s="1"/>
  <c r="F443" i="20"/>
  <c r="C444" i="20"/>
  <c r="E444" i="20"/>
  <c r="M444" i="20" s="1"/>
  <c r="F444" i="20"/>
  <c r="C445" i="20"/>
  <c r="E445" i="20"/>
  <c r="M445" i="20" s="1"/>
  <c r="F445" i="20"/>
  <c r="C446" i="20"/>
  <c r="E446" i="20"/>
  <c r="M446" i="20" s="1"/>
  <c r="F446" i="20"/>
  <c r="C447" i="20"/>
  <c r="E447" i="20"/>
  <c r="M447" i="20" s="1"/>
  <c r="F447" i="20"/>
  <c r="C448" i="20"/>
  <c r="E448" i="20"/>
  <c r="M448" i="20" s="1"/>
  <c r="F448" i="20"/>
  <c r="C449" i="20"/>
  <c r="E449" i="20"/>
  <c r="M449" i="20" s="1"/>
  <c r="F449" i="20"/>
  <c r="C450" i="20"/>
  <c r="E450" i="20"/>
  <c r="M450" i="20" s="1"/>
  <c r="F450" i="20"/>
  <c r="C451" i="20"/>
  <c r="E451" i="20"/>
  <c r="M451" i="20" s="1"/>
  <c r="F451" i="20"/>
  <c r="C452" i="20"/>
  <c r="E452" i="20"/>
  <c r="M452" i="20" s="1"/>
  <c r="F452" i="20"/>
  <c r="C453" i="20"/>
  <c r="E453" i="20"/>
  <c r="M453" i="20" s="1"/>
  <c r="F453" i="20"/>
  <c r="C454" i="20"/>
  <c r="E454" i="20"/>
  <c r="M454" i="20" s="1"/>
  <c r="F454" i="20"/>
  <c r="C455" i="20"/>
  <c r="E455" i="20"/>
  <c r="M455" i="20" s="1"/>
  <c r="F455" i="20"/>
  <c r="C456" i="20"/>
  <c r="E456" i="20"/>
  <c r="M456" i="20" s="1"/>
  <c r="F456" i="20"/>
  <c r="C457" i="20"/>
  <c r="E457" i="20"/>
  <c r="M457" i="20" s="1"/>
  <c r="F457" i="20"/>
  <c r="C458" i="20"/>
  <c r="E458" i="20"/>
  <c r="M458" i="20" s="1"/>
  <c r="F458" i="20"/>
  <c r="C459" i="20"/>
  <c r="E459" i="20"/>
  <c r="M459" i="20" s="1"/>
  <c r="F459" i="20"/>
  <c r="C460" i="20"/>
  <c r="E460" i="20"/>
  <c r="M460" i="20" s="1"/>
  <c r="F460" i="20"/>
  <c r="C461" i="20"/>
  <c r="E461" i="20"/>
  <c r="M461" i="20" s="1"/>
  <c r="F461" i="20"/>
  <c r="C462" i="20"/>
  <c r="E462" i="20"/>
  <c r="M462" i="20" s="1"/>
  <c r="F462" i="20"/>
  <c r="C463" i="20"/>
  <c r="E463" i="20"/>
  <c r="M463" i="20" s="1"/>
  <c r="F463" i="20"/>
  <c r="C464" i="20"/>
  <c r="E464" i="20"/>
  <c r="M464" i="20" s="1"/>
  <c r="F464" i="20"/>
  <c r="C465" i="20"/>
  <c r="E465" i="20"/>
  <c r="M465" i="20" s="1"/>
  <c r="F465" i="20"/>
  <c r="C466" i="20"/>
  <c r="E466" i="20"/>
  <c r="M466" i="20" s="1"/>
  <c r="F466" i="20"/>
  <c r="C467" i="20"/>
  <c r="E467" i="20"/>
  <c r="M467" i="20" s="1"/>
  <c r="F467" i="20"/>
  <c r="C468" i="20"/>
  <c r="E468" i="20"/>
  <c r="M468" i="20" s="1"/>
  <c r="F468" i="20"/>
  <c r="C469" i="20"/>
  <c r="E469" i="20"/>
  <c r="M469" i="20" s="1"/>
  <c r="F469" i="20"/>
  <c r="C470" i="20"/>
  <c r="E470" i="20"/>
  <c r="M470" i="20" s="1"/>
  <c r="F470" i="20"/>
  <c r="C471" i="20"/>
  <c r="E471" i="20"/>
  <c r="M471" i="20" s="1"/>
  <c r="F471" i="20"/>
  <c r="C472" i="20"/>
  <c r="E472" i="20"/>
  <c r="M472" i="20" s="1"/>
  <c r="F472" i="20"/>
  <c r="C473" i="20"/>
  <c r="E473" i="20"/>
  <c r="M473" i="20" s="1"/>
  <c r="F473" i="20"/>
  <c r="C474" i="20"/>
  <c r="E474" i="20"/>
  <c r="M474" i="20" s="1"/>
  <c r="F474" i="20"/>
  <c r="C475" i="20"/>
  <c r="E475" i="20"/>
  <c r="M475" i="20" s="1"/>
  <c r="F475" i="20"/>
  <c r="C476" i="20"/>
  <c r="E476" i="20"/>
  <c r="M476" i="20" s="1"/>
  <c r="F476" i="20"/>
  <c r="C477" i="20"/>
  <c r="E477" i="20"/>
  <c r="M477" i="20" s="1"/>
  <c r="F477" i="20"/>
  <c r="C478" i="20"/>
  <c r="E478" i="20"/>
  <c r="M478" i="20" s="1"/>
  <c r="F478" i="20"/>
  <c r="C479" i="20"/>
  <c r="E479" i="20"/>
  <c r="M479" i="20" s="1"/>
  <c r="F479" i="20"/>
  <c r="C480" i="20"/>
  <c r="E480" i="20"/>
  <c r="M480" i="20" s="1"/>
  <c r="F480" i="20"/>
  <c r="C481" i="20"/>
  <c r="E481" i="20"/>
  <c r="M481" i="20" s="1"/>
  <c r="F481" i="20"/>
  <c r="C482" i="20"/>
  <c r="E482" i="20"/>
  <c r="M482" i="20" s="1"/>
  <c r="F482" i="20"/>
  <c r="C483" i="20"/>
  <c r="E483" i="20"/>
  <c r="M483" i="20" s="1"/>
  <c r="F483" i="20"/>
  <c r="C484" i="20"/>
  <c r="E484" i="20"/>
  <c r="M484" i="20" s="1"/>
  <c r="F484" i="20"/>
  <c r="C485" i="20"/>
  <c r="E485" i="20"/>
  <c r="M485" i="20" s="1"/>
  <c r="F485" i="20"/>
  <c r="C486" i="20"/>
  <c r="E486" i="20"/>
  <c r="M486" i="20" s="1"/>
  <c r="F486" i="20"/>
  <c r="C487" i="20"/>
  <c r="E487" i="20"/>
  <c r="M487" i="20" s="1"/>
  <c r="F487" i="20"/>
  <c r="C488" i="20"/>
  <c r="E488" i="20"/>
  <c r="M488" i="20" s="1"/>
  <c r="F488" i="20"/>
  <c r="C489" i="20"/>
  <c r="E489" i="20"/>
  <c r="M489" i="20" s="1"/>
  <c r="F489" i="20"/>
  <c r="C490" i="20"/>
  <c r="E490" i="20"/>
  <c r="M490" i="20" s="1"/>
  <c r="F490" i="20"/>
  <c r="C491" i="20"/>
  <c r="E491" i="20"/>
  <c r="M491" i="20" s="1"/>
  <c r="F491" i="20"/>
  <c r="C492" i="20"/>
  <c r="E492" i="20"/>
  <c r="M492" i="20" s="1"/>
  <c r="F492" i="20"/>
  <c r="C493" i="20"/>
  <c r="E493" i="20"/>
  <c r="M493" i="20" s="1"/>
  <c r="F493" i="20"/>
  <c r="C494" i="20"/>
  <c r="E494" i="20"/>
  <c r="M494" i="20" s="1"/>
  <c r="F494" i="20"/>
  <c r="C495" i="20"/>
  <c r="E495" i="20"/>
  <c r="M495" i="20" s="1"/>
  <c r="F495" i="20"/>
  <c r="C496" i="20"/>
  <c r="E496" i="20"/>
  <c r="M496" i="20" s="1"/>
  <c r="F496" i="20"/>
  <c r="C497" i="20"/>
  <c r="E497" i="20"/>
  <c r="M497" i="20" s="1"/>
  <c r="F497" i="20"/>
  <c r="C498" i="20"/>
  <c r="E498" i="20"/>
  <c r="M498" i="20" s="1"/>
  <c r="F498" i="20"/>
  <c r="C499" i="20"/>
  <c r="E499" i="20"/>
  <c r="M499" i="20" s="1"/>
  <c r="F499" i="20"/>
  <c r="C500" i="20"/>
  <c r="E500" i="20"/>
  <c r="M500" i="20" s="1"/>
  <c r="F500" i="20"/>
  <c r="C501" i="20"/>
  <c r="E501" i="20"/>
  <c r="M501" i="20" s="1"/>
  <c r="F501" i="20"/>
  <c r="C502" i="20"/>
  <c r="E502" i="20"/>
  <c r="M502" i="20" s="1"/>
  <c r="F502" i="20"/>
  <c r="C503" i="20"/>
  <c r="E503" i="20"/>
  <c r="M503" i="20" s="1"/>
  <c r="F503" i="20"/>
  <c r="C504" i="20"/>
  <c r="E504" i="20"/>
  <c r="M504" i="20" s="1"/>
  <c r="F504" i="20"/>
  <c r="C505" i="20"/>
  <c r="E505" i="20"/>
  <c r="M505" i="20" s="1"/>
  <c r="F505" i="20"/>
  <c r="C506" i="20"/>
  <c r="E506" i="20"/>
  <c r="M506" i="20" s="1"/>
  <c r="F506" i="20"/>
  <c r="C507" i="20"/>
  <c r="E507" i="20"/>
  <c r="M507" i="20" s="1"/>
  <c r="F507" i="20"/>
  <c r="C508" i="20"/>
  <c r="E508" i="20"/>
  <c r="M508" i="20" s="1"/>
  <c r="F508" i="20"/>
  <c r="C509" i="20"/>
  <c r="E509" i="20"/>
  <c r="M509" i="20" s="1"/>
  <c r="F509" i="20"/>
  <c r="C510" i="20"/>
  <c r="E510" i="20"/>
  <c r="M510" i="20" s="1"/>
  <c r="F510" i="20"/>
  <c r="C511" i="20"/>
  <c r="E511" i="20"/>
  <c r="M511" i="20" s="1"/>
  <c r="F511" i="20"/>
  <c r="C512" i="20"/>
  <c r="E512" i="20"/>
  <c r="M512" i="20" s="1"/>
  <c r="F512" i="20"/>
  <c r="C513" i="20"/>
  <c r="E513" i="20"/>
  <c r="M513" i="20" s="1"/>
  <c r="F513" i="20"/>
  <c r="C514" i="20"/>
  <c r="E514" i="20"/>
  <c r="M514" i="20" s="1"/>
  <c r="F514" i="20"/>
  <c r="C515" i="20"/>
  <c r="E515" i="20"/>
  <c r="M515" i="20" s="1"/>
  <c r="F515" i="20"/>
  <c r="C516" i="20"/>
  <c r="E516" i="20"/>
  <c r="M516" i="20" s="1"/>
  <c r="F516" i="20"/>
  <c r="C517" i="20"/>
  <c r="E517" i="20"/>
  <c r="M517" i="20" s="1"/>
  <c r="F517" i="20"/>
  <c r="C518" i="20"/>
  <c r="E518" i="20"/>
  <c r="M518" i="20" s="1"/>
  <c r="F518" i="20"/>
  <c r="C519" i="20"/>
  <c r="E519" i="20"/>
  <c r="M519" i="20" s="1"/>
  <c r="F519" i="20"/>
  <c r="C520" i="20"/>
  <c r="E520" i="20"/>
  <c r="M520" i="20" s="1"/>
  <c r="F520" i="20"/>
  <c r="C521" i="20"/>
  <c r="E521" i="20"/>
  <c r="M521" i="20" s="1"/>
  <c r="F521" i="20"/>
  <c r="C522" i="20"/>
  <c r="E522" i="20"/>
  <c r="M522" i="20" s="1"/>
  <c r="F522" i="20"/>
  <c r="C523" i="20"/>
  <c r="E523" i="20"/>
  <c r="M523" i="20" s="1"/>
  <c r="F523" i="20"/>
  <c r="C524" i="20"/>
  <c r="E524" i="20"/>
  <c r="M524" i="20" s="1"/>
  <c r="F524" i="20"/>
  <c r="C525" i="20"/>
  <c r="E525" i="20"/>
  <c r="M525" i="20" s="1"/>
  <c r="F525" i="20"/>
  <c r="C526" i="20"/>
  <c r="E526" i="20"/>
  <c r="M526" i="20" s="1"/>
  <c r="F526" i="20"/>
  <c r="C527" i="20"/>
  <c r="E527" i="20"/>
  <c r="M527" i="20" s="1"/>
  <c r="F527" i="20"/>
  <c r="C528" i="20"/>
  <c r="E528" i="20"/>
  <c r="M528" i="20" s="1"/>
  <c r="F528" i="20"/>
  <c r="C529" i="20"/>
  <c r="E529" i="20"/>
  <c r="M529" i="20" s="1"/>
  <c r="F529" i="20"/>
  <c r="C530" i="20"/>
  <c r="E530" i="20"/>
  <c r="M530" i="20" s="1"/>
  <c r="F530" i="20"/>
  <c r="C531" i="20"/>
  <c r="E531" i="20"/>
  <c r="M531" i="20" s="1"/>
  <c r="F531" i="20"/>
  <c r="C532" i="20"/>
  <c r="E532" i="20"/>
  <c r="M532" i="20" s="1"/>
  <c r="F532" i="20"/>
  <c r="C533" i="20"/>
  <c r="E533" i="20"/>
  <c r="M533" i="20" s="1"/>
  <c r="F533" i="20"/>
  <c r="C534" i="20"/>
  <c r="E534" i="20"/>
  <c r="M534" i="20" s="1"/>
  <c r="F534" i="20"/>
  <c r="C535" i="20"/>
  <c r="E535" i="20"/>
  <c r="M535" i="20" s="1"/>
  <c r="F535" i="20"/>
  <c r="C536" i="20"/>
  <c r="E536" i="20"/>
  <c r="M536" i="20" s="1"/>
  <c r="F536" i="20"/>
  <c r="C537" i="20"/>
  <c r="E537" i="20"/>
  <c r="M537" i="20" s="1"/>
  <c r="F537" i="20"/>
  <c r="C538" i="20"/>
  <c r="E538" i="20"/>
  <c r="M538" i="20" s="1"/>
  <c r="F538" i="20"/>
  <c r="C539" i="20"/>
  <c r="E539" i="20"/>
  <c r="M539" i="20" s="1"/>
  <c r="F539" i="20"/>
  <c r="C540" i="20"/>
  <c r="E540" i="20"/>
  <c r="M540" i="20" s="1"/>
  <c r="F540" i="20"/>
  <c r="C541" i="20"/>
  <c r="E541" i="20"/>
  <c r="M541" i="20" s="1"/>
  <c r="F541" i="20"/>
  <c r="C542" i="20"/>
  <c r="E542" i="20"/>
  <c r="M542" i="20" s="1"/>
  <c r="F542" i="20"/>
  <c r="C543" i="20"/>
  <c r="E543" i="20"/>
  <c r="M543" i="20" s="1"/>
  <c r="F543" i="20"/>
  <c r="C544" i="20"/>
  <c r="E544" i="20"/>
  <c r="M544" i="20" s="1"/>
  <c r="F544" i="20"/>
  <c r="C545" i="20"/>
  <c r="E545" i="20"/>
  <c r="M545" i="20" s="1"/>
  <c r="F545" i="20"/>
  <c r="C546" i="20"/>
  <c r="E546" i="20"/>
  <c r="M546" i="20" s="1"/>
  <c r="F546" i="20"/>
  <c r="C547" i="20"/>
  <c r="E547" i="20"/>
  <c r="M547" i="20" s="1"/>
  <c r="F547" i="20"/>
  <c r="C548" i="20"/>
  <c r="E548" i="20"/>
  <c r="M548" i="20" s="1"/>
  <c r="F548" i="20"/>
  <c r="C549" i="20"/>
  <c r="E549" i="20"/>
  <c r="M549" i="20" s="1"/>
  <c r="F549" i="20"/>
  <c r="C550" i="20"/>
  <c r="E550" i="20"/>
  <c r="M550" i="20" s="1"/>
  <c r="F550" i="20"/>
  <c r="C551" i="20"/>
  <c r="E551" i="20"/>
  <c r="M551" i="20" s="1"/>
  <c r="F551" i="20"/>
  <c r="C552" i="20"/>
  <c r="E552" i="20"/>
  <c r="M552" i="20" s="1"/>
  <c r="F552" i="20"/>
  <c r="C553" i="20"/>
  <c r="E553" i="20"/>
  <c r="M553" i="20" s="1"/>
  <c r="F553" i="20"/>
  <c r="C554" i="20"/>
  <c r="E554" i="20"/>
  <c r="M554" i="20" s="1"/>
  <c r="F554" i="20"/>
  <c r="C555" i="20"/>
  <c r="E555" i="20"/>
  <c r="M555" i="20" s="1"/>
  <c r="F555" i="20"/>
  <c r="C556" i="20"/>
  <c r="E556" i="20"/>
  <c r="M556" i="20" s="1"/>
  <c r="F556" i="20"/>
  <c r="C557" i="20"/>
  <c r="E557" i="20"/>
  <c r="M557" i="20" s="1"/>
  <c r="F557" i="20"/>
  <c r="C558" i="20"/>
  <c r="E558" i="20"/>
  <c r="M558" i="20" s="1"/>
  <c r="F558" i="20"/>
  <c r="C559" i="20"/>
  <c r="E559" i="20"/>
  <c r="M559" i="20" s="1"/>
  <c r="F559" i="20"/>
  <c r="C560" i="20"/>
  <c r="E560" i="20"/>
  <c r="M560" i="20" s="1"/>
  <c r="F560" i="20"/>
  <c r="C561" i="20"/>
  <c r="E561" i="20"/>
  <c r="M561" i="20" s="1"/>
  <c r="F561" i="20"/>
  <c r="C562" i="20"/>
  <c r="E562" i="20"/>
  <c r="M562" i="20" s="1"/>
  <c r="F562" i="20"/>
  <c r="C563" i="20"/>
  <c r="E563" i="20"/>
  <c r="M563" i="20" s="1"/>
  <c r="F563" i="20"/>
  <c r="C564" i="20"/>
  <c r="E564" i="20"/>
  <c r="M564" i="20" s="1"/>
  <c r="F564" i="20"/>
  <c r="C565" i="20"/>
  <c r="E565" i="20"/>
  <c r="M565" i="20" s="1"/>
  <c r="F565" i="20"/>
  <c r="C566" i="20"/>
  <c r="E566" i="20"/>
  <c r="M566" i="20" s="1"/>
  <c r="F566" i="20"/>
  <c r="C567" i="20"/>
  <c r="E567" i="20"/>
  <c r="M567" i="20" s="1"/>
  <c r="F567" i="20"/>
  <c r="C568" i="20"/>
  <c r="E568" i="20"/>
  <c r="M568" i="20" s="1"/>
  <c r="F568" i="20"/>
  <c r="C569" i="20"/>
  <c r="E569" i="20"/>
  <c r="M569" i="20" s="1"/>
  <c r="F569" i="20"/>
  <c r="C570" i="20"/>
  <c r="E570" i="20"/>
  <c r="M570" i="20" s="1"/>
  <c r="F570" i="20"/>
  <c r="C571" i="20"/>
  <c r="E571" i="20"/>
  <c r="M571" i="20" s="1"/>
  <c r="F571" i="20"/>
  <c r="C572" i="20"/>
  <c r="E572" i="20"/>
  <c r="M572" i="20" s="1"/>
  <c r="F572" i="20"/>
  <c r="C573" i="20"/>
  <c r="E573" i="20"/>
  <c r="M573" i="20" s="1"/>
  <c r="F573" i="20"/>
  <c r="C574" i="20"/>
  <c r="E574" i="20"/>
  <c r="M574" i="20" s="1"/>
  <c r="F574" i="20"/>
  <c r="C575" i="20"/>
  <c r="E575" i="20"/>
  <c r="M575" i="20" s="1"/>
  <c r="F575" i="20"/>
  <c r="C576" i="20"/>
  <c r="E576" i="20"/>
  <c r="M576" i="20" s="1"/>
  <c r="F576" i="20"/>
  <c r="C577" i="20"/>
  <c r="E577" i="20"/>
  <c r="M577" i="20" s="1"/>
  <c r="F577" i="20"/>
  <c r="C578" i="20"/>
  <c r="E578" i="20"/>
  <c r="M578" i="20" s="1"/>
  <c r="F578" i="20"/>
  <c r="C579" i="20"/>
  <c r="E579" i="20"/>
  <c r="M579" i="20" s="1"/>
  <c r="F579" i="20"/>
  <c r="C580" i="20"/>
  <c r="E580" i="20"/>
  <c r="M580" i="20" s="1"/>
  <c r="F580" i="20"/>
  <c r="C581" i="20"/>
  <c r="E581" i="20"/>
  <c r="M581" i="20" s="1"/>
  <c r="F581" i="20"/>
  <c r="C582" i="20"/>
  <c r="E582" i="20"/>
  <c r="M582" i="20" s="1"/>
  <c r="F582" i="20"/>
  <c r="C583" i="20"/>
  <c r="E583" i="20"/>
  <c r="M583" i="20" s="1"/>
  <c r="F583" i="20"/>
  <c r="C84" i="20"/>
  <c r="F84" i="20"/>
  <c r="E84" i="20"/>
  <c r="M84" i="20" s="1"/>
  <c r="B84" i="20"/>
  <c r="N84" i="20" s="1"/>
  <c r="C81" i="20"/>
  <c r="C67" i="20"/>
  <c r="B8" i="1"/>
  <c r="B6" i="20" l="1"/>
  <c r="C6" i="20"/>
  <c r="O438" i="20"/>
  <c r="O323" i="20"/>
  <c r="O303" i="20"/>
  <c r="O440" i="20"/>
  <c r="O583" i="20"/>
  <c r="O300" i="20"/>
  <c r="O441" i="20"/>
  <c r="O261" i="20"/>
  <c r="O439" i="20"/>
  <c r="O338" i="20"/>
  <c r="O437" i="20"/>
  <c r="O337" i="20"/>
  <c r="O436" i="20"/>
  <c r="O396" i="20"/>
  <c r="O296" i="20"/>
  <c r="O577" i="20"/>
  <c r="O297" i="20"/>
  <c r="O197" i="20"/>
  <c r="O555" i="20"/>
  <c r="O515" i="20"/>
  <c r="O475" i="20"/>
  <c r="O435" i="20"/>
  <c r="O315" i="20"/>
  <c r="O235" i="20"/>
  <c r="O155" i="20"/>
  <c r="O115" i="20"/>
  <c r="O563" i="20"/>
  <c r="O523" i="20"/>
  <c r="O483" i="20"/>
  <c r="O463" i="20"/>
  <c r="O423" i="20"/>
  <c r="O383" i="20"/>
  <c r="O363" i="20"/>
  <c r="O343" i="20"/>
  <c r="O283" i="20"/>
  <c r="O243" i="20"/>
  <c r="O203" i="20"/>
  <c r="O183" i="20"/>
  <c r="O163" i="20"/>
  <c r="O123" i="20"/>
  <c r="O103" i="20"/>
  <c r="O219" i="20"/>
  <c r="O578" i="20"/>
  <c r="O298" i="20"/>
  <c r="O517" i="20"/>
  <c r="O177" i="20"/>
  <c r="O575" i="20"/>
  <c r="O495" i="20"/>
  <c r="O395" i="20"/>
  <c r="O355" i="20"/>
  <c r="O275" i="20"/>
  <c r="O536" i="20"/>
  <c r="O299" i="20"/>
  <c r="O218" i="20"/>
  <c r="O178" i="20"/>
  <c r="O217" i="20"/>
  <c r="O576" i="20"/>
  <c r="O216" i="20"/>
  <c r="O535" i="20"/>
  <c r="O455" i="20"/>
  <c r="O415" i="20"/>
  <c r="O375" i="20"/>
  <c r="O335" i="20"/>
  <c r="O295" i="20"/>
  <c r="O255" i="20"/>
  <c r="O215" i="20"/>
  <c r="O175" i="20"/>
  <c r="O135" i="20"/>
  <c r="O95" i="20"/>
  <c r="O539" i="20"/>
  <c r="O557" i="20"/>
  <c r="O537" i="20"/>
  <c r="O497" i="20"/>
  <c r="O417" i="20"/>
  <c r="O397" i="20"/>
  <c r="O377" i="20"/>
  <c r="O357" i="20"/>
  <c r="O317" i="20"/>
  <c r="O277" i="20"/>
  <c r="O257" i="20"/>
  <c r="O237" i="20"/>
  <c r="O137" i="20"/>
  <c r="O117" i="20"/>
  <c r="O97" i="20"/>
  <c r="O479" i="20"/>
  <c r="O279" i="20"/>
  <c r="O258" i="20"/>
  <c r="O158" i="20"/>
  <c r="O477" i="20"/>
  <c r="O556" i="20"/>
  <c r="O496" i="20"/>
  <c r="O476" i="20"/>
  <c r="O456" i="20"/>
  <c r="O356" i="20"/>
  <c r="O316" i="20"/>
  <c r="O276" i="20"/>
  <c r="O256" i="20"/>
  <c r="O196" i="20"/>
  <c r="O176" i="20"/>
  <c r="O136" i="20"/>
  <c r="O96" i="20"/>
  <c r="O220" i="20"/>
  <c r="O379" i="20"/>
  <c r="O319" i="20"/>
  <c r="O199" i="20"/>
  <c r="O518" i="20"/>
  <c r="O398" i="20"/>
  <c r="O459" i="20"/>
  <c r="O98" i="20"/>
  <c r="O260" i="20"/>
  <c r="O559" i="20"/>
  <c r="O499" i="20"/>
  <c r="O399" i="20"/>
  <c r="O159" i="20"/>
  <c r="O558" i="20"/>
  <c r="O498" i="20"/>
  <c r="O118" i="20"/>
  <c r="O480" i="20"/>
  <c r="O519" i="20"/>
  <c r="O419" i="20"/>
  <c r="O359" i="20"/>
  <c r="O239" i="20"/>
  <c r="O139" i="20"/>
  <c r="O538" i="20"/>
  <c r="O478" i="20"/>
  <c r="O238" i="20"/>
  <c r="O262" i="20"/>
  <c r="O579" i="20"/>
  <c r="O259" i="20"/>
  <c r="O179" i="20"/>
  <c r="O99" i="20"/>
  <c r="O198" i="20"/>
  <c r="O138" i="20"/>
  <c r="O481" i="20"/>
  <c r="O574" i="20"/>
  <c r="O554" i="20"/>
  <c r="O534" i="20"/>
  <c r="O514" i="20"/>
  <c r="O494" i="20"/>
  <c r="O474" i="20"/>
  <c r="O454" i="20"/>
  <c r="O434" i="20"/>
  <c r="O254" i="20"/>
  <c r="O194" i="20"/>
  <c r="O154" i="20"/>
  <c r="O223" i="20"/>
  <c r="O561" i="20"/>
  <c r="O141" i="20"/>
  <c r="O580" i="20"/>
  <c r="O560" i="20"/>
  <c r="O540" i="20"/>
  <c r="O520" i="20"/>
  <c r="O500" i="20"/>
  <c r="O460" i="20"/>
  <c r="O420" i="20"/>
  <c r="O400" i="20"/>
  <c r="O380" i="20"/>
  <c r="O360" i="20"/>
  <c r="O340" i="20"/>
  <c r="O320" i="20"/>
  <c r="O280" i="20"/>
  <c r="O240" i="20"/>
  <c r="O200" i="20"/>
  <c r="O180" i="20"/>
  <c r="O160" i="20"/>
  <c r="O140" i="20"/>
  <c r="O120" i="20"/>
  <c r="O100" i="20"/>
  <c r="O414" i="20"/>
  <c r="O394" i="20"/>
  <c r="O374" i="20"/>
  <c r="O354" i="20"/>
  <c r="O334" i="20"/>
  <c r="O314" i="20"/>
  <c r="O294" i="20"/>
  <c r="O274" i="20"/>
  <c r="O234" i="20"/>
  <c r="O214" i="20"/>
  <c r="O174" i="20"/>
  <c r="O134" i="20"/>
  <c r="O114" i="20"/>
  <c r="O94" i="20"/>
  <c r="O573" i="20"/>
  <c r="O533" i="20"/>
  <c r="O503" i="20"/>
  <c r="O473" i="20"/>
  <c r="O453" i="20"/>
  <c r="O443" i="20"/>
  <c r="O403" i="20"/>
  <c r="O393" i="20"/>
  <c r="O373" i="20"/>
  <c r="O353" i="20"/>
  <c r="O333" i="20"/>
  <c r="O313" i="20"/>
  <c r="O293" i="20"/>
  <c r="O273" i="20"/>
  <c r="O263" i="20"/>
  <c r="O233" i="20"/>
  <c r="O173" i="20"/>
  <c r="O153" i="20"/>
  <c r="O143" i="20"/>
  <c r="O113" i="20"/>
  <c r="O93" i="20"/>
  <c r="O522" i="20"/>
  <c r="O482" i="20"/>
  <c r="O462" i="20"/>
  <c r="O382" i="20"/>
  <c r="O362" i="20"/>
  <c r="O342" i="20"/>
  <c r="O322" i="20"/>
  <c r="O302" i="20"/>
  <c r="O282" i="20"/>
  <c r="O242" i="20"/>
  <c r="O222" i="20"/>
  <c r="O202" i="20"/>
  <c r="O182" i="20"/>
  <c r="O162" i="20"/>
  <c r="O142" i="20"/>
  <c r="O581" i="20"/>
  <c r="O541" i="20"/>
  <c r="O521" i="20"/>
  <c r="O501" i="20"/>
  <c r="O461" i="20"/>
  <c r="O421" i="20"/>
  <c r="O401" i="20"/>
  <c r="O381" i="20"/>
  <c r="O361" i="20"/>
  <c r="O341" i="20"/>
  <c r="O321" i="20"/>
  <c r="O301" i="20"/>
  <c r="O281" i="20"/>
  <c r="O241" i="20"/>
  <c r="O221" i="20"/>
  <c r="O201" i="20"/>
  <c r="O181" i="20"/>
  <c r="O161" i="20"/>
  <c r="O121" i="20"/>
  <c r="O101" i="20"/>
  <c r="O339" i="20"/>
  <c r="O119" i="20"/>
  <c r="O553" i="20"/>
  <c r="O513" i="20"/>
  <c r="O433" i="20"/>
  <c r="O442" i="20"/>
  <c r="O402" i="20"/>
  <c r="O543" i="20"/>
  <c r="O493" i="20"/>
  <c r="O413" i="20"/>
  <c r="O542" i="20"/>
  <c r="O502" i="20"/>
  <c r="O422" i="20"/>
  <c r="O458" i="20"/>
  <c r="O418" i="20"/>
  <c r="O378" i="20"/>
  <c r="O358" i="20"/>
  <c r="O318" i="20"/>
  <c r="O278" i="20"/>
  <c r="O133" i="20"/>
  <c r="O562" i="20"/>
  <c r="O457" i="20"/>
  <c r="O157" i="20"/>
  <c r="O253" i="20"/>
  <c r="O102" i="20"/>
  <c r="O516" i="20"/>
  <c r="O416" i="20"/>
  <c r="O376" i="20"/>
  <c r="O336" i="20"/>
  <c r="O236" i="20"/>
  <c r="O156" i="20"/>
  <c r="O116" i="20"/>
  <c r="O193" i="20"/>
  <c r="O213" i="20"/>
  <c r="O582" i="20"/>
  <c r="O122" i="20"/>
  <c r="O195" i="20"/>
  <c r="O532" i="20"/>
  <c r="O392" i="20"/>
  <c r="O272" i="20"/>
  <c r="O112" i="20"/>
  <c r="O531" i="20"/>
  <c r="O471" i="20"/>
  <c r="O371" i="20"/>
  <c r="O291" i="20"/>
  <c r="O231" i="20"/>
  <c r="O91" i="20"/>
  <c r="O350" i="20"/>
  <c r="O210" i="20"/>
  <c r="O150" i="20"/>
  <c r="O569" i="20"/>
  <c r="O469" i="20"/>
  <c r="O389" i="20"/>
  <c r="O349" i="20"/>
  <c r="O329" i="20"/>
  <c r="O289" i="20"/>
  <c r="O189" i="20"/>
  <c r="O568" i="20"/>
  <c r="O508" i="20"/>
  <c r="O428" i="20"/>
  <c r="O408" i="20"/>
  <c r="O388" i="20"/>
  <c r="O348" i="20"/>
  <c r="O308" i="20"/>
  <c r="O288" i="20"/>
  <c r="O268" i="20"/>
  <c r="O248" i="20"/>
  <c r="O188" i="20"/>
  <c r="O168" i="20"/>
  <c r="O88" i="20"/>
  <c r="O572" i="20"/>
  <c r="O472" i="20"/>
  <c r="O292" i="20"/>
  <c r="O212" i="20"/>
  <c r="O92" i="20"/>
  <c r="O511" i="20"/>
  <c r="O391" i="20"/>
  <c r="O311" i="20"/>
  <c r="O211" i="20"/>
  <c r="O151" i="20"/>
  <c r="O111" i="20"/>
  <c r="O550" i="20"/>
  <c r="O490" i="20"/>
  <c r="O430" i="20"/>
  <c r="O370" i="20"/>
  <c r="O310" i="20"/>
  <c r="O250" i="20"/>
  <c r="O190" i="20"/>
  <c r="O130" i="20"/>
  <c r="O269" i="20"/>
  <c r="O209" i="20"/>
  <c r="O169" i="20"/>
  <c r="O548" i="20"/>
  <c r="O528" i="20"/>
  <c r="O488" i="20"/>
  <c r="O468" i="20"/>
  <c r="O448" i="20"/>
  <c r="O368" i="20"/>
  <c r="O328" i="20"/>
  <c r="O228" i="20"/>
  <c r="O208" i="20"/>
  <c r="O148" i="20"/>
  <c r="O128" i="20"/>
  <c r="O108" i="20"/>
  <c r="O567" i="20"/>
  <c r="O547" i="20"/>
  <c r="O527" i="20"/>
  <c r="O507" i="20"/>
  <c r="O487" i="20"/>
  <c r="O467" i="20"/>
  <c r="O447" i="20"/>
  <c r="O427" i="20"/>
  <c r="O407" i="20"/>
  <c r="O387" i="20"/>
  <c r="O367" i="20"/>
  <c r="O347" i="20"/>
  <c r="O327" i="20"/>
  <c r="O307" i="20"/>
  <c r="O287" i="20"/>
  <c r="O267" i="20"/>
  <c r="O247" i="20"/>
  <c r="O227" i="20"/>
  <c r="O207" i="20"/>
  <c r="O187" i="20"/>
  <c r="O167" i="20"/>
  <c r="O147" i="20"/>
  <c r="O127" i="20"/>
  <c r="O107" i="20"/>
  <c r="O87" i="20"/>
  <c r="O110" i="20"/>
  <c r="O89" i="20"/>
  <c r="O566" i="20"/>
  <c r="O546" i="20"/>
  <c r="O526" i="20"/>
  <c r="O506" i="20"/>
  <c r="O486" i="20"/>
  <c r="O466" i="20"/>
  <c r="O446" i="20"/>
  <c r="O426" i="20"/>
  <c r="O406" i="20"/>
  <c r="O386" i="20"/>
  <c r="O366" i="20"/>
  <c r="O346" i="20"/>
  <c r="O326" i="20"/>
  <c r="O306" i="20"/>
  <c r="O286" i="20"/>
  <c r="O266" i="20"/>
  <c r="O246" i="20"/>
  <c r="O226" i="20"/>
  <c r="O206" i="20"/>
  <c r="O186" i="20"/>
  <c r="O166" i="20"/>
  <c r="O146" i="20"/>
  <c r="O126" i="20"/>
  <c r="O106" i="20"/>
  <c r="O86" i="20"/>
  <c r="O232" i="20"/>
  <c r="O170" i="20"/>
  <c r="O129" i="20"/>
  <c r="O132" i="20"/>
  <c r="O565" i="20"/>
  <c r="O545" i="20"/>
  <c r="O485" i="20"/>
  <c r="O465" i="20"/>
  <c r="O445" i="20"/>
  <c r="O425" i="20"/>
  <c r="O405" i="20"/>
  <c r="O385" i="20"/>
  <c r="O365" i="20"/>
  <c r="O345" i="20"/>
  <c r="O325" i="20"/>
  <c r="O305" i="20"/>
  <c r="O285" i="20"/>
  <c r="O265" i="20"/>
  <c r="O245" i="20"/>
  <c r="O225" i="20"/>
  <c r="O205" i="20"/>
  <c r="O185" i="20"/>
  <c r="O165" i="20"/>
  <c r="O145" i="20"/>
  <c r="O125" i="20"/>
  <c r="O105" i="20"/>
  <c r="O552" i="20"/>
  <c r="O492" i="20"/>
  <c r="O452" i="20"/>
  <c r="O332" i="20"/>
  <c r="O192" i="20"/>
  <c r="O551" i="20"/>
  <c r="O491" i="20"/>
  <c r="O451" i="20"/>
  <c r="O351" i="20"/>
  <c r="O171" i="20"/>
  <c r="O510" i="20"/>
  <c r="O470" i="20"/>
  <c r="O509" i="20"/>
  <c r="O449" i="20"/>
  <c r="O309" i="20"/>
  <c r="O229" i="20"/>
  <c r="O149" i="20"/>
  <c r="O84" i="20"/>
  <c r="O564" i="20"/>
  <c r="O544" i="20"/>
  <c r="O524" i="20"/>
  <c r="O504" i="20"/>
  <c r="O484" i="20"/>
  <c r="O464" i="20"/>
  <c r="O444" i="20"/>
  <c r="O424" i="20"/>
  <c r="O404" i="20"/>
  <c r="O384" i="20"/>
  <c r="O364" i="20"/>
  <c r="O344" i="20"/>
  <c r="O324" i="20"/>
  <c r="O304" i="20"/>
  <c r="O284" i="20"/>
  <c r="O264" i="20"/>
  <c r="O244" i="20"/>
  <c r="O224" i="20"/>
  <c r="O204" i="20"/>
  <c r="O184" i="20"/>
  <c r="O164" i="20"/>
  <c r="O144" i="20"/>
  <c r="O124" i="20"/>
  <c r="O104" i="20"/>
  <c r="O412" i="20"/>
  <c r="O352" i="20"/>
  <c r="O152" i="20"/>
  <c r="O571" i="20"/>
  <c r="O431" i="20"/>
  <c r="O411" i="20"/>
  <c r="O251" i="20"/>
  <c r="O131" i="20"/>
  <c r="O570" i="20"/>
  <c r="O450" i="20"/>
  <c r="O390" i="20"/>
  <c r="O330" i="20"/>
  <c r="O270" i="20"/>
  <c r="O90" i="20"/>
  <c r="O529" i="20"/>
  <c r="O429" i="20"/>
  <c r="O369" i="20"/>
  <c r="O249" i="20"/>
  <c r="O505" i="20"/>
  <c r="O512" i="20"/>
  <c r="O432" i="20"/>
  <c r="O372" i="20"/>
  <c r="O312" i="20"/>
  <c r="O252" i="20"/>
  <c r="O172" i="20"/>
  <c r="O331" i="20"/>
  <c r="O271" i="20"/>
  <c r="O191" i="20"/>
  <c r="O530" i="20"/>
  <c r="O410" i="20"/>
  <c r="O290" i="20"/>
  <c r="O230" i="20"/>
  <c r="O549" i="20"/>
  <c r="O489" i="20"/>
  <c r="O409" i="20"/>
  <c r="O109" i="20"/>
  <c r="O525" i="20"/>
  <c r="O85" i="20"/>
  <c r="H84" i="23" l="1"/>
  <c r="H85" i="23"/>
  <c r="H86" i="23"/>
  <c r="H87" i="23"/>
  <c r="H88" i="23"/>
  <c r="H89" i="23"/>
  <c r="H83" i="23"/>
  <c r="H82" i="23"/>
  <c r="H81" i="23"/>
  <c r="BU516" i="3"/>
  <c r="BV516" i="3"/>
  <c r="BI516" i="3"/>
  <c r="BJ516" i="3"/>
  <c r="BK516" i="3"/>
  <c r="BL516" i="3"/>
  <c r="BM516" i="3"/>
  <c r="BN516" i="3"/>
  <c r="BO516" i="3"/>
  <c r="BP516" i="3"/>
  <c r="BQ516" i="3"/>
  <c r="BR516" i="3"/>
  <c r="BS516" i="3"/>
  <c r="BT516" i="3"/>
  <c r="AH516" i="3"/>
  <c r="I82" i="7" s="1"/>
  <c r="AI516" i="3"/>
  <c r="I83" i="7" s="1"/>
  <c r="AJ516" i="3"/>
  <c r="I84" i="7" s="1"/>
  <c r="AK516" i="3"/>
  <c r="I85" i="7" s="1"/>
  <c r="AL516" i="3"/>
  <c r="I86" i="7" s="1"/>
  <c r="AM516" i="3"/>
  <c r="I87" i="7" s="1"/>
  <c r="AN516" i="3"/>
  <c r="I88" i="7" s="1"/>
  <c r="I88" i="23" s="1"/>
  <c r="BH516" i="2"/>
  <c r="E88" i="23"/>
  <c r="E87" i="23"/>
  <c r="E86" i="23"/>
  <c r="E85" i="23"/>
  <c r="E84" i="23"/>
  <c r="E83" i="23"/>
  <c r="E82" i="23"/>
  <c r="C88" i="23"/>
  <c r="C87" i="23"/>
  <c r="C86" i="23"/>
  <c r="C85" i="23"/>
  <c r="C84" i="23"/>
  <c r="C83" i="23"/>
  <c r="C82" i="23"/>
  <c r="E16" i="15"/>
  <c r="E17" i="15"/>
  <c r="E18" i="15"/>
  <c r="E19" i="15"/>
  <c r="E20" i="15"/>
  <c r="E21" i="15"/>
  <c r="E22" i="15"/>
  <c r="E23" i="15"/>
  <c r="E24" i="15"/>
  <c r="E25" i="15"/>
  <c r="AD7" i="24"/>
  <c r="D4" i="3"/>
  <c r="C4" i="2"/>
  <c r="E34" i="14"/>
  <c r="E33" i="14"/>
  <c r="E32" i="14"/>
  <c r="E31" i="14"/>
  <c r="E30" i="14"/>
  <c r="E29" i="14"/>
  <c r="E28" i="14"/>
  <c r="D35" i="14"/>
  <c r="D34" i="14"/>
  <c r="D33" i="14"/>
  <c r="D32" i="14"/>
  <c r="D31" i="14"/>
  <c r="D30" i="14"/>
  <c r="D29" i="14"/>
  <c r="D28" i="14"/>
  <c r="DJ8" i="3" l="1"/>
  <c r="F111" i="14" s="1"/>
  <c r="AC8" i="3"/>
  <c r="W8" i="3"/>
  <c r="I87" i="23"/>
  <c r="J87" i="7"/>
  <c r="I86" i="23"/>
  <c r="J86" i="7"/>
  <c r="I85" i="23"/>
  <c r="J85" i="7"/>
  <c r="I84" i="23"/>
  <c r="J84" i="7"/>
  <c r="I83" i="23"/>
  <c r="J83" i="7"/>
  <c r="I82" i="23"/>
  <c r="J82" i="7"/>
  <c r="AZ8" i="2"/>
  <c r="AA8" i="2"/>
  <c r="Z8" i="2"/>
  <c r="AV5" i="2"/>
  <c r="BE5" i="2"/>
  <c r="BO8" i="2"/>
  <c r="W5" i="24"/>
  <c r="U5" i="24"/>
  <c r="C5" i="24"/>
  <c r="J31" i="14"/>
  <c r="J34" i="14"/>
  <c r="J32" i="14"/>
  <c r="B3" i="2"/>
  <c r="E8" i="2"/>
  <c r="DE8" i="3"/>
  <c r="E8" i="3"/>
  <c r="AA8" i="3"/>
  <c r="Y8" i="3"/>
  <c r="BQ8" i="3"/>
  <c r="Z8" i="3"/>
  <c r="R8" i="2"/>
  <c r="AD8" i="3"/>
  <c r="F24" i="14" s="1"/>
  <c r="CE8" i="3"/>
  <c r="F71" i="14" s="1"/>
  <c r="CH8" i="3"/>
  <c r="F74" i="14" s="1"/>
  <c r="BW8" i="3"/>
  <c r="F70" i="14" s="1"/>
  <c r="CG8" i="3"/>
  <c r="F73" i="14" s="1"/>
  <c r="DF8" i="3"/>
  <c r="AB8" i="3"/>
  <c r="AE8" i="3"/>
  <c r="F25" i="14" s="1"/>
  <c r="J33" i="14"/>
  <c r="J30" i="14"/>
  <c r="J29" i="14"/>
  <c r="J28" i="14"/>
  <c r="DM8" i="3"/>
  <c r="AU8" i="3"/>
  <c r="BA8" i="3"/>
  <c r="AF8" i="3"/>
  <c r="F26" i="14" s="1"/>
  <c r="AZ8" i="3"/>
  <c r="BB8" i="3"/>
  <c r="DI8" i="3"/>
  <c r="F110" i="14" s="1"/>
  <c r="BG8" i="3"/>
  <c r="BM8" i="3"/>
  <c r="DL8" i="3"/>
  <c r="F113" i="14" s="1"/>
  <c r="BC8" i="3"/>
  <c r="BF8" i="3"/>
  <c r="BN8" i="3"/>
  <c r="DH8" i="3"/>
  <c r="F109" i="14" s="1"/>
  <c r="AP8" i="3"/>
  <c r="BD8" i="3"/>
  <c r="BE8" i="3"/>
  <c r="BO8" i="3"/>
  <c r="DG8" i="3"/>
  <c r="CF8" i="3"/>
  <c r="F72" i="14" s="1"/>
  <c r="X8" i="3"/>
  <c r="V8" i="3"/>
  <c r="U8" i="3"/>
  <c r="T8" i="3"/>
  <c r="S8" i="3"/>
  <c r="R8" i="3"/>
  <c r="Q8" i="3"/>
  <c r="P8" i="3"/>
  <c r="BL8" i="2"/>
  <c r="F63" i="13" s="1"/>
  <c r="E88" i="7"/>
  <c r="E87" i="7"/>
  <c r="E86" i="7"/>
  <c r="E85" i="7"/>
  <c r="E84" i="7"/>
  <c r="E83" i="7"/>
  <c r="E82" i="7"/>
  <c r="E81" i="7"/>
  <c r="C89" i="7"/>
  <c r="C88" i="7"/>
  <c r="C87" i="7"/>
  <c r="C86" i="7"/>
  <c r="C85" i="7"/>
  <c r="C84" i="7"/>
  <c r="C83" i="7"/>
  <c r="C82" i="7"/>
  <c r="C81" i="7"/>
  <c r="G30" i="5"/>
  <c r="G31" i="5"/>
  <c r="G32" i="5"/>
  <c r="G33" i="5"/>
  <c r="G34" i="5"/>
  <c r="G35" i="5"/>
  <c r="G36" i="5"/>
  <c r="G37" i="5"/>
  <c r="G38" i="5"/>
  <c r="D30" i="5"/>
  <c r="D31" i="5"/>
  <c r="D32" i="5"/>
  <c r="D33" i="5"/>
  <c r="D34" i="5"/>
  <c r="D35" i="5"/>
  <c r="D36" i="5"/>
  <c r="D37" i="5"/>
  <c r="D38" i="5"/>
  <c r="C30" i="5"/>
  <c r="C31" i="5"/>
  <c r="C32" i="5"/>
  <c r="C33" i="5"/>
  <c r="C34" i="5"/>
  <c r="C35" i="5"/>
  <c r="C36" i="5"/>
  <c r="C37" i="5"/>
  <c r="C38" i="5"/>
  <c r="D107" i="1"/>
  <c r="D82" i="20" s="1"/>
  <c r="G29" i="5"/>
  <c r="D29" i="5"/>
  <c r="C29" i="5"/>
  <c r="G595" i="5" l="1"/>
  <c r="G582" i="5"/>
  <c r="G569" i="5"/>
  <c r="G556" i="5"/>
  <c r="G543" i="5"/>
  <c r="G530" i="5"/>
  <c r="G517" i="5"/>
  <c r="G504" i="5"/>
  <c r="G491" i="5"/>
  <c r="G478" i="5"/>
  <c r="G465" i="5"/>
  <c r="G452" i="5"/>
  <c r="G439" i="5"/>
  <c r="G426" i="5"/>
  <c r="G413" i="5"/>
  <c r="G400" i="5"/>
  <c r="G387" i="5"/>
  <c r="G374" i="5"/>
  <c r="G361" i="5"/>
  <c r="L36" i="15" s="1"/>
  <c r="G348" i="5"/>
  <c r="L35" i="15" s="1"/>
  <c r="G335" i="5"/>
  <c r="L34" i="15" s="1"/>
  <c r="G322" i="5"/>
  <c r="L33" i="15" s="1"/>
  <c r="G309" i="5"/>
  <c r="L32" i="15" s="1"/>
  <c r="G296" i="5"/>
  <c r="L31" i="15" s="1"/>
  <c r="G283" i="5"/>
  <c r="L30" i="15" s="1"/>
  <c r="G270" i="5"/>
  <c r="L29" i="15" s="1"/>
  <c r="G257" i="5"/>
  <c r="L28" i="15" s="1"/>
  <c r="G244" i="5"/>
  <c r="L25" i="15" s="1"/>
  <c r="G231" i="5"/>
  <c r="L24" i="15" s="1"/>
  <c r="G218" i="5"/>
  <c r="L23" i="15" s="1"/>
  <c r="G205" i="5"/>
  <c r="L22" i="15" s="1"/>
  <c r="G192" i="5"/>
  <c r="L21" i="15" s="1"/>
  <c r="G179" i="5"/>
  <c r="L20" i="15" s="1"/>
  <c r="G166" i="5"/>
  <c r="L19" i="15" s="1"/>
  <c r="G153" i="5"/>
  <c r="L18" i="15" s="1"/>
  <c r="G140" i="5"/>
  <c r="L17" i="15" s="1"/>
  <c r="G127" i="5"/>
  <c r="L16" i="15" s="1"/>
  <c r="G114" i="5"/>
  <c r="L15" i="15" s="1"/>
  <c r="G101" i="5"/>
  <c r="L14" i="15" s="1"/>
  <c r="G88" i="5"/>
  <c r="L13" i="15" s="1"/>
  <c r="G75" i="5"/>
  <c r="L12" i="15" s="1"/>
  <c r="G62" i="5"/>
  <c r="L11" i="15" s="1"/>
  <c r="G49" i="5"/>
  <c r="L10" i="15" s="1"/>
  <c r="C594" i="5"/>
  <c r="C581" i="5"/>
  <c r="C568" i="5"/>
  <c r="C555" i="5"/>
  <c r="C542" i="5"/>
  <c r="C529" i="5"/>
  <c r="C516" i="5"/>
  <c r="C477" i="5"/>
  <c r="C464" i="5"/>
  <c r="C451" i="5"/>
  <c r="C438" i="5"/>
  <c r="C425" i="5"/>
  <c r="C412" i="5"/>
  <c r="C399" i="5"/>
  <c r="C360" i="5"/>
  <c r="C347" i="5"/>
  <c r="C334" i="5"/>
  <c r="C321" i="5"/>
  <c r="C308" i="5"/>
  <c r="C295" i="5"/>
  <c r="C282" i="5"/>
  <c r="C243" i="5"/>
  <c r="C230" i="5"/>
  <c r="C217" i="5"/>
  <c r="C204" i="5"/>
  <c r="C191" i="5"/>
  <c r="C178" i="5"/>
  <c r="C165" i="5"/>
  <c r="C152" i="5"/>
  <c r="C139" i="5"/>
  <c r="C126" i="5"/>
  <c r="C113" i="5"/>
  <c r="C100" i="5"/>
  <c r="C87" i="5"/>
  <c r="F594" i="5"/>
  <c r="C600" i="5" s="1"/>
  <c r="F581" i="5"/>
  <c r="C587" i="5" s="1"/>
  <c r="F568" i="5"/>
  <c r="F555" i="5"/>
  <c r="C561" i="5" s="1"/>
  <c r="F542" i="5"/>
  <c r="F529" i="5"/>
  <c r="F516" i="5"/>
  <c r="C522" i="5" s="1"/>
  <c r="F503" i="5"/>
  <c r="F490" i="5"/>
  <c r="C496" i="5" s="1"/>
  <c r="F477" i="5"/>
  <c r="F464" i="5"/>
  <c r="F451" i="5"/>
  <c r="C457" i="5" s="1"/>
  <c r="F438" i="5"/>
  <c r="C444" i="5" s="1"/>
  <c r="F425" i="5"/>
  <c r="F412" i="5"/>
  <c r="F399" i="5"/>
  <c r="F386" i="5"/>
  <c r="C392" i="5" s="1"/>
  <c r="F373" i="5"/>
  <c r="F360" i="5"/>
  <c r="C366" i="5" s="1"/>
  <c r="F347" i="5"/>
  <c r="F334" i="5"/>
  <c r="F321" i="5"/>
  <c r="C327" i="5" s="1"/>
  <c r="F308" i="5"/>
  <c r="C314" i="5" s="1"/>
  <c r="F295" i="5"/>
  <c r="F282" i="5"/>
  <c r="F269" i="5"/>
  <c r="C275" i="5" s="1"/>
  <c r="F256" i="5"/>
  <c r="F243" i="5"/>
  <c r="C249" i="5" s="1"/>
  <c r="F230" i="5"/>
  <c r="F217" i="5"/>
  <c r="F204" i="5"/>
  <c r="C210" i="5" s="1"/>
  <c r="F191" i="5"/>
  <c r="C197" i="5" s="1"/>
  <c r="F178" i="5"/>
  <c r="C184" i="5" s="1"/>
  <c r="F165" i="5"/>
  <c r="C171" i="5" s="1"/>
  <c r="F152" i="5"/>
  <c r="C158" i="5" s="1"/>
  <c r="F139" i="5"/>
  <c r="C145" i="5" s="1"/>
  <c r="F126" i="5"/>
  <c r="C132" i="5" s="1"/>
  <c r="F113" i="5"/>
  <c r="C119" i="5" s="1"/>
  <c r="F100" i="5"/>
  <c r="C106" i="5" s="1"/>
  <c r="F87" i="5"/>
  <c r="C93" i="5" s="1"/>
  <c r="F74" i="5"/>
  <c r="C80" i="5" s="1"/>
  <c r="F61" i="5"/>
  <c r="C67" i="5" s="1"/>
  <c r="F48" i="5"/>
  <c r="N600" i="5"/>
  <c r="N587" i="5"/>
  <c r="N574" i="5"/>
  <c r="N561" i="5"/>
  <c r="N548" i="5"/>
  <c r="N535" i="5"/>
  <c r="N522" i="5"/>
  <c r="N509" i="5"/>
  <c r="N496" i="5"/>
  <c r="N483" i="5"/>
  <c r="N470" i="5"/>
  <c r="N457" i="5"/>
  <c r="N444" i="5"/>
  <c r="N431" i="5"/>
  <c r="N418" i="5"/>
  <c r="N405" i="5"/>
  <c r="N392" i="5"/>
  <c r="N379" i="5"/>
  <c r="N366" i="5"/>
  <c r="N353" i="5"/>
  <c r="N340" i="5"/>
  <c r="N327" i="5"/>
  <c r="N314" i="5"/>
  <c r="N301" i="5"/>
  <c r="N288" i="5"/>
  <c r="N275" i="5"/>
  <c r="N262" i="5"/>
  <c r="N249" i="5"/>
  <c r="N236" i="5"/>
  <c r="N223" i="5"/>
  <c r="N210" i="5"/>
  <c r="N197" i="5"/>
  <c r="N184" i="5"/>
  <c r="N171" i="5"/>
  <c r="N158" i="5"/>
  <c r="N145" i="5"/>
  <c r="N132" i="5"/>
  <c r="N119" i="5"/>
  <c r="N106" i="5"/>
  <c r="N93" i="5"/>
  <c r="N80" i="5"/>
  <c r="N67" i="5"/>
  <c r="N54" i="5"/>
  <c r="BI8" i="2"/>
  <c r="F60" i="13" s="1"/>
  <c r="E561" i="3"/>
  <c r="O561" i="3" s="1"/>
  <c r="E562" i="3"/>
  <c r="O562" i="3" s="1"/>
  <c r="E563" i="3"/>
  <c r="O563" i="3" s="1"/>
  <c r="E564" i="3"/>
  <c r="O564" i="3" s="1"/>
  <c r="E565" i="3"/>
  <c r="O565" i="3" s="1"/>
  <c r="E566" i="3"/>
  <c r="O566" i="3" s="1"/>
  <c r="E567" i="3"/>
  <c r="O567" i="3" s="1"/>
  <c r="E552" i="3"/>
  <c r="O552" i="3" s="1"/>
  <c r="E553" i="3"/>
  <c r="O553" i="3" s="1"/>
  <c r="E554" i="3"/>
  <c r="O554" i="3" s="1"/>
  <c r="E555" i="3"/>
  <c r="O555" i="3" s="1"/>
  <c r="E556" i="3"/>
  <c r="O556" i="3" s="1"/>
  <c r="E557" i="3"/>
  <c r="O557" i="3" s="1"/>
  <c r="E558" i="3"/>
  <c r="O558" i="3" s="1"/>
  <c r="E543" i="3"/>
  <c r="O543" i="3" s="1"/>
  <c r="E544" i="3"/>
  <c r="O544" i="3" s="1"/>
  <c r="E545" i="3"/>
  <c r="O545" i="3" s="1"/>
  <c r="E546" i="3"/>
  <c r="O546" i="3" s="1"/>
  <c r="E547" i="3"/>
  <c r="O547" i="3" s="1"/>
  <c r="E548" i="3"/>
  <c r="O548" i="3" s="1"/>
  <c r="E549" i="3"/>
  <c r="O549" i="3" s="1"/>
  <c r="E528" i="3"/>
  <c r="O528" i="3" s="1"/>
  <c r="E529" i="3"/>
  <c r="O529" i="3" s="1"/>
  <c r="E530" i="3"/>
  <c r="O530" i="3" s="1"/>
  <c r="E531" i="3"/>
  <c r="O531" i="3" s="1"/>
  <c r="E532" i="3"/>
  <c r="O532" i="3" s="1"/>
  <c r="E533" i="3"/>
  <c r="O533" i="3" s="1"/>
  <c r="E534" i="3"/>
  <c r="O534" i="3" s="1"/>
  <c r="E535" i="3"/>
  <c r="O535" i="3" s="1"/>
  <c r="E536" i="3"/>
  <c r="O536" i="3" s="1"/>
  <c r="E537" i="3"/>
  <c r="O537" i="3" s="1"/>
  <c r="E538" i="3"/>
  <c r="O538" i="3" s="1"/>
  <c r="E539" i="3"/>
  <c r="O539" i="3" s="1"/>
  <c r="E540" i="3"/>
  <c r="O540" i="3" s="1"/>
  <c r="E561" i="2"/>
  <c r="O561" i="2" s="1"/>
  <c r="E562" i="2"/>
  <c r="O562" i="2" s="1"/>
  <c r="E563" i="2"/>
  <c r="O563" i="2" s="1"/>
  <c r="E564" i="2"/>
  <c r="O564" i="2" s="1"/>
  <c r="E565" i="2"/>
  <c r="O565" i="2" s="1"/>
  <c r="E566" i="2"/>
  <c r="O566" i="2" s="1"/>
  <c r="E567" i="2"/>
  <c r="O567" i="2" s="1"/>
  <c r="E552" i="2"/>
  <c r="O552" i="2" s="1"/>
  <c r="E553" i="2"/>
  <c r="O553" i="2" s="1"/>
  <c r="E554" i="2"/>
  <c r="O554" i="2" s="1"/>
  <c r="E555" i="2"/>
  <c r="O555" i="2" s="1"/>
  <c r="E556" i="2"/>
  <c r="O556" i="2" s="1"/>
  <c r="E557" i="2"/>
  <c r="O557" i="2" s="1"/>
  <c r="E558" i="2"/>
  <c r="O558" i="2" s="1"/>
  <c r="E543" i="2"/>
  <c r="O543" i="2" s="1"/>
  <c r="E544" i="2"/>
  <c r="O544" i="2" s="1"/>
  <c r="E545" i="2"/>
  <c r="O545" i="2" s="1"/>
  <c r="E546" i="2"/>
  <c r="O546" i="2" s="1"/>
  <c r="E547" i="2"/>
  <c r="O547" i="2" s="1"/>
  <c r="E548" i="2"/>
  <c r="O548" i="2" s="1"/>
  <c r="E549" i="2"/>
  <c r="O549" i="2" s="1"/>
  <c r="E528" i="2"/>
  <c r="O528" i="2" s="1"/>
  <c r="E529" i="2"/>
  <c r="O529" i="2" s="1"/>
  <c r="E530" i="2"/>
  <c r="O530" i="2" s="1"/>
  <c r="E531" i="2"/>
  <c r="O531" i="2" s="1"/>
  <c r="E532" i="2"/>
  <c r="O532" i="2" s="1"/>
  <c r="E533" i="2"/>
  <c r="O533" i="2" s="1"/>
  <c r="E534" i="2"/>
  <c r="O534" i="2" s="1"/>
  <c r="E535" i="2"/>
  <c r="O535" i="2" s="1"/>
  <c r="E536" i="2"/>
  <c r="O536" i="2" s="1"/>
  <c r="E537" i="2"/>
  <c r="O537" i="2" s="1"/>
  <c r="E538" i="2"/>
  <c r="O538" i="2" s="1"/>
  <c r="E539" i="2"/>
  <c r="O539" i="2" s="1"/>
  <c r="E540" i="2"/>
  <c r="O540" i="2" s="1"/>
  <c r="AG18" i="1"/>
  <c r="AG19" i="1"/>
  <c r="AG20" i="1"/>
  <c r="AG21" i="1"/>
  <c r="AG22" i="1"/>
  <c r="AG23" i="1"/>
  <c r="AG24" i="1"/>
  <c r="AG25" i="1"/>
  <c r="AG26" i="1"/>
  <c r="AG27" i="1"/>
  <c r="AG28" i="1"/>
  <c r="AG29" i="1"/>
  <c r="AG30" i="1"/>
  <c r="AG31" i="1"/>
  <c r="AG32" i="1"/>
  <c r="AG33"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M80" i="1"/>
  <c r="N80" i="1" s="1"/>
  <c r="M74" i="1"/>
  <c r="N74" i="1" s="1"/>
  <c r="M75" i="1"/>
  <c r="N75" i="1" s="1"/>
  <c r="M76" i="1"/>
  <c r="N76" i="1" s="1"/>
  <c r="M77" i="1"/>
  <c r="N77" i="1" s="1"/>
  <c r="M78" i="1"/>
  <c r="N78" i="1" s="1"/>
  <c r="M79" i="1"/>
  <c r="N79" i="1" s="1"/>
  <c r="M45" i="1"/>
  <c r="N45" i="1" s="1"/>
  <c r="M46" i="1"/>
  <c r="N46" i="1" s="1"/>
  <c r="M47" i="1"/>
  <c r="N47" i="1" s="1"/>
  <c r="M48" i="1"/>
  <c r="N48" i="1" s="1"/>
  <c r="M49" i="1"/>
  <c r="N49" i="1" s="1"/>
  <c r="M50" i="1"/>
  <c r="N50" i="1" s="1"/>
  <c r="M51" i="1"/>
  <c r="N51" i="1" s="1"/>
  <c r="M52" i="1"/>
  <c r="N52" i="1" s="1"/>
  <c r="M53" i="1"/>
  <c r="N53" i="1" s="1"/>
  <c r="M56" i="1"/>
  <c r="N56" i="1" s="1"/>
  <c r="M57" i="1"/>
  <c r="N57" i="1" s="1"/>
  <c r="M58" i="1"/>
  <c r="N58" i="1" s="1"/>
  <c r="M59" i="1"/>
  <c r="N59" i="1" s="1"/>
  <c r="M60" i="1"/>
  <c r="N60" i="1" s="1"/>
  <c r="M61" i="1"/>
  <c r="N61" i="1" s="1"/>
  <c r="M62" i="1"/>
  <c r="N62" i="1" s="1"/>
  <c r="M65" i="1"/>
  <c r="N65" i="1" s="1"/>
  <c r="M66" i="1"/>
  <c r="N66" i="1" s="1"/>
  <c r="M67" i="1"/>
  <c r="N67" i="1" s="1"/>
  <c r="M68" i="1"/>
  <c r="N68" i="1" s="1"/>
  <c r="M69" i="1"/>
  <c r="N69" i="1" s="1"/>
  <c r="M70" i="1"/>
  <c r="N70" i="1" s="1"/>
  <c r="M71" i="1"/>
  <c r="N71" i="1" s="1"/>
  <c r="D85" i="1"/>
  <c r="D75" i="1"/>
  <c r="D44" i="1"/>
  <c r="G64" i="1"/>
  <c r="E541" i="2" s="1"/>
  <c r="O541" i="2" s="1"/>
  <c r="M54" i="1" l="1"/>
  <c r="N54" i="1" s="1"/>
  <c r="N372" i="5"/>
  <c r="C379" i="5"/>
  <c r="N411" i="5"/>
  <c r="C418" i="5"/>
  <c r="N424" i="5"/>
  <c r="C431" i="5"/>
  <c r="N47" i="5"/>
  <c r="C54" i="5"/>
  <c r="N502" i="5"/>
  <c r="C509" i="5"/>
  <c r="N398" i="5"/>
  <c r="C405" i="5"/>
  <c r="N463" i="5"/>
  <c r="C470" i="5"/>
  <c r="N216" i="5"/>
  <c r="C223" i="5"/>
  <c r="N255" i="5"/>
  <c r="C262" i="5"/>
  <c r="N476" i="5"/>
  <c r="C483" i="5"/>
  <c r="N528" i="5"/>
  <c r="C535" i="5"/>
  <c r="N567" i="5"/>
  <c r="C574" i="5"/>
  <c r="N333" i="5"/>
  <c r="C340" i="5"/>
  <c r="N229" i="5"/>
  <c r="C236" i="5"/>
  <c r="N281" i="5"/>
  <c r="C288" i="5"/>
  <c r="N541" i="5"/>
  <c r="C548" i="5"/>
  <c r="N346" i="5"/>
  <c r="C353" i="5"/>
  <c r="N294" i="5"/>
  <c r="C301" i="5"/>
  <c r="N526" i="2"/>
  <c r="N526" i="3"/>
  <c r="N525" i="2"/>
  <c r="N525" i="3"/>
  <c r="N564" i="2"/>
  <c r="N564" i="3"/>
  <c r="N544" i="2"/>
  <c r="N544" i="3"/>
  <c r="N524" i="2"/>
  <c r="N524" i="3"/>
  <c r="N565" i="2"/>
  <c r="N565" i="3"/>
  <c r="N541" i="2"/>
  <c r="N541" i="3"/>
  <c r="N540" i="3"/>
  <c r="N540" i="2"/>
  <c r="N527" i="2"/>
  <c r="N527" i="3"/>
  <c r="N559" i="3"/>
  <c r="N559" i="2"/>
  <c r="N539" i="3"/>
  <c r="N539" i="2"/>
  <c r="N558" i="3"/>
  <c r="N558" i="2"/>
  <c r="N538" i="3"/>
  <c r="N538" i="2"/>
  <c r="N537" i="3"/>
  <c r="N537" i="2"/>
  <c r="N557" i="3"/>
  <c r="N557" i="2"/>
  <c r="N556" i="3"/>
  <c r="N556" i="2"/>
  <c r="N536" i="3"/>
  <c r="N536" i="2"/>
  <c r="N546" i="2"/>
  <c r="N546" i="3"/>
  <c r="N567" i="2"/>
  <c r="N567" i="3"/>
  <c r="N554" i="2"/>
  <c r="N554" i="3"/>
  <c r="N533" i="2"/>
  <c r="N533" i="3"/>
  <c r="N566" i="2"/>
  <c r="N566" i="3"/>
  <c r="N552" i="2"/>
  <c r="N552" i="3"/>
  <c r="N551" i="3"/>
  <c r="N551" i="2"/>
  <c r="N531" i="3"/>
  <c r="N531" i="2"/>
  <c r="N560" i="3"/>
  <c r="N560" i="2"/>
  <c r="N535" i="3"/>
  <c r="N535" i="2"/>
  <c r="N553" i="2"/>
  <c r="N553" i="3"/>
  <c r="N550" i="3"/>
  <c r="N550" i="2"/>
  <c r="N530" i="3"/>
  <c r="N530" i="2"/>
  <c r="N547" i="2"/>
  <c r="N547" i="3"/>
  <c r="N543" i="3"/>
  <c r="N543" i="2"/>
  <c r="N555" i="2"/>
  <c r="N555" i="3"/>
  <c r="N532" i="2"/>
  <c r="N532" i="3"/>
  <c r="N549" i="3"/>
  <c r="N549" i="2"/>
  <c r="N529" i="3"/>
  <c r="N529" i="2"/>
  <c r="N545" i="2"/>
  <c r="N545" i="3"/>
  <c r="N563" i="3"/>
  <c r="N563" i="2"/>
  <c r="N562" i="3"/>
  <c r="N562" i="2"/>
  <c r="N542" i="3"/>
  <c r="N542" i="2"/>
  <c r="N561" i="3"/>
  <c r="N561" i="2"/>
  <c r="N534" i="2"/>
  <c r="N534" i="3"/>
  <c r="N548" i="2"/>
  <c r="N548" i="3"/>
  <c r="N528" i="2"/>
  <c r="N528" i="3"/>
  <c r="C256" i="5"/>
  <c r="L65" i="15"/>
  <c r="L66" i="15"/>
  <c r="L63" i="15"/>
  <c r="L67" i="15"/>
  <c r="L71" i="15"/>
  <c r="L64" i="15"/>
  <c r="L72" i="15"/>
  <c r="L62" i="15"/>
  <c r="L73" i="15"/>
  <c r="L74" i="15"/>
  <c r="L60" i="15"/>
  <c r="L75" i="15"/>
  <c r="L68" i="15"/>
  <c r="L76" i="15"/>
  <c r="L77" i="15"/>
  <c r="L78" i="15"/>
  <c r="L61" i="15"/>
  <c r="L79" i="15"/>
  <c r="E541" i="3"/>
  <c r="O541" i="3" s="1"/>
  <c r="N489" i="5"/>
  <c r="N593" i="5"/>
  <c r="N554" i="5"/>
  <c r="N580" i="5"/>
  <c r="N515" i="5"/>
  <c r="N450" i="5"/>
  <c r="N437" i="5"/>
  <c r="N385" i="5"/>
  <c r="N359" i="5"/>
  <c r="N320" i="5"/>
  <c r="N307" i="5"/>
  <c r="N268" i="5"/>
  <c r="N242" i="5"/>
  <c r="N203" i="5"/>
  <c r="N190" i="5"/>
  <c r="N177" i="5"/>
  <c r="N164" i="5"/>
  <c r="N151" i="5"/>
  <c r="N138" i="5"/>
  <c r="N125" i="5"/>
  <c r="N112" i="5"/>
  <c r="N99" i="5"/>
  <c r="N86" i="5"/>
  <c r="N73" i="5"/>
  <c r="N60" i="5"/>
  <c r="A27" i="22"/>
  <c r="G518" i="2" l="1"/>
  <c r="AA58" i="24"/>
  <c r="Z58" i="24"/>
  <c r="Y58" i="24"/>
  <c r="X58" i="24"/>
  <c r="V58" i="24"/>
  <c r="S58" i="24"/>
  <c r="R58" i="24"/>
  <c r="P58" i="24"/>
  <c r="N58" i="24"/>
  <c r="L58" i="24"/>
  <c r="J58" i="24"/>
  <c r="H58" i="24"/>
  <c r="F58" i="24"/>
  <c r="AE57" i="24"/>
  <c r="T57" i="24"/>
  <c r="Q57" i="24"/>
  <c r="AE56" i="24"/>
  <c r="AE55" i="24"/>
  <c r="AE54" i="24"/>
  <c r="AE53" i="24"/>
  <c r="AE52" i="24"/>
  <c r="AE51" i="24"/>
  <c r="AE50" i="24"/>
  <c r="AE49" i="24"/>
  <c r="AE48" i="24"/>
  <c r="AE47" i="24"/>
  <c r="AE46" i="24"/>
  <c r="AE45" i="24"/>
  <c r="AE44" i="24"/>
  <c r="AE43" i="24"/>
  <c r="T43" i="24"/>
  <c r="Q43" i="24"/>
  <c r="AE42" i="24"/>
  <c r="T42" i="24"/>
  <c r="Q42" i="24"/>
  <c r="AE41" i="24"/>
  <c r="T41" i="24"/>
  <c r="Q41" i="24"/>
  <c r="AE40" i="24"/>
  <c r="T40" i="24"/>
  <c r="Q40" i="24"/>
  <c r="AE39" i="24"/>
  <c r="T39" i="24"/>
  <c r="Q39" i="24"/>
  <c r="AE38" i="24"/>
  <c r="T38" i="24"/>
  <c r="Q38" i="24"/>
  <c r="AE37" i="24"/>
  <c r="T37" i="24"/>
  <c r="Q37" i="24"/>
  <c r="AE36" i="24"/>
  <c r="T36" i="24"/>
  <c r="Q36" i="24"/>
  <c r="AE35" i="24"/>
  <c r="T35" i="24"/>
  <c r="Q35" i="24"/>
  <c r="AE34" i="24"/>
  <c r="T34" i="24"/>
  <c r="Q34" i="24"/>
  <c r="AE33" i="24"/>
  <c r="T33" i="24"/>
  <c r="Q33" i="24"/>
  <c r="AE32" i="24"/>
  <c r="T32" i="24"/>
  <c r="Q32" i="24"/>
  <c r="AE31" i="24"/>
  <c r="T31" i="24"/>
  <c r="Q31" i="24"/>
  <c r="AE30" i="24"/>
  <c r="T30" i="24"/>
  <c r="Q30" i="24"/>
  <c r="AE29" i="24"/>
  <c r="T29" i="24"/>
  <c r="Q29" i="24"/>
  <c r="AE28" i="24"/>
  <c r="T28" i="24"/>
  <c r="Q28" i="24"/>
  <c r="AE27" i="24"/>
  <c r="T27" i="24"/>
  <c r="Q27" i="24"/>
  <c r="AE26" i="24"/>
  <c r="T26" i="24"/>
  <c r="Q26" i="24"/>
  <c r="AE25" i="24"/>
  <c r="T25" i="24"/>
  <c r="Q25" i="24"/>
  <c r="AE24" i="24"/>
  <c r="T24" i="24"/>
  <c r="Q24" i="24"/>
  <c r="AE23" i="24"/>
  <c r="T23" i="24"/>
  <c r="Q23" i="24"/>
  <c r="AE22" i="24"/>
  <c r="T22" i="24"/>
  <c r="Q22" i="24"/>
  <c r="AE21" i="24"/>
  <c r="T21" i="24"/>
  <c r="Q21" i="24"/>
  <c r="AE20" i="24"/>
  <c r="T20" i="24"/>
  <c r="Q20" i="24"/>
  <c r="AE19" i="24"/>
  <c r="T19" i="24"/>
  <c r="Q19" i="24"/>
  <c r="AE18" i="24"/>
  <c r="T18" i="24"/>
  <c r="Q18" i="24"/>
  <c r="AE17" i="24"/>
  <c r="T17" i="24"/>
  <c r="Q17" i="24"/>
  <c r="AE16" i="24"/>
  <c r="T16" i="24"/>
  <c r="Q16" i="24"/>
  <c r="AE15" i="24"/>
  <c r="T15" i="24"/>
  <c r="Q15" i="24"/>
  <c r="AE14" i="24"/>
  <c r="T14" i="24"/>
  <c r="Q14" i="24"/>
  <c r="AE13" i="24"/>
  <c r="T13" i="24"/>
  <c r="Q13" i="24"/>
  <c r="AE12" i="24"/>
  <c r="T12" i="24"/>
  <c r="Q12" i="24"/>
  <c r="AE11" i="24"/>
  <c r="T11" i="24"/>
  <c r="Q11" i="24"/>
  <c r="AE10" i="24"/>
  <c r="T10" i="24"/>
  <c r="Q10" i="24"/>
  <c r="AE9" i="24"/>
  <c r="T9" i="24"/>
  <c r="Q9" i="24"/>
  <c r="A9" i="24"/>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E8" i="24"/>
  <c r="T8" i="24"/>
  <c r="Q8" i="24"/>
  <c r="B60" i="24"/>
  <c r="O7" i="24"/>
  <c r="M7" i="24"/>
  <c r="K7" i="24"/>
  <c r="I7" i="24"/>
  <c r="G7" i="24"/>
  <c r="E7" i="24"/>
  <c r="AE6" i="24"/>
  <c r="P6" i="24"/>
  <c r="N6" i="24"/>
  <c r="L6" i="24"/>
  <c r="J6" i="24"/>
  <c r="AE5" i="24"/>
  <c r="T5" i="24"/>
  <c r="Q5" i="24"/>
  <c r="O5" i="24"/>
  <c r="M5" i="24"/>
  <c r="K5" i="24"/>
  <c r="I5" i="24"/>
  <c r="E5" i="24"/>
  <c r="D5" i="24"/>
  <c r="Q1" i="24"/>
  <c r="B1" i="24"/>
  <c r="AD57" i="24" l="1"/>
  <c r="AD20" i="24"/>
  <c r="AD34" i="24"/>
  <c r="AD30" i="24"/>
  <c r="AD39" i="24"/>
  <c r="AD33" i="24"/>
  <c r="AD40" i="24"/>
  <c r="AD14" i="24"/>
  <c r="AD23" i="24"/>
  <c r="AD43" i="24"/>
  <c r="AD8" i="24"/>
  <c r="AD16" i="24"/>
  <c r="AD15" i="24"/>
  <c r="AD42" i="24"/>
  <c r="AD24" i="24"/>
  <c r="AD18" i="24"/>
  <c r="AD38" i="24"/>
  <c r="AD41" i="24"/>
  <c r="AD37" i="24"/>
  <c r="AD25" i="24"/>
  <c r="AD21" i="24"/>
  <c r="AD22" i="24"/>
  <c r="AD29" i="24"/>
  <c r="AD17" i="24"/>
  <c r="AD12" i="24"/>
  <c r="AD32" i="24"/>
  <c r="AD19" i="24"/>
  <c r="AD36" i="24"/>
  <c r="AD11" i="24"/>
  <c r="AD26" i="24"/>
  <c r="AD28" i="24"/>
  <c r="AD31" i="24"/>
  <c r="AD13" i="24"/>
  <c r="AD35" i="24"/>
  <c r="AD27" i="24"/>
  <c r="T58" i="24"/>
  <c r="AD9" i="24"/>
  <c r="Q58" i="24"/>
  <c r="AE58" i="24"/>
  <c r="AB2" i="24"/>
  <c r="X5" i="24"/>
  <c r="Y5" i="24"/>
  <c r="AD10" i="24"/>
  <c r="V5" i="24"/>
  <c r="U2" i="24"/>
  <c r="E4" i="24"/>
  <c r="Z5" i="24"/>
  <c r="S4" i="24"/>
  <c r="F6" i="24"/>
  <c r="R4" i="24"/>
  <c r="B5" i="24"/>
  <c r="H6" i="24"/>
  <c r="AD58" i="24" l="1"/>
  <c r="R1" i="24" s="1"/>
  <c r="G87" i="1"/>
  <c r="G86" i="1"/>
  <c r="G77" i="1"/>
  <c r="G49" i="1"/>
  <c r="G76" i="1"/>
  <c r="G65" i="1"/>
  <c r="G48" i="1"/>
  <c r="N7" i="23"/>
  <c r="F6" i="23" s="1"/>
  <c r="S39" i="19"/>
  <c r="M1" i="20"/>
  <c r="H77" i="20"/>
  <c r="K123" i="23"/>
  <c r="K95" i="23"/>
  <c r="K90" i="23"/>
  <c r="K166" i="23" s="1"/>
  <c r="O3" i="23" s="1"/>
  <c r="K12" i="23"/>
  <c r="K61" i="23" s="1"/>
  <c r="O2" i="23" s="1"/>
  <c r="G13" i="23"/>
  <c r="G14" i="23"/>
  <c r="G15" i="23"/>
  <c r="G16" i="23"/>
  <c r="H10"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31" i="23"/>
  <c r="G125" i="23"/>
  <c r="G126" i="23"/>
  <c r="G127" i="23"/>
  <c r="G128" i="23"/>
  <c r="G129" i="23"/>
  <c r="G130" i="23"/>
  <c r="G124" i="23"/>
  <c r="H101" i="23"/>
  <c r="H102" i="23"/>
  <c r="H103" i="23"/>
  <c r="H104" i="23"/>
  <c r="H105" i="23"/>
  <c r="H106" i="23"/>
  <c r="H107" i="23"/>
  <c r="H108" i="23"/>
  <c r="H109" i="23"/>
  <c r="H110" i="23"/>
  <c r="H111" i="23"/>
  <c r="H112" i="23"/>
  <c r="H113" i="23"/>
  <c r="H114" i="23"/>
  <c r="H115" i="23"/>
  <c r="H116" i="23"/>
  <c r="H117" i="23"/>
  <c r="H118" i="23"/>
  <c r="H119" i="23"/>
  <c r="H120" i="23"/>
  <c r="H121" i="23"/>
  <c r="H122" i="23"/>
  <c r="H100" i="23"/>
  <c r="G97" i="23"/>
  <c r="G98" i="23"/>
  <c r="G99" i="23"/>
  <c r="G96" i="23"/>
  <c r="G92" i="23"/>
  <c r="G93" i="23"/>
  <c r="G94" i="23"/>
  <c r="G91" i="23"/>
  <c r="H65" i="23"/>
  <c r="H66" i="23"/>
  <c r="H67" i="23"/>
  <c r="H68" i="23"/>
  <c r="H69" i="23"/>
  <c r="H70" i="23"/>
  <c r="H71" i="23"/>
  <c r="H72" i="23"/>
  <c r="H73" i="23"/>
  <c r="H74" i="23"/>
  <c r="H75" i="23"/>
  <c r="H76" i="23"/>
  <c r="H77" i="23"/>
  <c r="H78" i="23"/>
  <c r="H79" i="23"/>
  <c r="H80" i="23"/>
  <c r="H64"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17" i="23"/>
  <c r="H11" i="23"/>
  <c r="C164" i="23"/>
  <c r="E163" i="23"/>
  <c r="C163" i="23"/>
  <c r="E162" i="23"/>
  <c r="C162" i="23"/>
  <c r="E161" i="23"/>
  <c r="C161" i="23"/>
  <c r="E160" i="23"/>
  <c r="C160" i="23"/>
  <c r="C159" i="23"/>
  <c r="C158" i="23"/>
  <c r="C157" i="23"/>
  <c r="E156" i="23"/>
  <c r="C156" i="23"/>
  <c r="E155" i="23"/>
  <c r="C155" i="23"/>
  <c r="E154" i="23"/>
  <c r="C154" i="23"/>
  <c r="E153" i="23"/>
  <c r="C153" i="23"/>
  <c r="E152" i="23"/>
  <c r="C152" i="23"/>
  <c r="E151" i="23"/>
  <c r="C151" i="23"/>
  <c r="E150" i="23"/>
  <c r="C150" i="23"/>
  <c r="E149" i="23"/>
  <c r="C149" i="23"/>
  <c r="E148" i="23"/>
  <c r="C148" i="23"/>
  <c r="E147" i="23"/>
  <c r="C147" i="23"/>
  <c r="E146" i="23"/>
  <c r="C146" i="23"/>
  <c r="E145" i="23"/>
  <c r="C145" i="23"/>
  <c r="E144" i="23"/>
  <c r="C144" i="23"/>
  <c r="E143" i="23"/>
  <c r="C143" i="23"/>
  <c r="E142" i="23"/>
  <c r="C142" i="23"/>
  <c r="E141" i="23"/>
  <c r="C141" i="23"/>
  <c r="E140" i="23"/>
  <c r="C140" i="23"/>
  <c r="E139" i="23"/>
  <c r="C139" i="23"/>
  <c r="E138" i="23"/>
  <c r="C138" i="23"/>
  <c r="E137" i="23"/>
  <c r="C137" i="23"/>
  <c r="E136" i="23"/>
  <c r="C136" i="23"/>
  <c r="E135" i="23"/>
  <c r="C135" i="23"/>
  <c r="C134" i="23"/>
  <c r="C133" i="23"/>
  <c r="C132" i="23"/>
  <c r="C131" i="23"/>
  <c r="E130" i="23"/>
  <c r="D130" i="23"/>
  <c r="E129" i="23"/>
  <c r="D129" i="23"/>
  <c r="E128" i="23"/>
  <c r="D128" i="23"/>
  <c r="E127" i="23"/>
  <c r="D127" i="23"/>
  <c r="E126" i="23"/>
  <c r="D126" i="23"/>
  <c r="E125" i="23"/>
  <c r="D125" i="23"/>
  <c r="E124" i="23"/>
  <c r="D124" i="23"/>
  <c r="F123" i="23"/>
  <c r="C123" i="23"/>
  <c r="E122" i="23"/>
  <c r="C122" i="23"/>
  <c r="E121" i="23"/>
  <c r="C121" i="23"/>
  <c r="E120" i="23"/>
  <c r="C120" i="23"/>
  <c r="E119" i="23"/>
  <c r="C119" i="23"/>
  <c r="E118" i="23"/>
  <c r="C118" i="23"/>
  <c r="C117" i="23"/>
  <c r="C116" i="23"/>
  <c r="C115" i="23"/>
  <c r="C114" i="23"/>
  <c r="C113" i="23"/>
  <c r="E112" i="23"/>
  <c r="C112" i="23"/>
  <c r="E111" i="23"/>
  <c r="C111" i="23"/>
  <c r="E110" i="23"/>
  <c r="C110" i="23"/>
  <c r="E109" i="23"/>
  <c r="C109" i="23"/>
  <c r="E108" i="23"/>
  <c r="C108" i="23"/>
  <c r="C107" i="23"/>
  <c r="C106" i="23"/>
  <c r="C105" i="23"/>
  <c r="C104" i="23"/>
  <c r="C103" i="23"/>
  <c r="C102" i="23"/>
  <c r="C101" i="23"/>
  <c r="C100" i="23"/>
  <c r="E99" i="23"/>
  <c r="D99" i="23"/>
  <c r="E98" i="23"/>
  <c r="D98" i="23"/>
  <c r="E97" i="23"/>
  <c r="D97" i="23"/>
  <c r="E96" i="23"/>
  <c r="D96" i="23"/>
  <c r="C95" i="23"/>
  <c r="E94" i="23"/>
  <c r="D94" i="23"/>
  <c r="E93" i="23"/>
  <c r="D93" i="23"/>
  <c r="E92" i="23"/>
  <c r="D92" i="23"/>
  <c r="E91" i="23"/>
  <c r="D91" i="23"/>
  <c r="C90" i="23"/>
  <c r="E89" i="23"/>
  <c r="C89" i="23"/>
  <c r="E81" i="23"/>
  <c r="C81" i="23"/>
  <c r="E80" i="23"/>
  <c r="C80" i="23"/>
  <c r="E79" i="23"/>
  <c r="C79" i="23"/>
  <c r="E78" i="23"/>
  <c r="C78" i="23"/>
  <c r="E77" i="23"/>
  <c r="C77" i="23"/>
  <c r="C76" i="23"/>
  <c r="C75" i="23"/>
  <c r="C74" i="23"/>
  <c r="C73" i="23"/>
  <c r="C72" i="23"/>
  <c r="C71" i="23"/>
  <c r="C70" i="23"/>
  <c r="C69" i="23"/>
  <c r="C68" i="23"/>
  <c r="C67" i="23"/>
  <c r="C66" i="23"/>
  <c r="C65" i="23"/>
  <c r="C64" i="23"/>
  <c r="E59" i="23"/>
  <c r="C59" i="23"/>
  <c r="E58" i="23"/>
  <c r="C58" i="23"/>
  <c r="C57" i="23"/>
  <c r="E56" i="23"/>
  <c r="C56" i="23"/>
  <c r="C55" i="23"/>
  <c r="C54" i="23"/>
  <c r="E53" i="23"/>
  <c r="C53" i="23"/>
  <c r="C52" i="23"/>
  <c r="C51" i="23"/>
  <c r="C50" i="23"/>
  <c r="E49" i="23"/>
  <c r="C49" i="23"/>
  <c r="E48" i="23"/>
  <c r="C48" i="23"/>
  <c r="E47" i="23"/>
  <c r="C47" i="23"/>
  <c r="E46" i="23"/>
  <c r="C46" i="23"/>
  <c r="E45" i="23"/>
  <c r="C45" i="23"/>
  <c r="C44" i="23"/>
  <c r="C43" i="23"/>
  <c r="C42" i="23"/>
  <c r="C41" i="23"/>
  <c r="E40" i="23"/>
  <c r="C40" i="23"/>
  <c r="E39" i="23"/>
  <c r="C39" i="23"/>
  <c r="E38" i="23"/>
  <c r="C38" i="23"/>
  <c r="E37" i="23"/>
  <c r="C37" i="23"/>
  <c r="E36" i="23"/>
  <c r="C36" i="23"/>
  <c r="E35" i="23"/>
  <c r="C35" i="23"/>
  <c r="E34" i="23"/>
  <c r="C34" i="23"/>
  <c r="E33" i="23"/>
  <c r="C33" i="23"/>
  <c r="E32" i="23"/>
  <c r="C32" i="23"/>
  <c r="E31" i="23"/>
  <c r="C31" i="23"/>
  <c r="E30" i="23"/>
  <c r="C30" i="23"/>
  <c r="E29" i="23"/>
  <c r="C29" i="23"/>
  <c r="E28" i="23"/>
  <c r="C28" i="23"/>
  <c r="E27" i="23"/>
  <c r="C27" i="23"/>
  <c r="E26" i="23"/>
  <c r="C26" i="23"/>
  <c r="E25" i="23"/>
  <c r="C25" i="23"/>
  <c r="E24" i="23"/>
  <c r="C24" i="23"/>
  <c r="E23" i="23"/>
  <c r="C23" i="23"/>
  <c r="E22" i="23"/>
  <c r="C22" i="23"/>
  <c r="E21" i="23"/>
  <c r="C21" i="23"/>
  <c r="C20" i="23"/>
  <c r="C19" i="23"/>
  <c r="C18" i="23"/>
  <c r="C17" i="23"/>
  <c r="E16" i="23"/>
  <c r="D16" i="23"/>
  <c r="E15" i="23"/>
  <c r="D15" i="23"/>
  <c r="E14" i="23"/>
  <c r="D14" i="23"/>
  <c r="E13" i="23"/>
  <c r="D13" i="23"/>
  <c r="C12" i="23"/>
  <c r="C11" i="23"/>
  <c r="C10" i="23"/>
  <c r="H90" i="23" l="1"/>
  <c r="F11" i="15"/>
  <c r="F29" i="15"/>
  <c r="F12" i="15"/>
  <c r="N1" i="23"/>
  <c r="M3" i="23"/>
  <c r="M2" i="23"/>
  <c r="M4" i="23"/>
  <c r="I8" i="23"/>
  <c r="J8" i="23"/>
  <c r="B79" i="20"/>
  <c r="H81" i="20"/>
  <c r="M63" i="1"/>
  <c r="N63" i="1" s="1"/>
  <c r="C373" i="5"/>
  <c r="E550" i="3"/>
  <c r="O550" i="3" s="1"/>
  <c r="E550" i="2"/>
  <c r="O550" i="2" s="1"/>
  <c r="M55" i="1"/>
  <c r="N55" i="1" s="1"/>
  <c r="E542" i="2"/>
  <c r="O542" i="2" s="1"/>
  <c r="C269" i="5"/>
  <c r="E542" i="3"/>
  <c r="O542" i="3" s="1"/>
  <c r="E527" i="3"/>
  <c r="O527" i="3" s="1"/>
  <c r="C74" i="5"/>
  <c r="E527" i="2"/>
  <c r="O527" i="2" s="1"/>
  <c r="E526" i="3"/>
  <c r="O526" i="3" s="1"/>
  <c r="E526" i="2"/>
  <c r="O526" i="2" s="1"/>
  <c r="C61" i="5"/>
  <c r="M64" i="1"/>
  <c r="N64" i="1" s="1"/>
  <c r="C386" i="5"/>
  <c r="E551" i="3"/>
  <c r="O551" i="3" s="1"/>
  <c r="E551" i="2"/>
  <c r="O551" i="2" s="1"/>
  <c r="M72" i="1"/>
  <c r="N72" i="1" s="1"/>
  <c r="E559" i="3"/>
  <c r="O559" i="3" s="1"/>
  <c r="C490" i="5"/>
  <c r="E559" i="2"/>
  <c r="O559" i="2" s="1"/>
  <c r="M73" i="1"/>
  <c r="N73" i="1" s="1"/>
  <c r="E560" i="2"/>
  <c r="O560" i="2" s="1"/>
  <c r="C503" i="5"/>
  <c r="E560" i="3"/>
  <c r="O560" i="3" s="1"/>
  <c r="O8" i="23"/>
  <c r="H95" i="23"/>
  <c r="B63" i="23"/>
  <c r="E166" i="23"/>
  <c r="B1" i="23"/>
  <c r="E61" i="23"/>
  <c r="F12" i="23"/>
  <c r="B7" i="23"/>
  <c r="K8" i="23"/>
  <c r="F7" i="23"/>
  <c r="B9" i="23"/>
  <c r="H123" i="23"/>
  <c r="H12" i="23"/>
  <c r="H61" i="23" s="1"/>
  <c r="H166" i="23" l="1"/>
  <c r="C57" i="14"/>
  <c r="F72" i="15"/>
  <c r="F71" i="15"/>
  <c r="F61" i="15"/>
  <c r="F28" i="15"/>
  <c r="E72" i="15"/>
  <c r="E73" i="15"/>
  <c r="E74" i="15"/>
  <c r="E75" i="15"/>
  <c r="E76" i="15"/>
  <c r="E77" i="15"/>
  <c r="E78" i="15"/>
  <c r="E79" i="15"/>
  <c r="E71" i="15"/>
  <c r="E61" i="15"/>
  <c r="E62" i="15"/>
  <c r="E63" i="15"/>
  <c r="E64" i="15"/>
  <c r="E65" i="15"/>
  <c r="E66" i="15"/>
  <c r="E67" i="15"/>
  <c r="E68" i="15"/>
  <c r="E60" i="15"/>
  <c r="E29" i="15"/>
  <c r="E30" i="15"/>
  <c r="E31" i="15"/>
  <c r="E32" i="15"/>
  <c r="E33" i="15"/>
  <c r="E34" i="15"/>
  <c r="E35" i="15"/>
  <c r="E36" i="15"/>
  <c r="E28" i="15"/>
  <c r="E9" i="15"/>
  <c r="E10" i="15"/>
  <c r="E11" i="15"/>
  <c r="E12" i="15"/>
  <c r="E13" i="15"/>
  <c r="E14" i="15"/>
  <c r="E15" i="15"/>
  <c r="E8" i="15"/>
  <c r="J66" i="14"/>
  <c r="J65" i="14"/>
  <c r="J64" i="14"/>
  <c r="J63" i="14"/>
  <c r="J62" i="14"/>
  <c r="J61" i="14"/>
  <c r="J60" i="14"/>
  <c r="J59" i="14"/>
  <c r="J58" i="14"/>
  <c r="J57" i="14"/>
  <c r="J53" i="14"/>
  <c r="J52" i="14"/>
  <c r="J51" i="14"/>
  <c r="J50" i="14"/>
  <c r="D90" i="14"/>
  <c r="D89" i="14"/>
  <c r="D88" i="14"/>
  <c r="D87" i="14"/>
  <c r="D86" i="14"/>
  <c r="D85" i="14"/>
  <c r="D84" i="14"/>
  <c r="D83" i="14"/>
  <c r="D82" i="14"/>
  <c r="E102" i="14"/>
  <c r="E101" i="14"/>
  <c r="E100" i="14"/>
  <c r="E99" i="14"/>
  <c r="E98" i="14"/>
  <c r="E97" i="14"/>
  <c r="E96" i="14"/>
  <c r="E95" i="14"/>
  <c r="E94" i="14"/>
  <c r="D102" i="14"/>
  <c r="D101" i="14"/>
  <c r="D100" i="14"/>
  <c r="D99" i="14"/>
  <c r="D98" i="14"/>
  <c r="D97" i="14"/>
  <c r="D96" i="14"/>
  <c r="D95" i="14"/>
  <c r="D94" i="14"/>
  <c r="C94" i="14"/>
  <c r="E90" i="14"/>
  <c r="E89" i="14"/>
  <c r="E88" i="14"/>
  <c r="E87" i="14"/>
  <c r="E86" i="14"/>
  <c r="E85" i="14"/>
  <c r="E84" i="14"/>
  <c r="E83" i="14"/>
  <c r="E82" i="14"/>
  <c r="C82" i="14"/>
  <c r="E78" i="14"/>
  <c r="E77" i="14"/>
  <c r="E76" i="14"/>
  <c r="E75" i="14"/>
  <c r="E74" i="14"/>
  <c r="E73" i="14"/>
  <c r="E72" i="14"/>
  <c r="E71" i="14"/>
  <c r="E70" i="14"/>
  <c r="C70" i="14"/>
  <c r="D78" i="14"/>
  <c r="D77" i="14"/>
  <c r="D76" i="14"/>
  <c r="D75" i="14"/>
  <c r="D74" i="14"/>
  <c r="D73" i="14"/>
  <c r="D72" i="14"/>
  <c r="D71" i="14"/>
  <c r="D70" i="14"/>
  <c r="E66" i="14"/>
  <c r="E65" i="14"/>
  <c r="E64" i="14"/>
  <c r="E63" i="14"/>
  <c r="E62" i="14"/>
  <c r="E61" i="14"/>
  <c r="E60" i="14"/>
  <c r="E59" i="14"/>
  <c r="E58" i="14"/>
  <c r="E57" i="14"/>
  <c r="D66" i="14"/>
  <c r="D65" i="14"/>
  <c r="D64" i="14"/>
  <c r="D63" i="14"/>
  <c r="D62" i="14"/>
  <c r="D61" i="14"/>
  <c r="D60" i="14"/>
  <c r="D59" i="14"/>
  <c r="D58" i="14"/>
  <c r="D57" i="14"/>
  <c r="E53" i="14"/>
  <c r="D53" i="14"/>
  <c r="E52" i="14"/>
  <c r="E51" i="14"/>
  <c r="E50" i="14"/>
  <c r="E49" i="14"/>
  <c r="D40" i="14"/>
  <c r="D52" i="14"/>
  <c r="D51" i="14"/>
  <c r="D50" i="14"/>
  <c r="D49" i="14"/>
  <c r="E40" i="14"/>
  <c r="J59" i="13"/>
  <c r="E59" i="13"/>
  <c r="D59" i="13"/>
  <c r="I122" i="7"/>
  <c r="I122" i="23" s="1"/>
  <c r="I121" i="7"/>
  <c r="I121" i="23" s="1"/>
  <c r="I120" i="7"/>
  <c r="I120" i="23" s="1"/>
  <c r="I119" i="7"/>
  <c r="I119" i="23" s="1"/>
  <c r="I118" i="7"/>
  <c r="I118" i="23" s="1"/>
  <c r="I117" i="7"/>
  <c r="I117" i="23" s="1"/>
  <c r="I116" i="7"/>
  <c r="I116" i="23" s="1"/>
  <c r="I115" i="7"/>
  <c r="I115" i="23" s="1"/>
  <c r="I114" i="7"/>
  <c r="I114" i="23" s="1"/>
  <c r="I113" i="7"/>
  <c r="I113" i="23" s="1"/>
  <c r="I112" i="7"/>
  <c r="I112" i="23" s="1"/>
  <c r="H123" i="7"/>
  <c r="H95" i="7"/>
  <c r="H90" i="7"/>
  <c r="C138" i="7"/>
  <c r="C137" i="7"/>
  <c r="C136" i="7"/>
  <c r="C135" i="7"/>
  <c r="C134" i="7"/>
  <c r="C133" i="7"/>
  <c r="C132" i="7"/>
  <c r="C131" i="7"/>
  <c r="E130" i="7"/>
  <c r="D130" i="7"/>
  <c r="E129" i="7"/>
  <c r="D129" i="7"/>
  <c r="E128" i="7"/>
  <c r="D128" i="7"/>
  <c r="E127" i="7"/>
  <c r="D127" i="7"/>
  <c r="E126" i="7"/>
  <c r="D126" i="7"/>
  <c r="E125" i="7"/>
  <c r="D125" i="7"/>
  <c r="E124" i="7"/>
  <c r="D124" i="7"/>
  <c r="C123" i="7"/>
  <c r="E122" i="7"/>
  <c r="C122" i="7"/>
  <c r="C121" i="7"/>
  <c r="E121" i="7"/>
  <c r="E120" i="7"/>
  <c r="E119" i="7"/>
  <c r="E118" i="7"/>
  <c r="C120" i="7"/>
  <c r="C119" i="7"/>
  <c r="C118" i="7"/>
  <c r="C117" i="7"/>
  <c r="C116" i="7"/>
  <c r="C115" i="7"/>
  <c r="C114" i="7"/>
  <c r="C113" i="7"/>
  <c r="E138" i="7"/>
  <c r="E137" i="7"/>
  <c r="E136" i="7"/>
  <c r="E135" i="7"/>
  <c r="K132" i="7"/>
  <c r="K131" i="7"/>
  <c r="I111" i="7"/>
  <c r="I110" i="7"/>
  <c r="I109" i="7"/>
  <c r="E112" i="7"/>
  <c r="E111" i="7"/>
  <c r="E110" i="7"/>
  <c r="E109" i="7"/>
  <c r="C112" i="7"/>
  <c r="C111" i="7"/>
  <c r="C110" i="7"/>
  <c r="C109" i="7"/>
  <c r="E108" i="7"/>
  <c r="C108" i="7"/>
  <c r="E98" i="7"/>
  <c r="E97" i="7"/>
  <c r="E96" i="7"/>
  <c r="D99" i="7"/>
  <c r="D98" i="7"/>
  <c r="D97" i="7"/>
  <c r="D96" i="7"/>
  <c r="C95" i="7"/>
  <c r="C90" i="7"/>
  <c r="I53" i="7"/>
  <c r="E53" i="7"/>
  <c r="C53" i="7"/>
  <c r="AV516" i="3"/>
  <c r="I96" i="7" s="1"/>
  <c r="I96" i="23" s="1"/>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10" i="3"/>
  <c r="AU111" i="3"/>
  <c r="AU112" i="3"/>
  <c r="AU113" i="3"/>
  <c r="AU114" i="3"/>
  <c r="AU115" i="3"/>
  <c r="AU116" i="3"/>
  <c r="AU117" i="3"/>
  <c r="AU118" i="3"/>
  <c r="AU119" i="3"/>
  <c r="AU120" i="3"/>
  <c r="AU121" i="3"/>
  <c r="AU122" i="3"/>
  <c r="AU123"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U205" i="3"/>
  <c r="AU206" i="3"/>
  <c r="AU207" i="3"/>
  <c r="AU208" i="3"/>
  <c r="AU209" i="3"/>
  <c r="AU210" i="3"/>
  <c r="AU211" i="3"/>
  <c r="AU212" i="3"/>
  <c r="AU213" i="3"/>
  <c r="AU214" i="3"/>
  <c r="AU215" i="3"/>
  <c r="AU216" i="3"/>
  <c r="AU217" i="3"/>
  <c r="AU218" i="3"/>
  <c r="AU219" i="3"/>
  <c r="AU220" i="3"/>
  <c r="AU221" i="3"/>
  <c r="AU222" i="3"/>
  <c r="AU223" i="3"/>
  <c r="AU224" i="3"/>
  <c r="AU225" i="3"/>
  <c r="AU226" i="3"/>
  <c r="AU227" i="3"/>
  <c r="AU228" i="3"/>
  <c r="AU229" i="3"/>
  <c r="AU230" i="3"/>
  <c r="AU231" i="3"/>
  <c r="AU232" i="3"/>
  <c r="AU233" i="3"/>
  <c r="AU234" i="3"/>
  <c r="AU235" i="3"/>
  <c r="AU236" i="3"/>
  <c r="AU237" i="3"/>
  <c r="AU238" i="3"/>
  <c r="AU239" i="3"/>
  <c r="AU240" i="3"/>
  <c r="AU241" i="3"/>
  <c r="AU242" i="3"/>
  <c r="AU243" i="3"/>
  <c r="AU244" i="3"/>
  <c r="AU245" i="3"/>
  <c r="AU246" i="3"/>
  <c r="AU247" i="3"/>
  <c r="AU248" i="3"/>
  <c r="AU249" i="3"/>
  <c r="AU250" i="3"/>
  <c r="AU251" i="3"/>
  <c r="AU252" i="3"/>
  <c r="AU253" i="3"/>
  <c r="AU254" i="3"/>
  <c r="AU255" i="3"/>
  <c r="AU256" i="3"/>
  <c r="AU257" i="3"/>
  <c r="AU258" i="3"/>
  <c r="AU259" i="3"/>
  <c r="AU260" i="3"/>
  <c r="AU261" i="3"/>
  <c r="AU262" i="3"/>
  <c r="AU263" i="3"/>
  <c r="AU264" i="3"/>
  <c r="AU265" i="3"/>
  <c r="AU266" i="3"/>
  <c r="AU267" i="3"/>
  <c r="AU268" i="3"/>
  <c r="AU269" i="3"/>
  <c r="AU270" i="3"/>
  <c r="AU271" i="3"/>
  <c r="AU272" i="3"/>
  <c r="AU273" i="3"/>
  <c r="AU274" i="3"/>
  <c r="AU275" i="3"/>
  <c r="AU276" i="3"/>
  <c r="AU277" i="3"/>
  <c r="AU278" i="3"/>
  <c r="AU279" i="3"/>
  <c r="AU280" i="3"/>
  <c r="AU281" i="3"/>
  <c r="AU282" i="3"/>
  <c r="AU283" i="3"/>
  <c r="AU284" i="3"/>
  <c r="AU285" i="3"/>
  <c r="AU286" i="3"/>
  <c r="AU287" i="3"/>
  <c r="AU288" i="3"/>
  <c r="AU289" i="3"/>
  <c r="AU290" i="3"/>
  <c r="AU291" i="3"/>
  <c r="AU292" i="3"/>
  <c r="AU293" i="3"/>
  <c r="AU294" i="3"/>
  <c r="AU295" i="3"/>
  <c r="AU296" i="3"/>
  <c r="AU297" i="3"/>
  <c r="AU298" i="3"/>
  <c r="AU299" i="3"/>
  <c r="AU300" i="3"/>
  <c r="AU301" i="3"/>
  <c r="AU302" i="3"/>
  <c r="AU303" i="3"/>
  <c r="AU304" i="3"/>
  <c r="AU305" i="3"/>
  <c r="AU306" i="3"/>
  <c r="AU307" i="3"/>
  <c r="AU308" i="3"/>
  <c r="AU309" i="3"/>
  <c r="AU310" i="3"/>
  <c r="AU311" i="3"/>
  <c r="AU312" i="3"/>
  <c r="AU313" i="3"/>
  <c r="AU314" i="3"/>
  <c r="AU315" i="3"/>
  <c r="AU316" i="3"/>
  <c r="AU317" i="3"/>
  <c r="AU318" i="3"/>
  <c r="AU319" i="3"/>
  <c r="AU320" i="3"/>
  <c r="AU321" i="3"/>
  <c r="AU322" i="3"/>
  <c r="AU323" i="3"/>
  <c r="AU324" i="3"/>
  <c r="AU325" i="3"/>
  <c r="AU326" i="3"/>
  <c r="AU327" i="3"/>
  <c r="AU328" i="3"/>
  <c r="AU329" i="3"/>
  <c r="AU330" i="3"/>
  <c r="AU331" i="3"/>
  <c r="AU332" i="3"/>
  <c r="AU333" i="3"/>
  <c r="AU334" i="3"/>
  <c r="AU335" i="3"/>
  <c r="AU336" i="3"/>
  <c r="AU337" i="3"/>
  <c r="AU338" i="3"/>
  <c r="AU339" i="3"/>
  <c r="AU340" i="3"/>
  <c r="AU341" i="3"/>
  <c r="AU342" i="3"/>
  <c r="AU343" i="3"/>
  <c r="AU344" i="3"/>
  <c r="AU345" i="3"/>
  <c r="AU346" i="3"/>
  <c r="AU347" i="3"/>
  <c r="AU348" i="3"/>
  <c r="AU349" i="3"/>
  <c r="AU350" i="3"/>
  <c r="AU351" i="3"/>
  <c r="AU352" i="3"/>
  <c r="AU353" i="3"/>
  <c r="AU354" i="3"/>
  <c r="AU355" i="3"/>
  <c r="AU356" i="3"/>
  <c r="AU357" i="3"/>
  <c r="AU358" i="3"/>
  <c r="AU359" i="3"/>
  <c r="AU360" i="3"/>
  <c r="AU361" i="3"/>
  <c r="AU362" i="3"/>
  <c r="AU363" i="3"/>
  <c r="AU364" i="3"/>
  <c r="AU365" i="3"/>
  <c r="AU366" i="3"/>
  <c r="AU367" i="3"/>
  <c r="AU368" i="3"/>
  <c r="AU369" i="3"/>
  <c r="AU370" i="3"/>
  <c r="AU371" i="3"/>
  <c r="AU372" i="3"/>
  <c r="AU373" i="3"/>
  <c r="AU374" i="3"/>
  <c r="AU375" i="3"/>
  <c r="AU376" i="3"/>
  <c r="AU377" i="3"/>
  <c r="AU378" i="3"/>
  <c r="AU379" i="3"/>
  <c r="AU380" i="3"/>
  <c r="AU381" i="3"/>
  <c r="AU382" i="3"/>
  <c r="AU383" i="3"/>
  <c r="AU384" i="3"/>
  <c r="AU385" i="3"/>
  <c r="AU386" i="3"/>
  <c r="AU387" i="3"/>
  <c r="AU388" i="3"/>
  <c r="AU389" i="3"/>
  <c r="AU390" i="3"/>
  <c r="AU391" i="3"/>
  <c r="AU392" i="3"/>
  <c r="AU393" i="3"/>
  <c r="AU394" i="3"/>
  <c r="AU395" i="3"/>
  <c r="AU396" i="3"/>
  <c r="AU397" i="3"/>
  <c r="AU398" i="3"/>
  <c r="AU399" i="3"/>
  <c r="AU400" i="3"/>
  <c r="AU401" i="3"/>
  <c r="AU402" i="3"/>
  <c r="AU403" i="3"/>
  <c r="AU404" i="3"/>
  <c r="AU405" i="3"/>
  <c r="AU406" i="3"/>
  <c r="AU407" i="3"/>
  <c r="AU408" i="3"/>
  <c r="AU409" i="3"/>
  <c r="AU410" i="3"/>
  <c r="AU411" i="3"/>
  <c r="AU412" i="3"/>
  <c r="AU413" i="3"/>
  <c r="AU414" i="3"/>
  <c r="AU415" i="3"/>
  <c r="AU416" i="3"/>
  <c r="AU417" i="3"/>
  <c r="AU418" i="3"/>
  <c r="AU419" i="3"/>
  <c r="AU420" i="3"/>
  <c r="AU421" i="3"/>
  <c r="AU422" i="3"/>
  <c r="AU423" i="3"/>
  <c r="AU424" i="3"/>
  <c r="AU425" i="3"/>
  <c r="AU426" i="3"/>
  <c r="AU427" i="3"/>
  <c r="AU428" i="3"/>
  <c r="AU429" i="3"/>
  <c r="AU430" i="3"/>
  <c r="AU431" i="3"/>
  <c r="AU432" i="3"/>
  <c r="AU433" i="3"/>
  <c r="AU434" i="3"/>
  <c r="AU435" i="3"/>
  <c r="AU436" i="3"/>
  <c r="AU437" i="3"/>
  <c r="AU438" i="3"/>
  <c r="AU439" i="3"/>
  <c r="AU440" i="3"/>
  <c r="AU441" i="3"/>
  <c r="AU442" i="3"/>
  <c r="AU443" i="3"/>
  <c r="AU444" i="3"/>
  <c r="AU445" i="3"/>
  <c r="AU446" i="3"/>
  <c r="AU447" i="3"/>
  <c r="AU448" i="3"/>
  <c r="AU449" i="3"/>
  <c r="AU450" i="3"/>
  <c r="AU451" i="3"/>
  <c r="AU452" i="3"/>
  <c r="AU453" i="3"/>
  <c r="AU454" i="3"/>
  <c r="AU455" i="3"/>
  <c r="AU456" i="3"/>
  <c r="AU457" i="3"/>
  <c r="AU458" i="3"/>
  <c r="AU459" i="3"/>
  <c r="AU460" i="3"/>
  <c r="AU461" i="3"/>
  <c r="AU462" i="3"/>
  <c r="AU463" i="3"/>
  <c r="AU464" i="3"/>
  <c r="AU465" i="3"/>
  <c r="AU466" i="3"/>
  <c r="AU467" i="3"/>
  <c r="AU468" i="3"/>
  <c r="AU469" i="3"/>
  <c r="AU470" i="3"/>
  <c r="AU471" i="3"/>
  <c r="AU472" i="3"/>
  <c r="AU473" i="3"/>
  <c r="AU474" i="3"/>
  <c r="AU475" i="3"/>
  <c r="AU476" i="3"/>
  <c r="AU477" i="3"/>
  <c r="AU478" i="3"/>
  <c r="AU479" i="3"/>
  <c r="AU480" i="3"/>
  <c r="AU481" i="3"/>
  <c r="AU482" i="3"/>
  <c r="AU483" i="3"/>
  <c r="AU484" i="3"/>
  <c r="AU485" i="3"/>
  <c r="AU486" i="3"/>
  <c r="AU487" i="3"/>
  <c r="AU488" i="3"/>
  <c r="AU489" i="3"/>
  <c r="AU490" i="3"/>
  <c r="AU491" i="3"/>
  <c r="AU492" i="3"/>
  <c r="AU493" i="3"/>
  <c r="AU494" i="3"/>
  <c r="AU495" i="3"/>
  <c r="AU496" i="3"/>
  <c r="AU497" i="3"/>
  <c r="AU498" i="3"/>
  <c r="AU499" i="3"/>
  <c r="AU500" i="3"/>
  <c r="AU501" i="3"/>
  <c r="AU502" i="3"/>
  <c r="AU503" i="3"/>
  <c r="AU504" i="3"/>
  <c r="AU505" i="3"/>
  <c r="AU506" i="3"/>
  <c r="AU507" i="3"/>
  <c r="AU508" i="3"/>
  <c r="AU509" i="3"/>
  <c r="AU510" i="3"/>
  <c r="AU511" i="3"/>
  <c r="AU512" i="3"/>
  <c r="AU513" i="3"/>
  <c r="AU514" i="3"/>
  <c r="AU515" i="3"/>
  <c r="AU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AP107" i="3"/>
  <c r="AP108" i="3"/>
  <c r="AP109" i="3"/>
  <c r="AP110" i="3"/>
  <c r="AP111" i="3"/>
  <c r="AP112" i="3"/>
  <c r="AP113" i="3"/>
  <c r="AP114" i="3"/>
  <c r="AP115" i="3"/>
  <c r="AP116" i="3"/>
  <c r="AP117" i="3"/>
  <c r="AP118" i="3"/>
  <c r="AP119" i="3"/>
  <c r="AP120" i="3"/>
  <c r="AP121" i="3"/>
  <c r="AP122" i="3"/>
  <c r="AP123"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P222" i="3"/>
  <c r="AP223" i="3"/>
  <c r="AP224" i="3"/>
  <c r="AP225" i="3"/>
  <c r="AP226" i="3"/>
  <c r="AP227" i="3"/>
  <c r="AP228" i="3"/>
  <c r="AP229" i="3"/>
  <c r="AP230" i="3"/>
  <c r="AP231" i="3"/>
  <c r="AP232" i="3"/>
  <c r="AP233" i="3"/>
  <c r="AP234" i="3"/>
  <c r="AP235" i="3"/>
  <c r="AP236" i="3"/>
  <c r="AP237" i="3"/>
  <c r="AP238" i="3"/>
  <c r="AP239" i="3"/>
  <c r="AP240" i="3"/>
  <c r="AP241" i="3"/>
  <c r="AP242" i="3"/>
  <c r="AP243" i="3"/>
  <c r="AP244" i="3"/>
  <c r="AP245" i="3"/>
  <c r="AP246" i="3"/>
  <c r="AP247" i="3"/>
  <c r="AP248" i="3"/>
  <c r="AP249" i="3"/>
  <c r="AP250" i="3"/>
  <c r="AP251" i="3"/>
  <c r="AP252" i="3"/>
  <c r="AP253" i="3"/>
  <c r="AP254" i="3"/>
  <c r="AP255" i="3"/>
  <c r="AP256" i="3"/>
  <c r="AP257" i="3"/>
  <c r="AP258" i="3"/>
  <c r="AP259" i="3"/>
  <c r="AP260" i="3"/>
  <c r="AP261" i="3"/>
  <c r="AP262" i="3"/>
  <c r="AP263" i="3"/>
  <c r="AP264" i="3"/>
  <c r="AP265" i="3"/>
  <c r="AP266" i="3"/>
  <c r="AP267" i="3"/>
  <c r="AP268" i="3"/>
  <c r="AP269" i="3"/>
  <c r="AP270" i="3"/>
  <c r="AP271" i="3"/>
  <c r="AP272" i="3"/>
  <c r="AP273" i="3"/>
  <c r="AP274" i="3"/>
  <c r="AP275" i="3"/>
  <c r="AP276" i="3"/>
  <c r="AP277" i="3"/>
  <c r="AP278" i="3"/>
  <c r="AP279" i="3"/>
  <c r="AP280" i="3"/>
  <c r="AP281" i="3"/>
  <c r="AP282" i="3"/>
  <c r="AP283" i="3"/>
  <c r="AP284" i="3"/>
  <c r="AP285" i="3"/>
  <c r="AP286" i="3"/>
  <c r="AP287" i="3"/>
  <c r="AP288" i="3"/>
  <c r="AP289" i="3"/>
  <c r="AP290" i="3"/>
  <c r="AP291" i="3"/>
  <c r="AP292" i="3"/>
  <c r="AP293" i="3"/>
  <c r="AP294" i="3"/>
  <c r="AP295" i="3"/>
  <c r="AP296" i="3"/>
  <c r="AP297" i="3"/>
  <c r="AP298" i="3"/>
  <c r="AP299" i="3"/>
  <c r="AP300" i="3"/>
  <c r="AP301" i="3"/>
  <c r="AP302" i="3"/>
  <c r="AP303" i="3"/>
  <c r="AP304" i="3"/>
  <c r="AP305" i="3"/>
  <c r="AP306" i="3"/>
  <c r="AP307" i="3"/>
  <c r="AP308" i="3"/>
  <c r="AP309" i="3"/>
  <c r="AP310" i="3"/>
  <c r="AP311" i="3"/>
  <c r="AP312" i="3"/>
  <c r="AP313" i="3"/>
  <c r="AP314" i="3"/>
  <c r="AP315" i="3"/>
  <c r="AP316" i="3"/>
  <c r="AP317" i="3"/>
  <c r="AP318" i="3"/>
  <c r="AP319" i="3"/>
  <c r="AP320" i="3"/>
  <c r="AP321" i="3"/>
  <c r="AP322" i="3"/>
  <c r="AP323" i="3"/>
  <c r="AP324" i="3"/>
  <c r="AP325" i="3"/>
  <c r="AP326" i="3"/>
  <c r="AP327" i="3"/>
  <c r="AP328" i="3"/>
  <c r="AP329" i="3"/>
  <c r="AP330" i="3"/>
  <c r="AP331" i="3"/>
  <c r="AP332" i="3"/>
  <c r="AP333" i="3"/>
  <c r="AP334" i="3"/>
  <c r="AP335" i="3"/>
  <c r="AP336" i="3"/>
  <c r="AP337" i="3"/>
  <c r="AP338" i="3"/>
  <c r="AP339" i="3"/>
  <c r="AP340" i="3"/>
  <c r="AP341" i="3"/>
  <c r="AP342" i="3"/>
  <c r="AP343" i="3"/>
  <c r="AP344" i="3"/>
  <c r="AP345" i="3"/>
  <c r="AP346" i="3"/>
  <c r="AP347" i="3"/>
  <c r="AP348" i="3"/>
  <c r="AP349" i="3"/>
  <c r="AP350" i="3"/>
  <c r="AP351" i="3"/>
  <c r="AP352" i="3"/>
  <c r="AP353" i="3"/>
  <c r="AP354" i="3"/>
  <c r="AP355" i="3"/>
  <c r="AP356" i="3"/>
  <c r="AP357" i="3"/>
  <c r="AP358" i="3"/>
  <c r="AP359" i="3"/>
  <c r="AP360" i="3"/>
  <c r="AP361" i="3"/>
  <c r="AP362" i="3"/>
  <c r="AP363" i="3"/>
  <c r="AP364" i="3"/>
  <c r="AP365" i="3"/>
  <c r="AP366" i="3"/>
  <c r="AP367" i="3"/>
  <c r="AP368" i="3"/>
  <c r="AP369" i="3"/>
  <c r="AP370" i="3"/>
  <c r="AP371" i="3"/>
  <c r="AP372" i="3"/>
  <c r="AP373" i="3"/>
  <c r="AP374" i="3"/>
  <c r="AP375" i="3"/>
  <c r="AP376" i="3"/>
  <c r="AP377" i="3"/>
  <c r="AP378" i="3"/>
  <c r="AP379" i="3"/>
  <c r="AP380" i="3"/>
  <c r="AP381" i="3"/>
  <c r="AP382" i="3"/>
  <c r="AP383" i="3"/>
  <c r="AP384" i="3"/>
  <c r="AP385" i="3"/>
  <c r="AP386" i="3"/>
  <c r="AP387" i="3"/>
  <c r="AP388" i="3"/>
  <c r="AP389" i="3"/>
  <c r="AP390" i="3"/>
  <c r="AP391" i="3"/>
  <c r="AP392" i="3"/>
  <c r="AP393" i="3"/>
  <c r="AP394" i="3"/>
  <c r="AP395" i="3"/>
  <c r="AP396" i="3"/>
  <c r="AP397" i="3"/>
  <c r="AP398" i="3"/>
  <c r="AP399" i="3"/>
  <c r="AP400" i="3"/>
  <c r="AP401" i="3"/>
  <c r="AP402" i="3"/>
  <c r="AP403" i="3"/>
  <c r="AP404" i="3"/>
  <c r="AP405" i="3"/>
  <c r="AP406" i="3"/>
  <c r="AP407" i="3"/>
  <c r="AP408" i="3"/>
  <c r="AP409" i="3"/>
  <c r="AP410" i="3"/>
  <c r="AP411" i="3"/>
  <c r="AP412" i="3"/>
  <c r="AP413" i="3"/>
  <c r="AP414" i="3"/>
  <c r="AP415" i="3"/>
  <c r="AP416" i="3"/>
  <c r="AP417" i="3"/>
  <c r="AP418" i="3"/>
  <c r="AP419" i="3"/>
  <c r="AP420" i="3"/>
  <c r="AP421" i="3"/>
  <c r="AP422" i="3"/>
  <c r="AP423" i="3"/>
  <c r="AP424" i="3"/>
  <c r="AP425" i="3"/>
  <c r="AP426" i="3"/>
  <c r="AP427" i="3"/>
  <c r="AP428" i="3"/>
  <c r="AP429" i="3"/>
  <c r="AP430" i="3"/>
  <c r="AP431" i="3"/>
  <c r="AP432" i="3"/>
  <c r="AP433" i="3"/>
  <c r="AP434" i="3"/>
  <c r="AP435" i="3"/>
  <c r="AP436" i="3"/>
  <c r="AP437" i="3"/>
  <c r="AP438" i="3"/>
  <c r="AP439" i="3"/>
  <c r="AP440" i="3"/>
  <c r="AP441" i="3"/>
  <c r="AP442" i="3"/>
  <c r="AP443" i="3"/>
  <c r="AP444" i="3"/>
  <c r="AP445" i="3"/>
  <c r="AP446" i="3"/>
  <c r="AP447" i="3"/>
  <c r="AP448" i="3"/>
  <c r="AP449" i="3"/>
  <c r="AP450" i="3"/>
  <c r="AP451" i="3"/>
  <c r="AP452" i="3"/>
  <c r="AP453" i="3"/>
  <c r="AP454" i="3"/>
  <c r="AP455" i="3"/>
  <c r="AP456" i="3"/>
  <c r="AP457" i="3"/>
  <c r="AP458" i="3"/>
  <c r="AP459" i="3"/>
  <c r="AP460" i="3"/>
  <c r="AP461" i="3"/>
  <c r="AP462" i="3"/>
  <c r="AP463" i="3"/>
  <c r="AP464" i="3"/>
  <c r="AP465" i="3"/>
  <c r="AP466" i="3"/>
  <c r="AP467" i="3"/>
  <c r="AP468" i="3"/>
  <c r="AP469" i="3"/>
  <c r="AP470" i="3"/>
  <c r="AP471" i="3"/>
  <c r="AP472" i="3"/>
  <c r="AP473" i="3"/>
  <c r="AP474" i="3"/>
  <c r="AP475" i="3"/>
  <c r="AP476" i="3"/>
  <c r="AP477" i="3"/>
  <c r="AP478" i="3"/>
  <c r="AP479" i="3"/>
  <c r="AP480" i="3"/>
  <c r="AP481" i="3"/>
  <c r="AP482" i="3"/>
  <c r="AP483" i="3"/>
  <c r="AP484" i="3"/>
  <c r="AP485" i="3"/>
  <c r="AP486" i="3"/>
  <c r="AP487" i="3"/>
  <c r="AP488" i="3"/>
  <c r="AP489" i="3"/>
  <c r="AP490" i="3"/>
  <c r="AP491" i="3"/>
  <c r="AP492" i="3"/>
  <c r="AP493" i="3"/>
  <c r="AP494" i="3"/>
  <c r="AP495" i="3"/>
  <c r="AP496" i="3"/>
  <c r="AP497" i="3"/>
  <c r="AP498" i="3"/>
  <c r="AP499" i="3"/>
  <c r="AP500" i="3"/>
  <c r="AP501" i="3"/>
  <c r="AP502" i="3"/>
  <c r="AP503" i="3"/>
  <c r="AP504" i="3"/>
  <c r="AP505" i="3"/>
  <c r="AP506" i="3"/>
  <c r="AP507" i="3"/>
  <c r="AP508" i="3"/>
  <c r="AP509" i="3"/>
  <c r="AP510" i="3"/>
  <c r="AP511" i="3"/>
  <c r="AP512" i="3"/>
  <c r="AP513" i="3"/>
  <c r="AP514" i="3"/>
  <c r="AP515" i="3"/>
  <c r="AP16" i="3"/>
  <c r="H166" i="7" l="1"/>
  <c r="J117" i="7"/>
  <c r="J118" i="7"/>
  <c r="J119" i="7"/>
  <c r="J115" i="7"/>
  <c r="J116" i="7"/>
  <c r="K67" i="14"/>
  <c r="A16" i="22" s="1"/>
  <c r="J114" i="7"/>
  <c r="J109" i="7"/>
  <c r="I109" i="23"/>
  <c r="J110" i="7"/>
  <c r="I110" i="23"/>
  <c r="J112" i="7"/>
  <c r="J113" i="7"/>
  <c r="J122" i="7"/>
  <c r="J121" i="7"/>
  <c r="J111" i="7"/>
  <c r="I111" i="23"/>
  <c r="J120" i="7"/>
  <c r="J53" i="7"/>
  <c r="I53" i="23"/>
  <c r="B13" i="20"/>
  <c r="B57" i="20"/>
  <c r="B46" i="20"/>
  <c r="B30" i="20"/>
  <c r="B31" i="20"/>
  <c r="B58" i="20"/>
  <c r="AU516" i="3"/>
  <c r="I95" i="7" l="1"/>
  <c r="J95" i="7" s="1"/>
  <c r="J40" i="14"/>
  <c r="AG17" i="1" l="1"/>
  <c r="M40" i="1"/>
  <c r="N40" i="1" s="1"/>
  <c r="M41" i="1"/>
  <c r="N41" i="1" s="1"/>
  <c r="M42" i="1"/>
  <c r="N42" i="1" s="1"/>
  <c r="M43" i="1"/>
  <c r="N43" i="1" s="1"/>
  <c r="M44" i="1"/>
  <c r="N44" i="1" s="1"/>
  <c r="N523" i="3" l="1"/>
  <c r="N523" i="2"/>
  <c r="A3" i="22"/>
  <c r="A2" i="22"/>
  <c r="A1" i="22"/>
  <c r="W3" i="20"/>
  <c r="V3" i="20"/>
  <c r="B1" i="20"/>
  <c r="E102" i="19"/>
  <c r="E98" i="19"/>
  <c r="E84" i="19"/>
  <c r="E80" i="19"/>
  <c r="E66" i="19"/>
  <c r="E62" i="19"/>
  <c r="E48" i="19"/>
  <c r="E44" i="19"/>
  <c r="V39" i="19"/>
  <c r="C98" i="19" s="1"/>
  <c r="F55" i="19"/>
  <c r="V37" i="19"/>
  <c r="V36" i="19"/>
  <c r="V35" i="19"/>
  <c r="V34" i="19"/>
  <c r="S34" i="19"/>
  <c r="V33" i="19"/>
  <c r="S33" i="19"/>
  <c r="V31" i="19"/>
  <c r="V30" i="19"/>
  <c r="S30" i="19"/>
  <c r="V29" i="19"/>
  <c r="V28" i="19"/>
  <c r="V27" i="19"/>
  <c r="V26" i="19"/>
  <c r="E26" i="19"/>
  <c r="D98" i="19"/>
  <c r="J146" i="16"/>
  <c r="I146" i="16"/>
  <c r="L52" i="15" s="1"/>
  <c r="M52" i="15" s="1"/>
  <c r="J135" i="16"/>
  <c r="I135" i="16"/>
  <c r="L51" i="15" s="1"/>
  <c r="M51" i="15" s="1"/>
  <c r="J124" i="16"/>
  <c r="I124" i="16"/>
  <c r="L50" i="15" s="1"/>
  <c r="M50" i="15" s="1"/>
  <c r="J105" i="16"/>
  <c r="I105" i="16"/>
  <c r="L49" i="15" s="1"/>
  <c r="M49" i="15" s="1"/>
  <c r="J94" i="16"/>
  <c r="I94" i="16"/>
  <c r="L48" i="15" s="1"/>
  <c r="M48" i="15" s="1"/>
  <c r="J83" i="16"/>
  <c r="I83" i="16"/>
  <c r="J72" i="16"/>
  <c r="I72" i="16"/>
  <c r="L46" i="15" s="1"/>
  <c r="M46" i="15" s="1"/>
  <c r="J61" i="16"/>
  <c r="I61" i="16"/>
  <c r="L45" i="15" s="1"/>
  <c r="M45" i="15" s="1"/>
  <c r="J50" i="16"/>
  <c r="I50" i="16"/>
  <c r="L44" i="15" s="1"/>
  <c r="M44" i="15" s="1"/>
  <c r="J39" i="16"/>
  <c r="I39" i="16"/>
  <c r="J28" i="16"/>
  <c r="I28" i="16"/>
  <c r="J17" i="16"/>
  <c r="I17" i="16"/>
  <c r="L41" i="15" s="1"/>
  <c r="M41" i="15" s="1"/>
  <c r="L98" i="15"/>
  <c r="J98" i="15"/>
  <c r="E98" i="15"/>
  <c r="J97" i="15"/>
  <c r="E97" i="15"/>
  <c r="L87" i="15"/>
  <c r="L86" i="15"/>
  <c r="L85" i="15"/>
  <c r="E52" i="15"/>
  <c r="E51" i="15"/>
  <c r="E50" i="15"/>
  <c r="E49" i="15"/>
  <c r="E48" i="15"/>
  <c r="L47" i="15"/>
  <c r="M47" i="15" s="1"/>
  <c r="E47" i="15"/>
  <c r="E46" i="15"/>
  <c r="E45" i="15"/>
  <c r="E44" i="15"/>
  <c r="L43" i="15"/>
  <c r="M43" i="15" s="1"/>
  <c r="E43" i="15"/>
  <c r="L42" i="15"/>
  <c r="M42" i="15" s="1"/>
  <c r="E42" i="15"/>
  <c r="E41" i="15"/>
  <c r="E118" i="14"/>
  <c r="E113" i="14"/>
  <c r="D113" i="14"/>
  <c r="E112" i="14"/>
  <c r="D112" i="14"/>
  <c r="E111" i="14"/>
  <c r="D111" i="14"/>
  <c r="E110" i="14"/>
  <c r="D110" i="14"/>
  <c r="E109" i="14"/>
  <c r="D109" i="14"/>
  <c r="E108" i="14"/>
  <c r="D108" i="14"/>
  <c r="E107" i="14"/>
  <c r="D107" i="14"/>
  <c r="E106" i="14"/>
  <c r="D106" i="14"/>
  <c r="C106" i="14"/>
  <c r="E48" i="14"/>
  <c r="D48" i="14"/>
  <c r="E47" i="14"/>
  <c r="D47" i="14"/>
  <c r="E46" i="14"/>
  <c r="D46" i="14"/>
  <c r="E45" i="14"/>
  <c r="D45" i="14"/>
  <c r="E44" i="14"/>
  <c r="D44" i="14"/>
  <c r="E43" i="14"/>
  <c r="D43" i="14"/>
  <c r="E42" i="14"/>
  <c r="D42" i="14"/>
  <c r="E41" i="14"/>
  <c r="D41" i="14"/>
  <c r="C39" i="14"/>
  <c r="E39" i="14"/>
  <c r="D39" i="14"/>
  <c r="E35" i="14"/>
  <c r="E27" i="14"/>
  <c r="D27" i="14"/>
  <c r="E26" i="14"/>
  <c r="D26" i="14"/>
  <c r="E25" i="14"/>
  <c r="D25" i="14"/>
  <c r="E24" i="14"/>
  <c r="D24" i="14"/>
  <c r="E23" i="14"/>
  <c r="D23" i="14"/>
  <c r="E22" i="14"/>
  <c r="D22" i="14"/>
  <c r="E21" i="14"/>
  <c r="D21" i="14"/>
  <c r="E20" i="14"/>
  <c r="D20" i="14"/>
  <c r="E19" i="14"/>
  <c r="D19" i="14"/>
  <c r="E18" i="14"/>
  <c r="D18" i="14"/>
  <c r="E17" i="14"/>
  <c r="D17" i="14"/>
  <c r="E16" i="14"/>
  <c r="D16" i="14"/>
  <c r="E15" i="14"/>
  <c r="D15" i="14"/>
  <c r="E14" i="14"/>
  <c r="D14" i="14"/>
  <c r="E13" i="14"/>
  <c r="D13" i="14"/>
  <c r="E12" i="14"/>
  <c r="D12" i="14"/>
  <c r="E11" i="14"/>
  <c r="D11" i="14"/>
  <c r="E10" i="14"/>
  <c r="D10" i="14"/>
  <c r="C10" i="14"/>
  <c r="E65" i="13"/>
  <c r="D65" i="13"/>
  <c r="E64" i="13"/>
  <c r="D64" i="13"/>
  <c r="E63" i="13"/>
  <c r="D63" i="13"/>
  <c r="E62" i="13"/>
  <c r="D62" i="13"/>
  <c r="E61" i="13"/>
  <c r="D61" i="13"/>
  <c r="E60" i="13"/>
  <c r="D60" i="13"/>
  <c r="E58" i="13"/>
  <c r="D58" i="13"/>
  <c r="E57" i="13"/>
  <c r="D57" i="13"/>
  <c r="E56" i="13"/>
  <c r="D56" i="13"/>
  <c r="C56" i="13"/>
  <c r="E52" i="13"/>
  <c r="D52" i="13"/>
  <c r="E51" i="13"/>
  <c r="D51" i="13"/>
  <c r="E50" i="13"/>
  <c r="D50" i="13"/>
  <c r="E49" i="13"/>
  <c r="D49" i="13"/>
  <c r="E48" i="13"/>
  <c r="D48" i="13"/>
  <c r="E47" i="13"/>
  <c r="D47" i="13"/>
  <c r="E46" i="13"/>
  <c r="D46" i="13"/>
  <c r="E45" i="13"/>
  <c r="D45" i="13"/>
  <c r="E44" i="13"/>
  <c r="D44" i="13"/>
  <c r="C44" i="13"/>
  <c r="E40" i="13"/>
  <c r="D40" i="13"/>
  <c r="E39" i="13"/>
  <c r="D39" i="13"/>
  <c r="E38" i="13"/>
  <c r="D38" i="13"/>
  <c r="E37" i="13"/>
  <c r="D37" i="13"/>
  <c r="E36" i="13"/>
  <c r="D36" i="13"/>
  <c r="E35" i="13"/>
  <c r="D35" i="13"/>
  <c r="E34" i="13"/>
  <c r="D34" i="13"/>
  <c r="E33" i="13"/>
  <c r="D33" i="13"/>
  <c r="E32" i="13"/>
  <c r="D32" i="13"/>
  <c r="C32" i="13"/>
  <c r="E28" i="13"/>
  <c r="D28" i="13"/>
  <c r="E27" i="13"/>
  <c r="D27" i="13"/>
  <c r="E26" i="13"/>
  <c r="D26" i="13"/>
  <c r="E25" i="13"/>
  <c r="D25" i="13"/>
  <c r="E24" i="13"/>
  <c r="D24" i="13"/>
  <c r="E23" i="13"/>
  <c r="D23" i="13"/>
  <c r="E22" i="13"/>
  <c r="D22" i="13"/>
  <c r="E21" i="13"/>
  <c r="D21" i="13"/>
  <c r="E20" i="13"/>
  <c r="D20" i="13"/>
  <c r="C20" i="13"/>
  <c r="E16" i="13"/>
  <c r="D16" i="13"/>
  <c r="E15" i="13"/>
  <c r="D15" i="13"/>
  <c r="E14" i="13"/>
  <c r="D14" i="13"/>
  <c r="E13" i="13"/>
  <c r="D13" i="13"/>
  <c r="E12" i="13"/>
  <c r="D12" i="13"/>
  <c r="E11" i="13"/>
  <c r="D11" i="13"/>
  <c r="E10" i="13"/>
  <c r="D10" i="13"/>
  <c r="E9" i="13"/>
  <c r="D9" i="13"/>
  <c r="E8" i="13"/>
  <c r="D8" i="13"/>
  <c r="C8" i="13"/>
  <c r="J29" i="12"/>
  <c r="G29" i="12"/>
  <c r="V28" i="12"/>
  <c r="U28" i="12"/>
  <c r="T28" i="12"/>
  <c r="S28" i="12"/>
  <c r="R28" i="12"/>
  <c r="Q28" i="12"/>
  <c r="P28" i="12"/>
  <c r="O28" i="12"/>
  <c r="J28" i="12"/>
  <c r="G28" i="12"/>
  <c r="H24" i="12"/>
  <c r="D16" i="12"/>
  <c r="D15" i="12"/>
  <c r="D14" i="12"/>
  <c r="D13" i="12"/>
  <c r="E12" i="12"/>
  <c r="F40" i="12"/>
  <c r="D11" i="12"/>
  <c r="D40" i="12" s="1"/>
  <c r="C164" i="7"/>
  <c r="E163" i="7"/>
  <c r="C163" i="7"/>
  <c r="E162" i="7"/>
  <c r="C162" i="7"/>
  <c r="E161" i="7"/>
  <c r="C161" i="7"/>
  <c r="E160" i="7"/>
  <c r="C160" i="7"/>
  <c r="C159" i="7"/>
  <c r="C158" i="7"/>
  <c r="C157" i="7"/>
  <c r="E156" i="7"/>
  <c r="C156" i="7"/>
  <c r="E155" i="7"/>
  <c r="C155" i="7"/>
  <c r="E154" i="7"/>
  <c r="C154" i="7"/>
  <c r="E153" i="7"/>
  <c r="C153" i="7"/>
  <c r="E152" i="7"/>
  <c r="C152" i="7"/>
  <c r="E151" i="7"/>
  <c r="C151" i="7"/>
  <c r="E150" i="7"/>
  <c r="C150" i="7"/>
  <c r="E149" i="7"/>
  <c r="C149" i="7"/>
  <c r="E148" i="7"/>
  <c r="C148" i="7"/>
  <c r="E147" i="7"/>
  <c r="C147" i="7"/>
  <c r="E146" i="7"/>
  <c r="C146" i="7"/>
  <c r="E145" i="7"/>
  <c r="C145" i="7"/>
  <c r="E144" i="7"/>
  <c r="C144" i="7"/>
  <c r="E143" i="7"/>
  <c r="C143" i="7"/>
  <c r="E142" i="7"/>
  <c r="C142" i="7"/>
  <c r="E141" i="7"/>
  <c r="C141" i="7"/>
  <c r="E140" i="7"/>
  <c r="C140" i="7"/>
  <c r="E139" i="7"/>
  <c r="C139" i="7"/>
  <c r="C107" i="7"/>
  <c r="C106" i="7"/>
  <c r="C105" i="7"/>
  <c r="C104" i="7"/>
  <c r="C103" i="7"/>
  <c r="C102" i="7"/>
  <c r="C101" i="7"/>
  <c r="C100" i="7"/>
  <c r="E99" i="7"/>
  <c r="E94" i="7"/>
  <c r="D94" i="7"/>
  <c r="E93" i="7"/>
  <c r="D93" i="7"/>
  <c r="E92" i="7"/>
  <c r="D92" i="7"/>
  <c r="E91" i="7"/>
  <c r="D91" i="7"/>
  <c r="E89" i="7"/>
  <c r="E80" i="7"/>
  <c r="C80" i="7"/>
  <c r="C79" i="7"/>
  <c r="C78" i="7"/>
  <c r="C77" i="7"/>
  <c r="C76" i="7"/>
  <c r="C75" i="7"/>
  <c r="C74" i="7"/>
  <c r="C73" i="7"/>
  <c r="C72" i="7"/>
  <c r="C71" i="7"/>
  <c r="C70" i="7"/>
  <c r="C69" i="7"/>
  <c r="C68" i="7"/>
  <c r="C67" i="7"/>
  <c r="C66" i="7"/>
  <c r="C65" i="7"/>
  <c r="C64" i="7"/>
  <c r="E59" i="7"/>
  <c r="C59" i="7"/>
  <c r="E58" i="7"/>
  <c r="C58" i="7"/>
  <c r="C57" i="7"/>
  <c r="C56" i="7"/>
  <c r="C55" i="7"/>
  <c r="C54" i="7"/>
  <c r="C52" i="7"/>
  <c r="C51" i="7"/>
  <c r="C50" i="7"/>
  <c r="E49" i="7"/>
  <c r="C49" i="7"/>
  <c r="E48" i="7"/>
  <c r="C48" i="7"/>
  <c r="E47" i="7"/>
  <c r="C47" i="7"/>
  <c r="E46" i="7"/>
  <c r="C46" i="7"/>
  <c r="C45" i="7"/>
  <c r="C44" i="7"/>
  <c r="C43" i="7"/>
  <c r="C42"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C20" i="7"/>
  <c r="C19" i="7"/>
  <c r="C18" i="7"/>
  <c r="C17" i="7"/>
  <c r="E16" i="7"/>
  <c r="D16" i="7"/>
  <c r="E15" i="7"/>
  <c r="D15" i="7"/>
  <c r="E14" i="7"/>
  <c r="D14" i="7"/>
  <c r="E13" i="7"/>
  <c r="D13" i="7"/>
  <c r="H12" i="7"/>
  <c r="C12" i="7"/>
  <c r="C11" i="7"/>
  <c r="C10" i="7"/>
  <c r="G23" i="5"/>
  <c r="F22" i="5"/>
  <c r="C41" i="5" s="1"/>
  <c r="N15" i="5"/>
  <c r="G10" i="5"/>
  <c r="L8" i="15" s="1"/>
  <c r="F9" i="5"/>
  <c r="C15" i="5" s="1"/>
  <c r="C5" i="5"/>
  <c r="N1012" i="4"/>
  <c r="M1012" i="4"/>
  <c r="L1012" i="4"/>
  <c r="H1012" i="4"/>
  <c r="I1012" i="4" s="1"/>
  <c r="J1012" i="4" s="1"/>
  <c r="G1012" i="4"/>
  <c r="E1012" i="4"/>
  <c r="D1012" i="4"/>
  <c r="C1012" i="4"/>
  <c r="B1012" i="4"/>
  <c r="N1011" i="4"/>
  <c r="M1011" i="4"/>
  <c r="L1011" i="4"/>
  <c r="H1011" i="4"/>
  <c r="I1011" i="4" s="1"/>
  <c r="J1011" i="4" s="1"/>
  <c r="G1011" i="4"/>
  <c r="E1011" i="4"/>
  <c r="D1011" i="4"/>
  <c r="C1011" i="4"/>
  <c r="B1011" i="4"/>
  <c r="N1010" i="4"/>
  <c r="M1010" i="4"/>
  <c r="L1010" i="4"/>
  <c r="H1010" i="4"/>
  <c r="I1010" i="4" s="1"/>
  <c r="J1010" i="4" s="1"/>
  <c r="G1010" i="4"/>
  <c r="E1010" i="4"/>
  <c r="D1010" i="4"/>
  <c r="C1010" i="4"/>
  <c r="B1010" i="4"/>
  <c r="N1009" i="4"/>
  <c r="M1009" i="4"/>
  <c r="L1009" i="4"/>
  <c r="H1009" i="4"/>
  <c r="I1009" i="4" s="1"/>
  <c r="J1009" i="4" s="1"/>
  <c r="G1009" i="4"/>
  <c r="E1009" i="4"/>
  <c r="D1009" i="4"/>
  <c r="C1009" i="4"/>
  <c r="B1009" i="4"/>
  <c r="N1008" i="4"/>
  <c r="M1008" i="4"/>
  <c r="L1008" i="4"/>
  <c r="H1008" i="4"/>
  <c r="I1008" i="4" s="1"/>
  <c r="J1008" i="4" s="1"/>
  <c r="G1008" i="4"/>
  <c r="E1008" i="4"/>
  <c r="D1008" i="4"/>
  <c r="C1008" i="4"/>
  <c r="B1008" i="4"/>
  <c r="N1007" i="4"/>
  <c r="M1007" i="4"/>
  <c r="L1007" i="4"/>
  <c r="H1007" i="4"/>
  <c r="I1007" i="4" s="1"/>
  <c r="J1007" i="4" s="1"/>
  <c r="G1007" i="4"/>
  <c r="E1007" i="4"/>
  <c r="D1007" i="4"/>
  <c r="C1007" i="4"/>
  <c r="B1007" i="4"/>
  <c r="N1006" i="4"/>
  <c r="M1006" i="4"/>
  <c r="L1006" i="4"/>
  <c r="H1006" i="4"/>
  <c r="I1006" i="4" s="1"/>
  <c r="J1006" i="4" s="1"/>
  <c r="G1006" i="4"/>
  <c r="E1006" i="4"/>
  <c r="D1006" i="4"/>
  <c r="C1006" i="4"/>
  <c r="B1006" i="4"/>
  <c r="N1005" i="4"/>
  <c r="M1005" i="4"/>
  <c r="L1005" i="4"/>
  <c r="H1005" i="4"/>
  <c r="I1005" i="4" s="1"/>
  <c r="J1005" i="4" s="1"/>
  <c r="G1005" i="4"/>
  <c r="E1005" i="4"/>
  <c r="D1005" i="4"/>
  <c r="C1005" i="4"/>
  <c r="B1005" i="4"/>
  <c r="N1004" i="4"/>
  <c r="M1004" i="4"/>
  <c r="L1004" i="4"/>
  <c r="H1004" i="4"/>
  <c r="I1004" i="4" s="1"/>
  <c r="J1004" i="4" s="1"/>
  <c r="G1004" i="4"/>
  <c r="E1004" i="4"/>
  <c r="D1004" i="4"/>
  <c r="C1004" i="4"/>
  <c r="B1004" i="4"/>
  <c r="N1003" i="4"/>
  <c r="M1003" i="4"/>
  <c r="L1003" i="4"/>
  <c r="H1003" i="4"/>
  <c r="I1003" i="4" s="1"/>
  <c r="J1003" i="4" s="1"/>
  <c r="G1003" i="4"/>
  <c r="E1003" i="4"/>
  <c r="D1003" i="4"/>
  <c r="C1003" i="4"/>
  <c r="B1003" i="4"/>
  <c r="N1002" i="4"/>
  <c r="M1002" i="4"/>
  <c r="L1002" i="4"/>
  <c r="H1002" i="4"/>
  <c r="I1002" i="4" s="1"/>
  <c r="J1002" i="4" s="1"/>
  <c r="G1002" i="4"/>
  <c r="E1002" i="4"/>
  <c r="D1002" i="4"/>
  <c r="C1002" i="4"/>
  <c r="B1002" i="4"/>
  <c r="N1001" i="4"/>
  <c r="M1001" i="4"/>
  <c r="L1001" i="4"/>
  <c r="H1001" i="4"/>
  <c r="I1001" i="4" s="1"/>
  <c r="J1001" i="4" s="1"/>
  <c r="G1001" i="4"/>
  <c r="E1001" i="4"/>
  <c r="D1001" i="4"/>
  <c r="C1001" i="4"/>
  <c r="B1001" i="4"/>
  <c r="N1000" i="4"/>
  <c r="M1000" i="4"/>
  <c r="L1000" i="4"/>
  <c r="H1000" i="4"/>
  <c r="I1000" i="4" s="1"/>
  <c r="J1000" i="4" s="1"/>
  <c r="G1000" i="4"/>
  <c r="E1000" i="4"/>
  <c r="D1000" i="4"/>
  <c r="C1000" i="4"/>
  <c r="B1000" i="4"/>
  <c r="N999" i="4"/>
  <c r="M999" i="4"/>
  <c r="L999" i="4"/>
  <c r="H999" i="4"/>
  <c r="I999" i="4" s="1"/>
  <c r="J999" i="4" s="1"/>
  <c r="G999" i="4"/>
  <c r="E999" i="4"/>
  <c r="D999" i="4"/>
  <c r="C999" i="4"/>
  <c r="B999" i="4"/>
  <c r="N998" i="4"/>
  <c r="M998" i="4"/>
  <c r="L998" i="4"/>
  <c r="H998" i="4"/>
  <c r="I998" i="4" s="1"/>
  <c r="J998" i="4" s="1"/>
  <c r="G998" i="4"/>
  <c r="E998" i="4"/>
  <c r="D998" i="4"/>
  <c r="C998" i="4"/>
  <c r="B998" i="4"/>
  <c r="N997" i="4"/>
  <c r="M997" i="4"/>
  <c r="L997" i="4"/>
  <c r="H997" i="4"/>
  <c r="I997" i="4" s="1"/>
  <c r="J997" i="4" s="1"/>
  <c r="G997" i="4"/>
  <c r="E997" i="4"/>
  <c r="D997" i="4"/>
  <c r="C997" i="4"/>
  <c r="B997" i="4"/>
  <c r="N996" i="4"/>
  <c r="M996" i="4"/>
  <c r="L996" i="4"/>
  <c r="H996" i="4"/>
  <c r="I996" i="4" s="1"/>
  <c r="J996" i="4" s="1"/>
  <c r="G996" i="4"/>
  <c r="E996" i="4"/>
  <c r="D996" i="4"/>
  <c r="C996" i="4"/>
  <c r="B996" i="4"/>
  <c r="N995" i="4"/>
  <c r="M995" i="4"/>
  <c r="L995" i="4"/>
  <c r="H995" i="4"/>
  <c r="I995" i="4" s="1"/>
  <c r="J995" i="4" s="1"/>
  <c r="G995" i="4"/>
  <c r="E995" i="4"/>
  <c r="D995" i="4"/>
  <c r="C995" i="4"/>
  <c r="B995" i="4"/>
  <c r="N994" i="4"/>
  <c r="M994" i="4"/>
  <c r="L994" i="4"/>
  <c r="H994" i="4"/>
  <c r="I994" i="4" s="1"/>
  <c r="J994" i="4" s="1"/>
  <c r="G994" i="4"/>
  <c r="E994" i="4"/>
  <c r="D994" i="4"/>
  <c r="C994" i="4"/>
  <c r="B994" i="4"/>
  <c r="N993" i="4"/>
  <c r="M993" i="4"/>
  <c r="L993" i="4"/>
  <c r="H993" i="4"/>
  <c r="I993" i="4" s="1"/>
  <c r="J993" i="4" s="1"/>
  <c r="G993" i="4"/>
  <c r="E993" i="4"/>
  <c r="D993" i="4"/>
  <c r="C993" i="4"/>
  <c r="B993" i="4"/>
  <c r="N992" i="4"/>
  <c r="M992" i="4"/>
  <c r="L992" i="4"/>
  <c r="H992" i="4"/>
  <c r="I992" i="4" s="1"/>
  <c r="J992" i="4" s="1"/>
  <c r="G992" i="4"/>
  <c r="E992" i="4"/>
  <c r="D992" i="4"/>
  <c r="C992" i="4"/>
  <c r="B992" i="4"/>
  <c r="N991" i="4"/>
  <c r="M991" i="4"/>
  <c r="L991" i="4"/>
  <c r="H991" i="4"/>
  <c r="I991" i="4" s="1"/>
  <c r="J991" i="4" s="1"/>
  <c r="G991" i="4"/>
  <c r="E991" i="4"/>
  <c r="D991" i="4"/>
  <c r="C991" i="4"/>
  <c r="B991" i="4"/>
  <c r="N990" i="4"/>
  <c r="M990" i="4"/>
  <c r="L990" i="4"/>
  <c r="H990" i="4"/>
  <c r="I990" i="4" s="1"/>
  <c r="J990" i="4" s="1"/>
  <c r="G990" i="4"/>
  <c r="E990" i="4"/>
  <c r="D990" i="4"/>
  <c r="C990" i="4"/>
  <c r="B990" i="4"/>
  <c r="N989" i="4"/>
  <c r="M989" i="4"/>
  <c r="L989" i="4"/>
  <c r="H989" i="4"/>
  <c r="I989" i="4" s="1"/>
  <c r="J989" i="4" s="1"/>
  <c r="G989" i="4"/>
  <c r="E989" i="4"/>
  <c r="D989" i="4"/>
  <c r="C989" i="4"/>
  <c r="B989" i="4"/>
  <c r="N988" i="4"/>
  <c r="M988" i="4"/>
  <c r="L988" i="4"/>
  <c r="H988" i="4"/>
  <c r="I988" i="4" s="1"/>
  <c r="J988" i="4" s="1"/>
  <c r="G988" i="4"/>
  <c r="E988" i="4"/>
  <c r="D988" i="4"/>
  <c r="C988" i="4"/>
  <c r="B988" i="4"/>
  <c r="N987" i="4"/>
  <c r="M987" i="4"/>
  <c r="L987" i="4"/>
  <c r="H987" i="4"/>
  <c r="I987" i="4" s="1"/>
  <c r="J987" i="4" s="1"/>
  <c r="G987" i="4"/>
  <c r="E987" i="4"/>
  <c r="D987" i="4"/>
  <c r="C987" i="4"/>
  <c r="B987" i="4"/>
  <c r="N986" i="4"/>
  <c r="M986" i="4"/>
  <c r="L986" i="4"/>
  <c r="H986" i="4"/>
  <c r="I986" i="4" s="1"/>
  <c r="J986" i="4" s="1"/>
  <c r="G986" i="4"/>
  <c r="E986" i="4"/>
  <c r="D986" i="4"/>
  <c r="C986" i="4"/>
  <c r="B986" i="4"/>
  <c r="N985" i="4"/>
  <c r="M985" i="4"/>
  <c r="L985" i="4"/>
  <c r="H985" i="4"/>
  <c r="I985" i="4" s="1"/>
  <c r="J985" i="4" s="1"/>
  <c r="G985" i="4"/>
  <c r="E985" i="4"/>
  <c r="D985" i="4"/>
  <c r="C985" i="4"/>
  <c r="B985" i="4"/>
  <c r="N984" i="4"/>
  <c r="M984" i="4"/>
  <c r="L984" i="4"/>
  <c r="H984" i="4"/>
  <c r="I984" i="4" s="1"/>
  <c r="J984" i="4" s="1"/>
  <c r="G984" i="4"/>
  <c r="E984" i="4"/>
  <c r="D984" i="4"/>
  <c r="C984" i="4"/>
  <c r="B984" i="4"/>
  <c r="N983" i="4"/>
  <c r="M983" i="4"/>
  <c r="L983" i="4"/>
  <c r="H983" i="4"/>
  <c r="I983" i="4" s="1"/>
  <c r="J983" i="4" s="1"/>
  <c r="G983" i="4"/>
  <c r="E983" i="4"/>
  <c r="D983" i="4"/>
  <c r="C983" i="4"/>
  <c r="B983" i="4"/>
  <c r="N982" i="4"/>
  <c r="M982" i="4"/>
  <c r="L982" i="4"/>
  <c r="H982" i="4"/>
  <c r="I982" i="4" s="1"/>
  <c r="J982" i="4" s="1"/>
  <c r="G982" i="4"/>
  <c r="E982" i="4"/>
  <c r="D982" i="4"/>
  <c r="C982" i="4"/>
  <c r="B982" i="4"/>
  <c r="N981" i="4"/>
  <c r="M981" i="4"/>
  <c r="L981" i="4"/>
  <c r="H981" i="4"/>
  <c r="I981" i="4" s="1"/>
  <c r="J981" i="4" s="1"/>
  <c r="G981" i="4"/>
  <c r="E981" i="4"/>
  <c r="D981" i="4"/>
  <c r="C981" i="4"/>
  <c r="B981" i="4"/>
  <c r="N980" i="4"/>
  <c r="M980" i="4"/>
  <c r="L980" i="4"/>
  <c r="H980" i="4"/>
  <c r="I980" i="4" s="1"/>
  <c r="J980" i="4" s="1"/>
  <c r="G980" i="4"/>
  <c r="E980" i="4"/>
  <c r="D980" i="4"/>
  <c r="C980" i="4"/>
  <c r="B980" i="4"/>
  <c r="N979" i="4"/>
  <c r="M979" i="4"/>
  <c r="L979" i="4"/>
  <c r="H979" i="4"/>
  <c r="I979" i="4" s="1"/>
  <c r="J979" i="4" s="1"/>
  <c r="G979" i="4"/>
  <c r="E979" i="4"/>
  <c r="D979" i="4"/>
  <c r="C979" i="4"/>
  <c r="B979" i="4"/>
  <c r="N978" i="4"/>
  <c r="M978" i="4"/>
  <c r="L978" i="4"/>
  <c r="H978" i="4"/>
  <c r="I978" i="4" s="1"/>
  <c r="J978" i="4" s="1"/>
  <c r="G978" i="4"/>
  <c r="E978" i="4"/>
  <c r="D978" i="4"/>
  <c r="C978" i="4"/>
  <c r="B978" i="4"/>
  <c r="N977" i="4"/>
  <c r="M977" i="4"/>
  <c r="L977" i="4"/>
  <c r="H977" i="4"/>
  <c r="I977" i="4" s="1"/>
  <c r="J977" i="4" s="1"/>
  <c r="G977" i="4"/>
  <c r="E977" i="4"/>
  <c r="D977" i="4"/>
  <c r="C977" i="4"/>
  <c r="B977" i="4"/>
  <c r="N976" i="4"/>
  <c r="M976" i="4"/>
  <c r="L976" i="4"/>
  <c r="H976" i="4"/>
  <c r="I976" i="4" s="1"/>
  <c r="J976" i="4" s="1"/>
  <c r="G976" i="4"/>
  <c r="E976" i="4"/>
  <c r="D976" i="4"/>
  <c r="C976" i="4"/>
  <c r="B976" i="4"/>
  <c r="N975" i="4"/>
  <c r="M975" i="4"/>
  <c r="L975" i="4"/>
  <c r="H975" i="4"/>
  <c r="I975" i="4" s="1"/>
  <c r="J975" i="4" s="1"/>
  <c r="G975" i="4"/>
  <c r="E975" i="4"/>
  <c r="D975" i="4"/>
  <c r="C975" i="4"/>
  <c r="B975" i="4"/>
  <c r="N974" i="4"/>
  <c r="M974" i="4"/>
  <c r="L974" i="4"/>
  <c r="H974" i="4"/>
  <c r="I974" i="4" s="1"/>
  <c r="J974" i="4" s="1"/>
  <c r="G974" i="4"/>
  <c r="E974" i="4"/>
  <c r="D974" i="4"/>
  <c r="C974" i="4"/>
  <c r="B974" i="4"/>
  <c r="N973" i="4"/>
  <c r="M973" i="4"/>
  <c r="L973" i="4"/>
  <c r="H973" i="4"/>
  <c r="I973" i="4" s="1"/>
  <c r="J973" i="4" s="1"/>
  <c r="G973" i="4"/>
  <c r="E973" i="4"/>
  <c r="D973" i="4"/>
  <c r="C973" i="4"/>
  <c r="B973" i="4"/>
  <c r="N972" i="4"/>
  <c r="M972" i="4"/>
  <c r="L972" i="4"/>
  <c r="H972" i="4"/>
  <c r="I972" i="4" s="1"/>
  <c r="J972" i="4" s="1"/>
  <c r="G972" i="4"/>
  <c r="E972" i="4"/>
  <c r="D972" i="4"/>
  <c r="C972" i="4"/>
  <c r="B972" i="4"/>
  <c r="N971" i="4"/>
  <c r="M971" i="4"/>
  <c r="L971" i="4"/>
  <c r="H971" i="4"/>
  <c r="I971" i="4" s="1"/>
  <c r="J971" i="4" s="1"/>
  <c r="G971" i="4"/>
  <c r="E971" i="4"/>
  <c r="D971" i="4"/>
  <c r="C971" i="4"/>
  <c r="B971" i="4"/>
  <c r="N970" i="4"/>
  <c r="M970" i="4"/>
  <c r="L970" i="4"/>
  <c r="H970" i="4"/>
  <c r="I970" i="4" s="1"/>
  <c r="J970" i="4" s="1"/>
  <c r="G970" i="4"/>
  <c r="E970" i="4"/>
  <c r="D970" i="4"/>
  <c r="C970" i="4"/>
  <c r="B970" i="4"/>
  <c r="N969" i="4"/>
  <c r="M969" i="4"/>
  <c r="L969" i="4"/>
  <c r="H969" i="4"/>
  <c r="I969" i="4" s="1"/>
  <c r="J969" i="4" s="1"/>
  <c r="G969" i="4"/>
  <c r="E969" i="4"/>
  <c r="D969" i="4"/>
  <c r="C969" i="4"/>
  <c r="B969" i="4"/>
  <c r="N968" i="4"/>
  <c r="M968" i="4"/>
  <c r="L968" i="4"/>
  <c r="H968" i="4"/>
  <c r="I968" i="4" s="1"/>
  <c r="J968" i="4" s="1"/>
  <c r="G968" i="4"/>
  <c r="E968" i="4"/>
  <c r="D968" i="4"/>
  <c r="C968" i="4"/>
  <c r="B968" i="4"/>
  <c r="N967" i="4"/>
  <c r="M967" i="4"/>
  <c r="L967" i="4"/>
  <c r="H967" i="4"/>
  <c r="I967" i="4" s="1"/>
  <c r="J967" i="4" s="1"/>
  <c r="G967" i="4"/>
  <c r="E967" i="4"/>
  <c r="D967" i="4"/>
  <c r="C967" i="4"/>
  <c r="B967" i="4"/>
  <c r="N966" i="4"/>
  <c r="M966" i="4"/>
  <c r="L966" i="4"/>
  <c r="H966" i="4"/>
  <c r="I966" i="4" s="1"/>
  <c r="J966" i="4" s="1"/>
  <c r="G966" i="4"/>
  <c r="E966" i="4"/>
  <c r="D966" i="4"/>
  <c r="C966" i="4"/>
  <c r="B966" i="4"/>
  <c r="N965" i="4"/>
  <c r="M965" i="4"/>
  <c r="L965" i="4"/>
  <c r="H965" i="4"/>
  <c r="I965" i="4" s="1"/>
  <c r="J965" i="4" s="1"/>
  <c r="G965" i="4"/>
  <c r="E965" i="4"/>
  <c r="D965" i="4"/>
  <c r="C965" i="4"/>
  <c r="B965" i="4"/>
  <c r="N964" i="4"/>
  <c r="M964" i="4"/>
  <c r="L964" i="4"/>
  <c r="H964" i="4"/>
  <c r="I964" i="4" s="1"/>
  <c r="J964" i="4" s="1"/>
  <c r="G964" i="4"/>
  <c r="E964" i="4"/>
  <c r="D964" i="4"/>
  <c r="C964" i="4"/>
  <c r="B964" i="4"/>
  <c r="N963" i="4"/>
  <c r="M963" i="4"/>
  <c r="L963" i="4"/>
  <c r="H963" i="4"/>
  <c r="I963" i="4" s="1"/>
  <c r="J963" i="4" s="1"/>
  <c r="G963" i="4"/>
  <c r="E963" i="4"/>
  <c r="D963" i="4"/>
  <c r="C963" i="4"/>
  <c r="B963" i="4"/>
  <c r="N962" i="4"/>
  <c r="M962" i="4"/>
  <c r="L962" i="4"/>
  <c r="H962" i="4"/>
  <c r="I962" i="4" s="1"/>
  <c r="J962" i="4" s="1"/>
  <c r="G962" i="4"/>
  <c r="E962" i="4"/>
  <c r="D962" i="4"/>
  <c r="C962" i="4"/>
  <c r="B962" i="4"/>
  <c r="N961" i="4"/>
  <c r="M961" i="4"/>
  <c r="L961" i="4"/>
  <c r="H961" i="4"/>
  <c r="I961" i="4" s="1"/>
  <c r="J961" i="4" s="1"/>
  <c r="G961" i="4"/>
  <c r="E961" i="4"/>
  <c r="D961" i="4"/>
  <c r="C961" i="4"/>
  <c r="B961" i="4"/>
  <c r="N960" i="4"/>
  <c r="M960" i="4"/>
  <c r="L960" i="4"/>
  <c r="H960" i="4"/>
  <c r="I960" i="4" s="1"/>
  <c r="J960" i="4" s="1"/>
  <c r="G960" i="4"/>
  <c r="E960" i="4"/>
  <c r="D960" i="4"/>
  <c r="C960" i="4"/>
  <c r="B960" i="4"/>
  <c r="N959" i="4"/>
  <c r="M959" i="4"/>
  <c r="L959" i="4"/>
  <c r="H959" i="4"/>
  <c r="I959" i="4" s="1"/>
  <c r="J959" i="4" s="1"/>
  <c r="G959" i="4"/>
  <c r="E959" i="4"/>
  <c r="D959" i="4"/>
  <c r="C959" i="4"/>
  <c r="B959" i="4"/>
  <c r="N958" i="4"/>
  <c r="M958" i="4"/>
  <c r="L958" i="4"/>
  <c r="H958" i="4"/>
  <c r="I958" i="4" s="1"/>
  <c r="J958" i="4" s="1"/>
  <c r="G958" i="4"/>
  <c r="E958" i="4"/>
  <c r="D958" i="4"/>
  <c r="C958" i="4"/>
  <c r="B958" i="4"/>
  <c r="N957" i="4"/>
  <c r="M957" i="4"/>
  <c r="L957" i="4"/>
  <c r="H957" i="4"/>
  <c r="I957" i="4" s="1"/>
  <c r="J957" i="4" s="1"/>
  <c r="G957" i="4"/>
  <c r="E957" i="4"/>
  <c r="D957" i="4"/>
  <c r="C957" i="4"/>
  <c r="B957" i="4"/>
  <c r="N956" i="4"/>
  <c r="M956" i="4"/>
  <c r="L956" i="4"/>
  <c r="H956" i="4"/>
  <c r="I956" i="4" s="1"/>
  <c r="J956" i="4" s="1"/>
  <c r="G956" i="4"/>
  <c r="E956" i="4"/>
  <c r="D956" i="4"/>
  <c r="C956" i="4"/>
  <c r="B956" i="4"/>
  <c r="N955" i="4"/>
  <c r="M955" i="4"/>
  <c r="L955" i="4"/>
  <c r="H955" i="4"/>
  <c r="I955" i="4" s="1"/>
  <c r="J955" i="4" s="1"/>
  <c r="G955" i="4"/>
  <c r="E955" i="4"/>
  <c r="D955" i="4"/>
  <c r="C955" i="4"/>
  <c r="B955" i="4"/>
  <c r="N954" i="4"/>
  <c r="M954" i="4"/>
  <c r="L954" i="4"/>
  <c r="H954" i="4"/>
  <c r="I954" i="4" s="1"/>
  <c r="J954" i="4" s="1"/>
  <c r="G954" i="4"/>
  <c r="E954" i="4"/>
  <c r="D954" i="4"/>
  <c r="C954" i="4"/>
  <c r="B954" i="4"/>
  <c r="N953" i="4"/>
  <c r="M953" i="4"/>
  <c r="L953" i="4"/>
  <c r="H953" i="4"/>
  <c r="I953" i="4" s="1"/>
  <c r="J953" i="4" s="1"/>
  <c r="G953" i="4"/>
  <c r="E953" i="4"/>
  <c r="D953" i="4"/>
  <c r="C953" i="4"/>
  <c r="B953" i="4"/>
  <c r="N952" i="4"/>
  <c r="M952" i="4"/>
  <c r="L952" i="4"/>
  <c r="H952" i="4"/>
  <c r="I952" i="4" s="1"/>
  <c r="J952" i="4" s="1"/>
  <c r="G952" i="4"/>
  <c r="E952" i="4"/>
  <c r="D952" i="4"/>
  <c r="C952" i="4"/>
  <c r="B952" i="4"/>
  <c r="N951" i="4"/>
  <c r="M951" i="4"/>
  <c r="L951" i="4"/>
  <c r="H951" i="4"/>
  <c r="I951" i="4" s="1"/>
  <c r="J951" i="4" s="1"/>
  <c r="G951" i="4"/>
  <c r="E951" i="4"/>
  <c r="D951" i="4"/>
  <c r="C951" i="4"/>
  <c r="B951" i="4"/>
  <c r="N950" i="4"/>
  <c r="M950" i="4"/>
  <c r="L950" i="4"/>
  <c r="H950" i="4"/>
  <c r="I950" i="4" s="1"/>
  <c r="J950" i="4" s="1"/>
  <c r="G950" i="4"/>
  <c r="E950" i="4"/>
  <c r="D950" i="4"/>
  <c r="C950" i="4"/>
  <c r="B950" i="4"/>
  <c r="N949" i="4"/>
  <c r="M949" i="4"/>
  <c r="L949" i="4"/>
  <c r="H949" i="4"/>
  <c r="I949" i="4" s="1"/>
  <c r="J949" i="4" s="1"/>
  <c r="G949" i="4"/>
  <c r="E949" i="4"/>
  <c r="D949" i="4"/>
  <c r="C949" i="4"/>
  <c r="B949" i="4"/>
  <c r="N948" i="4"/>
  <c r="M948" i="4"/>
  <c r="L948" i="4"/>
  <c r="H948" i="4"/>
  <c r="I948" i="4" s="1"/>
  <c r="J948" i="4" s="1"/>
  <c r="G948" i="4"/>
  <c r="E948" i="4"/>
  <c r="D948" i="4"/>
  <c r="C948" i="4"/>
  <c r="B948" i="4"/>
  <c r="N947" i="4"/>
  <c r="M947" i="4"/>
  <c r="L947" i="4"/>
  <c r="H947" i="4"/>
  <c r="I947" i="4" s="1"/>
  <c r="J947" i="4" s="1"/>
  <c r="G947" i="4"/>
  <c r="E947" i="4"/>
  <c r="D947" i="4"/>
  <c r="C947" i="4"/>
  <c r="B947" i="4"/>
  <c r="N946" i="4"/>
  <c r="M946" i="4"/>
  <c r="L946" i="4"/>
  <c r="H946" i="4"/>
  <c r="I946" i="4" s="1"/>
  <c r="J946" i="4" s="1"/>
  <c r="G946" i="4"/>
  <c r="E946" i="4"/>
  <c r="D946" i="4"/>
  <c r="C946" i="4"/>
  <c r="B946" i="4"/>
  <c r="N945" i="4"/>
  <c r="M945" i="4"/>
  <c r="L945" i="4"/>
  <c r="H945" i="4"/>
  <c r="I945" i="4" s="1"/>
  <c r="J945" i="4" s="1"/>
  <c r="G945" i="4"/>
  <c r="E945" i="4"/>
  <c r="D945" i="4"/>
  <c r="C945" i="4"/>
  <c r="B945" i="4"/>
  <c r="N944" i="4"/>
  <c r="M944" i="4"/>
  <c r="L944" i="4"/>
  <c r="H944" i="4"/>
  <c r="I944" i="4" s="1"/>
  <c r="J944" i="4" s="1"/>
  <c r="G944" i="4"/>
  <c r="E944" i="4"/>
  <c r="D944" i="4"/>
  <c r="C944" i="4"/>
  <c r="B944" i="4"/>
  <c r="N943" i="4"/>
  <c r="M943" i="4"/>
  <c r="L943" i="4"/>
  <c r="H943" i="4"/>
  <c r="I943" i="4" s="1"/>
  <c r="J943" i="4" s="1"/>
  <c r="G943" i="4"/>
  <c r="E943" i="4"/>
  <c r="D943" i="4"/>
  <c r="C943" i="4"/>
  <c r="B943" i="4"/>
  <c r="N942" i="4"/>
  <c r="M942" i="4"/>
  <c r="L942" i="4"/>
  <c r="H942" i="4"/>
  <c r="I942" i="4" s="1"/>
  <c r="J942" i="4" s="1"/>
  <c r="G942" i="4"/>
  <c r="E942" i="4"/>
  <c r="D942" i="4"/>
  <c r="C942" i="4"/>
  <c r="B942" i="4"/>
  <c r="N941" i="4"/>
  <c r="M941" i="4"/>
  <c r="L941" i="4"/>
  <c r="H941" i="4"/>
  <c r="I941" i="4" s="1"/>
  <c r="J941" i="4" s="1"/>
  <c r="G941" i="4"/>
  <c r="E941" i="4"/>
  <c r="D941" i="4"/>
  <c r="C941" i="4"/>
  <c r="B941" i="4"/>
  <c r="N940" i="4"/>
  <c r="M940" i="4"/>
  <c r="L940" i="4"/>
  <c r="H940" i="4"/>
  <c r="I940" i="4" s="1"/>
  <c r="J940" i="4" s="1"/>
  <c r="G940" i="4"/>
  <c r="E940" i="4"/>
  <c r="D940" i="4"/>
  <c r="C940" i="4"/>
  <c r="B940" i="4"/>
  <c r="N939" i="4"/>
  <c r="M939" i="4"/>
  <c r="L939" i="4"/>
  <c r="H939" i="4"/>
  <c r="I939" i="4" s="1"/>
  <c r="J939" i="4" s="1"/>
  <c r="G939" i="4"/>
  <c r="E939" i="4"/>
  <c r="D939" i="4"/>
  <c r="C939" i="4"/>
  <c r="B939" i="4"/>
  <c r="N938" i="4"/>
  <c r="M938" i="4"/>
  <c r="L938" i="4"/>
  <c r="H938" i="4"/>
  <c r="I938" i="4" s="1"/>
  <c r="J938" i="4" s="1"/>
  <c r="G938" i="4"/>
  <c r="E938" i="4"/>
  <c r="D938" i="4"/>
  <c r="C938" i="4"/>
  <c r="B938" i="4"/>
  <c r="N937" i="4"/>
  <c r="M937" i="4"/>
  <c r="L937" i="4"/>
  <c r="H937" i="4"/>
  <c r="I937" i="4" s="1"/>
  <c r="J937" i="4" s="1"/>
  <c r="G937" i="4"/>
  <c r="E937" i="4"/>
  <c r="D937" i="4"/>
  <c r="C937" i="4"/>
  <c r="B937" i="4"/>
  <c r="N936" i="4"/>
  <c r="M936" i="4"/>
  <c r="L936" i="4"/>
  <c r="H936" i="4"/>
  <c r="I936" i="4" s="1"/>
  <c r="J936" i="4" s="1"/>
  <c r="G936" i="4"/>
  <c r="E936" i="4"/>
  <c r="D936" i="4"/>
  <c r="C936" i="4"/>
  <c r="B936" i="4"/>
  <c r="N935" i="4"/>
  <c r="M935" i="4"/>
  <c r="L935" i="4"/>
  <c r="H935" i="4"/>
  <c r="I935" i="4" s="1"/>
  <c r="J935" i="4" s="1"/>
  <c r="G935" i="4"/>
  <c r="E935" i="4"/>
  <c r="D935" i="4"/>
  <c r="C935" i="4"/>
  <c r="B935" i="4"/>
  <c r="N934" i="4"/>
  <c r="M934" i="4"/>
  <c r="L934" i="4"/>
  <c r="H934" i="4"/>
  <c r="I934" i="4" s="1"/>
  <c r="J934" i="4" s="1"/>
  <c r="G934" i="4"/>
  <c r="E934" i="4"/>
  <c r="D934" i="4"/>
  <c r="C934" i="4"/>
  <c r="B934" i="4"/>
  <c r="N933" i="4"/>
  <c r="M933" i="4"/>
  <c r="L933" i="4"/>
  <c r="H933" i="4"/>
  <c r="I933" i="4" s="1"/>
  <c r="J933" i="4" s="1"/>
  <c r="G933" i="4"/>
  <c r="E933" i="4"/>
  <c r="D933" i="4"/>
  <c r="C933" i="4"/>
  <c r="B933" i="4"/>
  <c r="N932" i="4"/>
  <c r="M932" i="4"/>
  <c r="L932" i="4"/>
  <c r="H932" i="4"/>
  <c r="I932" i="4" s="1"/>
  <c r="J932" i="4" s="1"/>
  <c r="G932" i="4"/>
  <c r="E932" i="4"/>
  <c r="D932" i="4"/>
  <c r="C932" i="4"/>
  <c r="B932" i="4"/>
  <c r="N931" i="4"/>
  <c r="M931" i="4"/>
  <c r="L931" i="4"/>
  <c r="H931" i="4"/>
  <c r="I931" i="4" s="1"/>
  <c r="J931" i="4" s="1"/>
  <c r="G931" i="4"/>
  <c r="E931" i="4"/>
  <c r="D931" i="4"/>
  <c r="C931" i="4"/>
  <c r="B931" i="4"/>
  <c r="N930" i="4"/>
  <c r="M930" i="4"/>
  <c r="L930" i="4"/>
  <c r="H930" i="4"/>
  <c r="I930" i="4" s="1"/>
  <c r="J930" i="4" s="1"/>
  <c r="G930" i="4"/>
  <c r="E930" i="4"/>
  <c r="D930" i="4"/>
  <c r="C930" i="4"/>
  <c r="B930" i="4"/>
  <c r="N929" i="4"/>
  <c r="M929" i="4"/>
  <c r="L929" i="4"/>
  <c r="H929" i="4"/>
  <c r="I929" i="4" s="1"/>
  <c r="J929" i="4" s="1"/>
  <c r="G929" i="4"/>
  <c r="E929" i="4"/>
  <c r="D929" i="4"/>
  <c r="C929" i="4"/>
  <c r="B929" i="4"/>
  <c r="N928" i="4"/>
  <c r="M928" i="4"/>
  <c r="L928" i="4"/>
  <c r="H928" i="4"/>
  <c r="I928" i="4" s="1"/>
  <c r="J928" i="4" s="1"/>
  <c r="G928" i="4"/>
  <c r="E928" i="4"/>
  <c r="D928" i="4"/>
  <c r="C928" i="4"/>
  <c r="B928" i="4"/>
  <c r="N927" i="4"/>
  <c r="M927" i="4"/>
  <c r="L927" i="4"/>
  <c r="H927" i="4"/>
  <c r="I927" i="4" s="1"/>
  <c r="J927" i="4" s="1"/>
  <c r="G927" i="4"/>
  <c r="E927" i="4"/>
  <c r="D927" i="4"/>
  <c r="C927" i="4"/>
  <c r="B927" i="4"/>
  <c r="N926" i="4"/>
  <c r="M926" i="4"/>
  <c r="L926" i="4"/>
  <c r="H926" i="4"/>
  <c r="I926" i="4" s="1"/>
  <c r="J926" i="4" s="1"/>
  <c r="G926" i="4"/>
  <c r="E926" i="4"/>
  <c r="D926" i="4"/>
  <c r="C926" i="4"/>
  <c r="B926" i="4"/>
  <c r="N925" i="4"/>
  <c r="M925" i="4"/>
  <c r="L925" i="4"/>
  <c r="H925" i="4"/>
  <c r="I925" i="4" s="1"/>
  <c r="J925" i="4" s="1"/>
  <c r="G925" i="4"/>
  <c r="E925" i="4"/>
  <c r="D925" i="4"/>
  <c r="C925" i="4"/>
  <c r="B925" i="4"/>
  <c r="N924" i="4"/>
  <c r="M924" i="4"/>
  <c r="L924" i="4"/>
  <c r="H924" i="4"/>
  <c r="I924" i="4" s="1"/>
  <c r="J924" i="4" s="1"/>
  <c r="G924" i="4"/>
  <c r="E924" i="4"/>
  <c r="D924" i="4"/>
  <c r="C924" i="4"/>
  <c r="B924" i="4"/>
  <c r="N923" i="4"/>
  <c r="M923" i="4"/>
  <c r="L923" i="4"/>
  <c r="H923" i="4"/>
  <c r="I923" i="4" s="1"/>
  <c r="J923" i="4" s="1"/>
  <c r="G923" i="4"/>
  <c r="E923" i="4"/>
  <c r="D923" i="4"/>
  <c r="C923" i="4"/>
  <c r="B923" i="4"/>
  <c r="N922" i="4"/>
  <c r="M922" i="4"/>
  <c r="L922" i="4"/>
  <c r="H922" i="4"/>
  <c r="I922" i="4" s="1"/>
  <c r="J922" i="4" s="1"/>
  <c r="G922" i="4"/>
  <c r="E922" i="4"/>
  <c r="D922" i="4"/>
  <c r="C922" i="4"/>
  <c r="B922" i="4"/>
  <c r="N921" i="4"/>
  <c r="M921" i="4"/>
  <c r="L921" i="4"/>
  <c r="H921" i="4"/>
  <c r="I921" i="4" s="1"/>
  <c r="J921" i="4" s="1"/>
  <c r="G921" i="4"/>
  <c r="E921" i="4"/>
  <c r="D921" i="4"/>
  <c r="C921" i="4"/>
  <c r="B921" i="4"/>
  <c r="N920" i="4"/>
  <c r="M920" i="4"/>
  <c r="L920" i="4"/>
  <c r="H920" i="4"/>
  <c r="I920" i="4" s="1"/>
  <c r="J920" i="4" s="1"/>
  <c r="G920" i="4"/>
  <c r="E920" i="4"/>
  <c r="D920" i="4"/>
  <c r="C920" i="4"/>
  <c r="B920" i="4"/>
  <c r="N919" i="4"/>
  <c r="M919" i="4"/>
  <c r="L919" i="4"/>
  <c r="H919" i="4"/>
  <c r="I919" i="4" s="1"/>
  <c r="J919" i="4" s="1"/>
  <c r="G919" i="4"/>
  <c r="E919" i="4"/>
  <c r="D919" i="4"/>
  <c r="C919" i="4"/>
  <c r="B919" i="4"/>
  <c r="N918" i="4"/>
  <c r="M918" i="4"/>
  <c r="L918" i="4"/>
  <c r="H918" i="4"/>
  <c r="I918" i="4" s="1"/>
  <c r="J918" i="4" s="1"/>
  <c r="G918" i="4"/>
  <c r="E918" i="4"/>
  <c r="D918" i="4"/>
  <c r="C918" i="4"/>
  <c r="B918" i="4"/>
  <c r="N917" i="4"/>
  <c r="M917" i="4"/>
  <c r="L917" i="4"/>
  <c r="H917" i="4"/>
  <c r="I917" i="4" s="1"/>
  <c r="J917" i="4" s="1"/>
  <c r="G917" i="4"/>
  <c r="E917" i="4"/>
  <c r="D917" i="4"/>
  <c r="C917" i="4"/>
  <c r="B917" i="4"/>
  <c r="N916" i="4"/>
  <c r="M916" i="4"/>
  <c r="L916" i="4"/>
  <c r="H916" i="4"/>
  <c r="I916" i="4" s="1"/>
  <c r="J916" i="4" s="1"/>
  <c r="G916" i="4"/>
  <c r="E916" i="4"/>
  <c r="D916" i="4"/>
  <c r="C916" i="4"/>
  <c r="B916" i="4"/>
  <c r="N915" i="4"/>
  <c r="M915" i="4"/>
  <c r="L915" i="4"/>
  <c r="H915" i="4"/>
  <c r="I915" i="4" s="1"/>
  <c r="J915" i="4" s="1"/>
  <c r="G915" i="4"/>
  <c r="E915" i="4"/>
  <c r="D915" i="4"/>
  <c r="C915" i="4"/>
  <c r="B915" i="4"/>
  <c r="N914" i="4"/>
  <c r="M914" i="4"/>
  <c r="L914" i="4"/>
  <c r="H914" i="4"/>
  <c r="I914" i="4" s="1"/>
  <c r="J914" i="4" s="1"/>
  <c r="G914" i="4"/>
  <c r="E914" i="4"/>
  <c r="D914" i="4"/>
  <c r="C914" i="4"/>
  <c r="B914" i="4"/>
  <c r="N913" i="4"/>
  <c r="M913" i="4"/>
  <c r="L913" i="4"/>
  <c r="H913" i="4"/>
  <c r="I913" i="4" s="1"/>
  <c r="J913" i="4" s="1"/>
  <c r="G913" i="4"/>
  <c r="E913" i="4"/>
  <c r="D913" i="4"/>
  <c r="C913" i="4"/>
  <c r="B913" i="4"/>
  <c r="N912" i="4"/>
  <c r="M912" i="4"/>
  <c r="L912" i="4"/>
  <c r="H912" i="4"/>
  <c r="I912" i="4" s="1"/>
  <c r="J912" i="4" s="1"/>
  <c r="G912" i="4"/>
  <c r="E912" i="4"/>
  <c r="D912" i="4"/>
  <c r="C912" i="4"/>
  <c r="B912" i="4"/>
  <c r="N911" i="4"/>
  <c r="M911" i="4"/>
  <c r="L911" i="4"/>
  <c r="H911" i="4"/>
  <c r="I911" i="4" s="1"/>
  <c r="J911" i="4" s="1"/>
  <c r="G911" i="4"/>
  <c r="E911" i="4"/>
  <c r="D911" i="4"/>
  <c r="C911" i="4"/>
  <c r="B911" i="4"/>
  <c r="N910" i="4"/>
  <c r="M910" i="4"/>
  <c r="L910" i="4"/>
  <c r="H910" i="4"/>
  <c r="I910" i="4" s="1"/>
  <c r="J910" i="4" s="1"/>
  <c r="G910" i="4"/>
  <c r="E910" i="4"/>
  <c r="D910" i="4"/>
  <c r="C910" i="4"/>
  <c r="B910" i="4"/>
  <c r="N909" i="4"/>
  <c r="M909" i="4"/>
  <c r="L909" i="4"/>
  <c r="H909" i="4"/>
  <c r="I909" i="4" s="1"/>
  <c r="J909" i="4" s="1"/>
  <c r="G909" i="4"/>
  <c r="E909" i="4"/>
  <c r="D909" i="4"/>
  <c r="C909" i="4"/>
  <c r="B909" i="4"/>
  <c r="N908" i="4"/>
  <c r="M908" i="4"/>
  <c r="L908" i="4"/>
  <c r="H908" i="4"/>
  <c r="I908" i="4" s="1"/>
  <c r="J908" i="4" s="1"/>
  <c r="G908" i="4"/>
  <c r="E908" i="4"/>
  <c r="D908" i="4"/>
  <c r="C908" i="4"/>
  <c r="B908" i="4"/>
  <c r="N907" i="4"/>
  <c r="M907" i="4"/>
  <c r="L907" i="4"/>
  <c r="H907" i="4"/>
  <c r="I907" i="4" s="1"/>
  <c r="J907" i="4" s="1"/>
  <c r="G907" i="4"/>
  <c r="E907" i="4"/>
  <c r="D907" i="4"/>
  <c r="C907" i="4"/>
  <c r="B907" i="4"/>
  <c r="N906" i="4"/>
  <c r="M906" i="4"/>
  <c r="L906" i="4"/>
  <c r="H906" i="4"/>
  <c r="I906" i="4" s="1"/>
  <c r="J906" i="4" s="1"/>
  <c r="G906" i="4"/>
  <c r="E906" i="4"/>
  <c r="D906" i="4"/>
  <c r="C906" i="4"/>
  <c r="B906" i="4"/>
  <c r="N905" i="4"/>
  <c r="M905" i="4"/>
  <c r="L905" i="4"/>
  <c r="H905" i="4"/>
  <c r="I905" i="4" s="1"/>
  <c r="J905" i="4" s="1"/>
  <c r="G905" i="4"/>
  <c r="E905" i="4"/>
  <c r="D905" i="4"/>
  <c r="C905" i="4"/>
  <c r="B905" i="4"/>
  <c r="N904" i="4"/>
  <c r="M904" i="4"/>
  <c r="L904" i="4"/>
  <c r="H904" i="4"/>
  <c r="I904" i="4" s="1"/>
  <c r="J904" i="4" s="1"/>
  <c r="G904" i="4"/>
  <c r="E904" i="4"/>
  <c r="D904" i="4"/>
  <c r="C904" i="4"/>
  <c r="B904" i="4"/>
  <c r="N903" i="4"/>
  <c r="M903" i="4"/>
  <c r="L903" i="4"/>
  <c r="H903" i="4"/>
  <c r="I903" i="4" s="1"/>
  <c r="J903" i="4" s="1"/>
  <c r="G903" i="4"/>
  <c r="E903" i="4"/>
  <c r="D903" i="4"/>
  <c r="C903" i="4"/>
  <c r="B903" i="4"/>
  <c r="N902" i="4"/>
  <c r="M902" i="4"/>
  <c r="L902" i="4"/>
  <c r="H902" i="4"/>
  <c r="I902" i="4" s="1"/>
  <c r="J902" i="4" s="1"/>
  <c r="G902" i="4"/>
  <c r="E902" i="4"/>
  <c r="D902" i="4"/>
  <c r="C902" i="4"/>
  <c r="B902" i="4"/>
  <c r="N901" i="4"/>
  <c r="M901" i="4"/>
  <c r="L901" i="4"/>
  <c r="H901" i="4"/>
  <c r="I901" i="4" s="1"/>
  <c r="J901" i="4" s="1"/>
  <c r="G901" i="4"/>
  <c r="E901" i="4"/>
  <c r="D901" i="4"/>
  <c r="C901" i="4"/>
  <c r="B901" i="4"/>
  <c r="N900" i="4"/>
  <c r="M900" i="4"/>
  <c r="L900" i="4"/>
  <c r="H900" i="4"/>
  <c r="I900" i="4" s="1"/>
  <c r="J900" i="4" s="1"/>
  <c r="G900" i="4"/>
  <c r="E900" i="4"/>
  <c r="D900" i="4"/>
  <c r="C900" i="4"/>
  <c r="B900" i="4"/>
  <c r="N899" i="4"/>
  <c r="M899" i="4"/>
  <c r="L899" i="4"/>
  <c r="H899" i="4"/>
  <c r="I899" i="4" s="1"/>
  <c r="J899" i="4" s="1"/>
  <c r="G899" i="4"/>
  <c r="E899" i="4"/>
  <c r="D899" i="4"/>
  <c r="C899" i="4"/>
  <c r="B899" i="4"/>
  <c r="N898" i="4"/>
  <c r="M898" i="4"/>
  <c r="L898" i="4"/>
  <c r="H898" i="4"/>
  <c r="I898" i="4" s="1"/>
  <c r="J898" i="4" s="1"/>
  <c r="G898" i="4"/>
  <c r="E898" i="4"/>
  <c r="D898" i="4"/>
  <c r="C898" i="4"/>
  <c r="B898" i="4"/>
  <c r="N897" i="4"/>
  <c r="M897" i="4"/>
  <c r="L897" i="4"/>
  <c r="H897" i="4"/>
  <c r="I897" i="4" s="1"/>
  <c r="J897" i="4" s="1"/>
  <c r="G897" i="4"/>
  <c r="E897" i="4"/>
  <c r="D897" i="4"/>
  <c r="C897" i="4"/>
  <c r="B897" i="4"/>
  <c r="N896" i="4"/>
  <c r="M896" i="4"/>
  <c r="L896" i="4"/>
  <c r="H896" i="4"/>
  <c r="I896" i="4" s="1"/>
  <c r="J896" i="4" s="1"/>
  <c r="G896" i="4"/>
  <c r="E896" i="4"/>
  <c r="D896" i="4"/>
  <c r="C896" i="4"/>
  <c r="B896" i="4"/>
  <c r="N895" i="4"/>
  <c r="M895" i="4"/>
  <c r="L895" i="4"/>
  <c r="H895" i="4"/>
  <c r="I895" i="4" s="1"/>
  <c r="J895" i="4" s="1"/>
  <c r="G895" i="4"/>
  <c r="E895" i="4"/>
  <c r="D895" i="4"/>
  <c r="C895" i="4"/>
  <c r="B895" i="4"/>
  <c r="N894" i="4"/>
  <c r="M894" i="4"/>
  <c r="L894" i="4"/>
  <c r="H894" i="4"/>
  <c r="I894" i="4" s="1"/>
  <c r="J894" i="4" s="1"/>
  <c r="G894" i="4"/>
  <c r="E894" i="4"/>
  <c r="D894" i="4"/>
  <c r="C894" i="4"/>
  <c r="B894" i="4"/>
  <c r="N893" i="4"/>
  <c r="M893" i="4"/>
  <c r="L893" i="4"/>
  <c r="H893" i="4"/>
  <c r="I893" i="4" s="1"/>
  <c r="J893" i="4" s="1"/>
  <c r="G893" i="4"/>
  <c r="E893" i="4"/>
  <c r="D893" i="4"/>
  <c r="C893" i="4"/>
  <c r="B893" i="4"/>
  <c r="N892" i="4"/>
  <c r="M892" i="4"/>
  <c r="L892" i="4"/>
  <c r="H892" i="4"/>
  <c r="I892" i="4" s="1"/>
  <c r="J892" i="4" s="1"/>
  <c r="G892" i="4"/>
  <c r="E892" i="4"/>
  <c r="D892" i="4"/>
  <c r="C892" i="4"/>
  <c r="B892" i="4"/>
  <c r="N891" i="4"/>
  <c r="M891" i="4"/>
  <c r="L891" i="4"/>
  <c r="H891" i="4"/>
  <c r="I891" i="4" s="1"/>
  <c r="J891" i="4" s="1"/>
  <c r="G891" i="4"/>
  <c r="E891" i="4"/>
  <c r="D891" i="4"/>
  <c r="C891" i="4"/>
  <c r="B891" i="4"/>
  <c r="N890" i="4"/>
  <c r="M890" i="4"/>
  <c r="L890" i="4"/>
  <c r="H890" i="4"/>
  <c r="I890" i="4" s="1"/>
  <c r="J890" i="4" s="1"/>
  <c r="G890" i="4"/>
  <c r="E890" i="4"/>
  <c r="D890" i="4"/>
  <c r="C890" i="4"/>
  <c r="B890" i="4"/>
  <c r="N889" i="4"/>
  <c r="M889" i="4"/>
  <c r="L889" i="4"/>
  <c r="H889" i="4"/>
  <c r="I889" i="4" s="1"/>
  <c r="J889" i="4" s="1"/>
  <c r="G889" i="4"/>
  <c r="E889" i="4"/>
  <c r="D889" i="4"/>
  <c r="C889" i="4"/>
  <c r="B889" i="4"/>
  <c r="N888" i="4"/>
  <c r="M888" i="4"/>
  <c r="L888" i="4"/>
  <c r="H888" i="4"/>
  <c r="I888" i="4" s="1"/>
  <c r="J888" i="4" s="1"/>
  <c r="G888" i="4"/>
  <c r="E888" i="4"/>
  <c r="D888" i="4"/>
  <c r="C888" i="4"/>
  <c r="B888" i="4"/>
  <c r="N887" i="4"/>
  <c r="M887" i="4"/>
  <c r="L887" i="4"/>
  <c r="H887" i="4"/>
  <c r="I887" i="4" s="1"/>
  <c r="J887" i="4" s="1"/>
  <c r="G887" i="4"/>
  <c r="E887" i="4"/>
  <c r="D887" i="4"/>
  <c r="C887" i="4"/>
  <c r="B887" i="4"/>
  <c r="N886" i="4"/>
  <c r="M886" i="4"/>
  <c r="L886" i="4"/>
  <c r="H886" i="4"/>
  <c r="I886" i="4" s="1"/>
  <c r="J886" i="4" s="1"/>
  <c r="G886" i="4"/>
  <c r="E886" i="4"/>
  <c r="D886" i="4"/>
  <c r="C886" i="4"/>
  <c r="B886" i="4"/>
  <c r="N885" i="4"/>
  <c r="M885" i="4"/>
  <c r="L885" i="4"/>
  <c r="H885" i="4"/>
  <c r="I885" i="4" s="1"/>
  <c r="J885" i="4" s="1"/>
  <c r="G885" i="4"/>
  <c r="E885" i="4"/>
  <c r="D885" i="4"/>
  <c r="C885" i="4"/>
  <c r="B885" i="4"/>
  <c r="N884" i="4"/>
  <c r="M884" i="4"/>
  <c r="L884" i="4"/>
  <c r="H884" i="4"/>
  <c r="I884" i="4" s="1"/>
  <c r="J884" i="4" s="1"/>
  <c r="G884" i="4"/>
  <c r="E884" i="4"/>
  <c r="D884" i="4"/>
  <c r="C884" i="4"/>
  <c r="B884" i="4"/>
  <c r="N883" i="4"/>
  <c r="M883" i="4"/>
  <c r="L883" i="4"/>
  <c r="H883" i="4"/>
  <c r="I883" i="4" s="1"/>
  <c r="J883" i="4" s="1"/>
  <c r="G883" i="4"/>
  <c r="E883" i="4"/>
  <c r="D883" i="4"/>
  <c r="C883" i="4"/>
  <c r="B883" i="4"/>
  <c r="N882" i="4"/>
  <c r="M882" i="4"/>
  <c r="L882" i="4"/>
  <c r="H882" i="4"/>
  <c r="I882" i="4" s="1"/>
  <c r="J882" i="4" s="1"/>
  <c r="G882" i="4"/>
  <c r="E882" i="4"/>
  <c r="D882" i="4"/>
  <c r="C882" i="4"/>
  <c r="B882" i="4"/>
  <c r="N881" i="4"/>
  <c r="M881" i="4"/>
  <c r="L881" i="4"/>
  <c r="H881" i="4"/>
  <c r="I881" i="4" s="1"/>
  <c r="J881" i="4" s="1"/>
  <c r="G881" i="4"/>
  <c r="E881" i="4"/>
  <c r="D881" i="4"/>
  <c r="C881" i="4"/>
  <c r="B881" i="4"/>
  <c r="N880" i="4"/>
  <c r="M880" i="4"/>
  <c r="L880" i="4"/>
  <c r="H880" i="4"/>
  <c r="I880" i="4" s="1"/>
  <c r="J880" i="4" s="1"/>
  <c r="G880" i="4"/>
  <c r="E880" i="4"/>
  <c r="D880" i="4"/>
  <c r="C880" i="4"/>
  <c r="B880" i="4"/>
  <c r="N879" i="4"/>
  <c r="M879" i="4"/>
  <c r="L879" i="4"/>
  <c r="H879" i="4"/>
  <c r="I879" i="4" s="1"/>
  <c r="J879" i="4" s="1"/>
  <c r="G879" i="4"/>
  <c r="E879" i="4"/>
  <c r="D879" i="4"/>
  <c r="C879" i="4"/>
  <c r="B879" i="4"/>
  <c r="N878" i="4"/>
  <c r="M878" i="4"/>
  <c r="L878" i="4"/>
  <c r="H878" i="4"/>
  <c r="I878" i="4" s="1"/>
  <c r="J878" i="4" s="1"/>
  <c r="G878" i="4"/>
  <c r="E878" i="4"/>
  <c r="D878" i="4"/>
  <c r="C878" i="4"/>
  <c r="B878" i="4"/>
  <c r="N877" i="4"/>
  <c r="M877" i="4"/>
  <c r="L877" i="4"/>
  <c r="H877" i="4"/>
  <c r="I877" i="4" s="1"/>
  <c r="J877" i="4" s="1"/>
  <c r="G877" i="4"/>
  <c r="E877" i="4"/>
  <c r="D877" i="4"/>
  <c r="C877" i="4"/>
  <c r="B877" i="4"/>
  <c r="N876" i="4"/>
  <c r="M876" i="4"/>
  <c r="L876" i="4"/>
  <c r="H876" i="4"/>
  <c r="I876" i="4" s="1"/>
  <c r="J876" i="4" s="1"/>
  <c r="G876" i="4"/>
  <c r="E876" i="4"/>
  <c r="D876" i="4"/>
  <c r="C876" i="4"/>
  <c r="B876" i="4"/>
  <c r="N875" i="4"/>
  <c r="M875" i="4"/>
  <c r="L875" i="4"/>
  <c r="H875" i="4"/>
  <c r="I875" i="4" s="1"/>
  <c r="J875" i="4" s="1"/>
  <c r="G875" i="4"/>
  <c r="E875" i="4"/>
  <c r="D875" i="4"/>
  <c r="C875" i="4"/>
  <c r="B875" i="4"/>
  <c r="N874" i="4"/>
  <c r="M874" i="4"/>
  <c r="L874" i="4"/>
  <c r="H874" i="4"/>
  <c r="I874" i="4" s="1"/>
  <c r="J874" i="4" s="1"/>
  <c r="G874" i="4"/>
  <c r="E874" i="4"/>
  <c r="D874" i="4"/>
  <c r="C874" i="4"/>
  <c r="B874" i="4"/>
  <c r="N873" i="4"/>
  <c r="M873" i="4"/>
  <c r="L873" i="4"/>
  <c r="H873" i="4"/>
  <c r="I873" i="4" s="1"/>
  <c r="J873" i="4" s="1"/>
  <c r="G873" i="4"/>
  <c r="E873" i="4"/>
  <c r="D873" i="4"/>
  <c r="C873" i="4"/>
  <c r="B873" i="4"/>
  <c r="N872" i="4"/>
  <c r="M872" i="4"/>
  <c r="L872" i="4"/>
  <c r="H872" i="4"/>
  <c r="I872" i="4" s="1"/>
  <c r="J872" i="4" s="1"/>
  <c r="G872" i="4"/>
  <c r="E872" i="4"/>
  <c r="D872" i="4"/>
  <c r="C872" i="4"/>
  <c r="B872" i="4"/>
  <c r="N871" i="4"/>
  <c r="M871" i="4"/>
  <c r="L871" i="4"/>
  <c r="H871" i="4"/>
  <c r="I871" i="4" s="1"/>
  <c r="J871" i="4" s="1"/>
  <c r="G871" i="4"/>
  <c r="E871" i="4"/>
  <c r="D871" i="4"/>
  <c r="C871" i="4"/>
  <c r="B871" i="4"/>
  <c r="N870" i="4"/>
  <c r="M870" i="4"/>
  <c r="L870" i="4"/>
  <c r="H870" i="4"/>
  <c r="I870" i="4" s="1"/>
  <c r="J870" i="4" s="1"/>
  <c r="G870" i="4"/>
  <c r="E870" i="4"/>
  <c r="D870" i="4"/>
  <c r="C870" i="4"/>
  <c r="B870" i="4"/>
  <c r="N869" i="4"/>
  <c r="M869" i="4"/>
  <c r="L869" i="4"/>
  <c r="H869" i="4"/>
  <c r="I869" i="4" s="1"/>
  <c r="J869" i="4" s="1"/>
  <c r="G869" i="4"/>
  <c r="E869" i="4"/>
  <c r="D869" i="4"/>
  <c r="C869" i="4"/>
  <c r="B869" i="4"/>
  <c r="N868" i="4"/>
  <c r="M868" i="4"/>
  <c r="L868" i="4"/>
  <c r="H868" i="4"/>
  <c r="I868" i="4" s="1"/>
  <c r="J868" i="4" s="1"/>
  <c r="G868" i="4"/>
  <c r="E868" i="4"/>
  <c r="D868" i="4"/>
  <c r="C868" i="4"/>
  <c r="B868" i="4"/>
  <c r="N867" i="4"/>
  <c r="M867" i="4"/>
  <c r="L867" i="4"/>
  <c r="H867" i="4"/>
  <c r="I867" i="4" s="1"/>
  <c r="J867" i="4" s="1"/>
  <c r="G867" i="4"/>
  <c r="E867" i="4"/>
  <c r="D867" i="4"/>
  <c r="C867" i="4"/>
  <c r="B867" i="4"/>
  <c r="N866" i="4"/>
  <c r="M866" i="4"/>
  <c r="L866" i="4"/>
  <c r="H866" i="4"/>
  <c r="I866" i="4" s="1"/>
  <c r="J866" i="4" s="1"/>
  <c r="G866" i="4"/>
  <c r="E866" i="4"/>
  <c r="D866" i="4"/>
  <c r="C866" i="4"/>
  <c r="B866" i="4"/>
  <c r="N865" i="4"/>
  <c r="M865" i="4"/>
  <c r="L865" i="4"/>
  <c r="H865" i="4"/>
  <c r="I865" i="4" s="1"/>
  <c r="J865" i="4" s="1"/>
  <c r="G865" i="4"/>
  <c r="E865" i="4"/>
  <c r="D865" i="4"/>
  <c r="C865" i="4"/>
  <c r="B865" i="4"/>
  <c r="N864" i="4"/>
  <c r="M864" i="4"/>
  <c r="L864" i="4"/>
  <c r="H864" i="4"/>
  <c r="I864" i="4" s="1"/>
  <c r="J864" i="4" s="1"/>
  <c r="G864" i="4"/>
  <c r="E864" i="4"/>
  <c r="D864" i="4"/>
  <c r="C864" i="4"/>
  <c r="B864" i="4"/>
  <c r="N863" i="4"/>
  <c r="M863" i="4"/>
  <c r="L863" i="4"/>
  <c r="H863" i="4"/>
  <c r="I863" i="4" s="1"/>
  <c r="J863" i="4" s="1"/>
  <c r="G863" i="4"/>
  <c r="E863" i="4"/>
  <c r="D863" i="4"/>
  <c r="C863" i="4"/>
  <c r="B863" i="4"/>
  <c r="N862" i="4"/>
  <c r="M862" i="4"/>
  <c r="L862" i="4"/>
  <c r="H862" i="4"/>
  <c r="I862" i="4" s="1"/>
  <c r="J862" i="4" s="1"/>
  <c r="G862" i="4"/>
  <c r="E862" i="4"/>
  <c r="D862" i="4"/>
  <c r="C862" i="4"/>
  <c r="B862" i="4"/>
  <c r="N861" i="4"/>
  <c r="M861" i="4"/>
  <c r="L861" i="4"/>
  <c r="H861" i="4"/>
  <c r="I861" i="4" s="1"/>
  <c r="J861" i="4" s="1"/>
  <c r="G861" i="4"/>
  <c r="E861" i="4"/>
  <c r="D861" i="4"/>
  <c r="C861" i="4"/>
  <c r="B861" i="4"/>
  <c r="N860" i="4"/>
  <c r="M860" i="4"/>
  <c r="L860" i="4"/>
  <c r="H860" i="4"/>
  <c r="I860" i="4" s="1"/>
  <c r="J860" i="4" s="1"/>
  <c r="G860" i="4"/>
  <c r="E860" i="4"/>
  <c r="D860" i="4"/>
  <c r="C860" i="4"/>
  <c r="B860" i="4"/>
  <c r="N859" i="4"/>
  <c r="M859" i="4"/>
  <c r="L859" i="4"/>
  <c r="H859" i="4"/>
  <c r="I859" i="4" s="1"/>
  <c r="J859" i="4" s="1"/>
  <c r="G859" i="4"/>
  <c r="E859" i="4"/>
  <c r="D859" i="4"/>
  <c r="C859" i="4"/>
  <c r="B859" i="4"/>
  <c r="N858" i="4"/>
  <c r="M858" i="4"/>
  <c r="L858" i="4"/>
  <c r="H858" i="4"/>
  <c r="I858" i="4" s="1"/>
  <c r="J858" i="4" s="1"/>
  <c r="G858" i="4"/>
  <c r="E858" i="4"/>
  <c r="D858" i="4"/>
  <c r="C858" i="4"/>
  <c r="B858" i="4"/>
  <c r="N857" i="4"/>
  <c r="M857" i="4"/>
  <c r="L857" i="4"/>
  <c r="H857" i="4"/>
  <c r="I857" i="4" s="1"/>
  <c r="J857" i="4" s="1"/>
  <c r="G857" i="4"/>
  <c r="E857" i="4"/>
  <c r="D857" i="4"/>
  <c r="C857" i="4"/>
  <c r="B857" i="4"/>
  <c r="N856" i="4"/>
  <c r="M856" i="4"/>
  <c r="L856" i="4"/>
  <c r="H856" i="4"/>
  <c r="I856" i="4" s="1"/>
  <c r="J856" i="4" s="1"/>
  <c r="G856" i="4"/>
  <c r="E856" i="4"/>
  <c r="D856" i="4"/>
  <c r="C856" i="4"/>
  <c r="B856" i="4"/>
  <c r="N855" i="4"/>
  <c r="M855" i="4"/>
  <c r="L855" i="4"/>
  <c r="H855" i="4"/>
  <c r="I855" i="4" s="1"/>
  <c r="J855" i="4" s="1"/>
  <c r="G855" i="4"/>
  <c r="E855" i="4"/>
  <c r="D855" i="4"/>
  <c r="C855" i="4"/>
  <c r="B855" i="4"/>
  <c r="N854" i="4"/>
  <c r="M854" i="4"/>
  <c r="L854" i="4"/>
  <c r="H854" i="4"/>
  <c r="I854" i="4" s="1"/>
  <c r="J854" i="4" s="1"/>
  <c r="G854" i="4"/>
  <c r="E854" i="4"/>
  <c r="D854" i="4"/>
  <c r="C854" i="4"/>
  <c r="B854" i="4"/>
  <c r="N853" i="4"/>
  <c r="M853" i="4"/>
  <c r="L853" i="4"/>
  <c r="H853" i="4"/>
  <c r="I853" i="4" s="1"/>
  <c r="J853" i="4" s="1"/>
  <c r="G853" i="4"/>
  <c r="E853" i="4"/>
  <c r="D853" i="4"/>
  <c r="C853" i="4"/>
  <c r="B853" i="4"/>
  <c r="N852" i="4"/>
  <c r="M852" i="4"/>
  <c r="L852" i="4"/>
  <c r="H852" i="4"/>
  <c r="I852" i="4" s="1"/>
  <c r="J852" i="4" s="1"/>
  <c r="G852" i="4"/>
  <c r="E852" i="4"/>
  <c r="D852" i="4"/>
  <c r="C852" i="4"/>
  <c r="B852" i="4"/>
  <c r="N851" i="4"/>
  <c r="M851" i="4"/>
  <c r="L851" i="4"/>
  <c r="H851" i="4"/>
  <c r="I851" i="4" s="1"/>
  <c r="J851" i="4" s="1"/>
  <c r="G851" i="4"/>
  <c r="E851" i="4"/>
  <c r="D851" i="4"/>
  <c r="C851" i="4"/>
  <c r="B851" i="4"/>
  <c r="N850" i="4"/>
  <c r="M850" i="4"/>
  <c r="L850" i="4"/>
  <c r="H850" i="4"/>
  <c r="I850" i="4" s="1"/>
  <c r="J850" i="4" s="1"/>
  <c r="G850" i="4"/>
  <c r="E850" i="4"/>
  <c r="D850" i="4"/>
  <c r="C850" i="4"/>
  <c r="B850" i="4"/>
  <c r="N849" i="4"/>
  <c r="M849" i="4"/>
  <c r="L849" i="4"/>
  <c r="H849" i="4"/>
  <c r="I849" i="4" s="1"/>
  <c r="J849" i="4" s="1"/>
  <c r="G849" i="4"/>
  <c r="E849" i="4"/>
  <c r="D849" i="4"/>
  <c r="C849" i="4"/>
  <c r="B849" i="4"/>
  <c r="N848" i="4"/>
  <c r="M848" i="4"/>
  <c r="L848" i="4"/>
  <c r="H848" i="4"/>
  <c r="I848" i="4" s="1"/>
  <c r="J848" i="4" s="1"/>
  <c r="G848" i="4"/>
  <c r="E848" i="4"/>
  <c r="D848" i="4"/>
  <c r="C848" i="4"/>
  <c r="B848" i="4"/>
  <c r="N847" i="4"/>
  <c r="M847" i="4"/>
  <c r="L847" i="4"/>
  <c r="H847" i="4"/>
  <c r="I847" i="4" s="1"/>
  <c r="J847" i="4" s="1"/>
  <c r="G847" i="4"/>
  <c r="E847" i="4"/>
  <c r="D847" i="4"/>
  <c r="C847" i="4"/>
  <c r="B847" i="4"/>
  <c r="N846" i="4"/>
  <c r="M846" i="4"/>
  <c r="L846" i="4"/>
  <c r="H846" i="4"/>
  <c r="I846" i="4" s="1"/>
  <c r="J846" i="4" s="1"/>
  <c r="G846" i="4"/>
  <c r="E846" i="4"/>
  <c r="D846" i="4"/>
  <c r="C846" i="4"/>
  <c r="B846" i="4"/>
  <c r="N845" i="4"/>
  <c r="M845" i="4"/>
  <c r="L845" i="4"/>
  <c r="H845" i="4"/>
  <c r="I845" i="4" s="1"/>
  <c r="J845" i="4" s="1"/>
  <c r="G845" i="4"/>
  <c r="E845" i="4"/>
  <c r="D845" i="4"/>
  <c r="C845" i="4"/>
  <c r="B845" i="4"/>
  <c r="N844" i="4"/>
  <c r="M844" i="4"/>
  <c r="L844" i="4"/>
  <c r="H844" i="4"/>
  <c r="I844" i="4" s="1"/>
  <c r="J844" i="4" s="1"/>
  <c r="G844" i="4"/>
  <c r="E844" i="4"/>
  <c r="D844" i="4"/>
  <c r="C844" i="4"/>
  <c r="B844" i="4"/>
  <c r="N843" i="4"/>
  <c r="M843" i="4"/>
  <c r="L843" i="4"/>
  <c r="H843" i="4"/>
  <c r="I843" i="4" s="1"/>
  <c r="J843" i="4" s="1"/>
  <c r="G843" i="4"/>
  <c r="E843" i="4"/>
  <c r="D843" i="4"/>
  <c r="C843" i="4"/>
  <c r="B843" i="4"/>
  <c r="N842" i="4"/>
  <c r="M842" i="4"/>
  <c r="L842" i="4"/>
  <c r="H842" i="4"/>
  <c r="I842" i="4" s="1"/>
  <c r="J842" i="4" s="1"/>
  <c r="G842" i="4"/>
  <c r="E842" i="4"/>
  <c r="D842" i="4"/>
  <c r="C842" i="4"/>
  <c r="B842" i="4"/>
  <c r="N841" i="4"/>
  <c r="M841" i="4"/>
  <c r="L841" i="4"/>
  <c r="H841" i="4"/>
  <c r="I841" i="4" s="1"/>
  <c r="J841" i="4" s="1"/>
  <c r="G841" i="4"/>
  <c r="E841" i="4"/>
  <c r="D841" i="4"/>
  <c r="C841" i="4"/>
  <c r="B841" i="4"/>
  <c r="N840" i="4"/>
  <c r="M840" i="4"/>
  <c r="L840" i="4"/>
  <c r="H840" i="4"/>
  <c r="I840" i="4" s="1"/>
  <c r="J840" i="4" s="1"/>
  <c r="G840" i="4"/>
  <c r="E840" i="4"/>
  <c r="D840" i="4"/>
  <c r="C840" i="4"/>
  <c r="B840" i="4"/>
  <c r="N839" i="4"/>
  <c r="M839" i="4"/>
  <c r="L839" i="4"/>
  <c r="H839" i="4"/>
  <c r="I839" i="4" s="1"/>
  <c r="J839" i="4" s="1"/>
  <c r="G839" i="4"/>
  <c r="E839" i="4"/>
  <c r="D839" i="4"/>
  <c r="C839" i="4"/>
  <c r="B839" i="4"/>
  <c r="N838" i="4"/>
  <c r="M838" i="4"/>
  <c r="L838" i="4"/>
  <c r="H838" i="4"/>
  <c r="I838" i="4" s="1"/>
  <c r="J838" i="4" s="1"/>
  <c r="G838" i="4"/>
  <c r="E838" i="4"/>
  <c r="D838" i="4"/>
  <c r="C838" i="4"/>
  <c r="B838" i="4"/>
  <c r="N837" i="4"/>
  <c r="M837" i="4"/>
  <c r="L837" i="4"/>
  <c r="H837" i="4"/>
  <c r="I837" i="4" s="1"/>
  <c r="J837" i="4" s="1"/>
  <c r="G837" i="4"/>
  <c r="E837" i="4"/>
  <c r="D837" i="4"/>
  <c r="C837" i="4"/>
  <c r="B837" i="4"/>
  <c r="N836" i="4"/>
  <c r="M836" i="4"/>
  <c r="L836" i="4"/>
  <c r="H836" i="4"/>
  <c r="I836" i="4" s="1"/>
  <c r="J836" i="4" s="1"/>
  <c r="G836" i="4"/>
  <c r="E836" i="4"/>
  <c r="D836" i="4"/>
  <c r="C836" i="4"/>
  <c r="B836" i="4"/>
  <c r="N835" i="4"/>
  <c r="M835" i="4"/>
  <c r="L835" i="4"/>
  <c r="H835" i="4"/>
  <c r="I835" i="4" s="1"/>
  <c r="J835" i="4" s="1"/>
  <c r="G835" i="4"/>
  <c r="E835" i="4"/>
  <c r="D835" i="4"/>
  <c r="C835" i="4"/>
  <c r="B835" i="4"/>
  <c r="N834" i="4"/>
  <c r="M834" i="4"/>
  <c r="L834" i="4"/>
  <c r="H834" i="4"/>
  <c r="I834" i="4" s="1"/>
  <c r="J834" i="4" s="1"/>
  <c r="G834" i="4"/>
  <c r="E834" i="4"/>
  <c r="D834" i="4"/>
  <c r="C834" i="4"/>
  <c r="B834" i="4"/>
  <c r="N833" i="4"/>
  <c r="M833" i="4"/>
  <c r="L833" i="4"/>
  <c r="H833" i="4"/>
  <c r="I833" i="4" s="1"/>
  <c r="J833" i="4" s="1"/>
  <c r="G833" i="4"/>
  <c r="E833" i="4"/>
  <c r="D833" i="4"/>
  <c r="C833" i="4"/>
  <c r="B833" i="4"/>
  <c r="N832" i="4"/>
  <c r="M832" i="4"/>
  <c r="L832" i="4"/>
  <c r="H832" i="4"/>
  <c r="I832" i="4" s="1"/>
  <c r="J832" i="4" s="1"/>
  <c r="G832" i="4"/>
  <c r="E832" i="4"/>
  <c r="D832" i="4"/>
  <c r="C832" i="4"/>
  <c r="B832" i="4"/>
  <c r="N831" i="4"/>
  <c r="M831" i="4"/>
  <c r="L831" i="4"/>
  <c r="H831" i="4"/>
  <c r="I831" i="4" s="1"/>
  <c r="J831" i="4" s="1"/>
  <c r="G831" i="4"/>
  <c r="E831" i="4"/>
  <c r="D831" i="4"/>
  <c r="C831" i="4"/>
  <c r="B831" i="4"/>
  <c r="N830" i="4"/>
  <c r="M830" i="4"/>
  <c r="L830" i="4"/>
  <c r="H830" i="4"/>
  <c r="I830" i="4" s="1"/>
  <c r="J830" i="4" s="1"/>
  <c r="G830" i="4"/>
  <c r="E830" i="4"/>
  <c r="D830" i="4"/>
  <c r="C830" i="4"/>
  <c r="B830" i="4"/>
  <c r="N829" i="4"/>
  <c r="M829" i="4"/>
  <c r="L829" i="4"/>
  <c r="H829" i="4"/>
  <c r="I829" i="4" s="1"/>
  <c r="J829" i="4" s="1"/>
  <c r="G829" i="4"/>
  <c r="E829" i="4"/>
  <c r="D829" i="4"/>
  <c r="C829" i="4"/>
  <c r="B829" i="4"/>
  <c r="N828" i="4"/>
  <c r="M828" i="4"/>
  <c r="L828" i="4"/>
  <c r="H828" i="4"/>
  <c r="I828" i="4" s="1"/>
  <c r="J828" i="4" s="1"/>
  <c r="G828" i="4"/>
  <c r="E828" i="4"/>
  <c r="D828" i="4"/>
  <c r="C828" i="4"/>
  <c r="B828" i="4"/>
  <c r="N827" i="4"/>
  <c r="M827" i="4"/>
  <c r="L827" i="4"/>
  <c r="H827" i="4"/>
  <c r="I827" i="4" s="1"/>
  <c r="J827" i="4" s="1"/>
  <c r="G827" i="4"/>
  <c r="E827" i="4"/>
  <c r="D827" i="4"/>
  <c r="C827" i="4"/>
  <c r="B827" i="4"/>
  <c r="N826" i="4"/>
  <c r="M826" i="4"/>
  <c r="L826" i="4"/>
  <c r="H826" i="4"/>
  <c r="I826" i="4" s="1"/>
  <c r="J826" i="4" s="1"/>
  <c r="G826" i="4"/>
  <c r="E826" i="4"/>
  <c r="D826" i="4"/>
  <c r="C826" i="4"/>
  <c r="B826" i="4"/>
  <c r="N825" i="4"/>
  <c r="M825" i="4"/>
  <c r="L825" i="4"/>
  <c r="H825" i="4"/>
  <c r="I825" i="4" s="1"/>
  <c r="J825" i="4" s="1"/>
  <c r="G825" i="4"/>
  <c r="E825" i="4"/>
  <c r="D825" i="4"/>
  <c r="C825" i="4"/>
  <c r="B825" i="4"/>
  <c r="N824" i="4"/>
  <c r="M824" i="4"/>
  <c r="L824" i="4"/>
  <c r="H824" i="4"/>
  <c r="I824" i="4" s="1"/>
  <c r="J824" i="4" s="1"/>
  <c r="G824" i="4"/>
  <c r="E824" i="4"/>
  <c r="D824" i="4"/>
  <c r="C824" i="4"/>
  <c r="B824" i="4"/>
  <c r="N823" i="4"/>
  <c r="M823" i="4"/>
  <c r="L823" i="4"/>
  <c r="H823" i="4"/>
  <c r="I823" i="4" s="1"/>
  <c r="J823" i="4" s="1"/>
  <c r="G823" i="4"/>
  <c r="E823" i="4"/>
  <c r="D823" i="4"/>
  <c r="C823" i="4"/>
  <c r="B823" i="4"/>
  <c r="N822" i="4"/>
  <c r="M822" i="4"/>
  <c r="L822" i="4"/>
  <c r="H822" i="4"/>
  <c r="I822" i="4" s="1"/>
  <c r="J822" i="4" s="1"/>
  <c r="G822" i="4"/>
  <c r="E822" i="4"/>
  <c r="D822" i="4"/>
  <c r="C822" i="4"/>
  <c r="B822" i="4"/>
  <c r="N821" i="4"/>
  <c r="M821" i="4"/>
  <c r="L821" i="4"/>
  <c r="H821" i="4"/>
  <c r="I821" i="4" s="1"/>
  <c r="J821" i="4" s="1"/>
  <c r="G821" i="4"/>
  <c r="E821" i="4"/>
  <c r="D821" i="4"/>
  <c r="C821" i="4"/>
  <c r="B821" i="4"/>
  <c r="N820" i="4"/>
  <c r="M820" i="4"/>
  <c r="L820" i="4"/>
  <c r="H820" i="4"/>
  <c r="I820" i="4" s="1"/>
  <c r="J820" i="4" s="1"/>
  <c r="G820" i="4"/>
  <c r="E820" i="4"/>
  <c r="D820" i="4"/>
  <c r="C820" i="4"/>
  <c r="B820" i="4"/>
  <c r="N819" i="4"/>
  <c r="M819" i="4"/>
  <c r="L819" i="4"/>
  <c r="H819" i="4"/>
  <c r="I819" i="4" s="1"/>
  <c r="J819" i="4" s="1"/>
  <c r="G819" i="4"/>
  <c r="E819" i="4"/>
  <c r="D819" i="4"/>
  <c r="C819" i="4"/>
  <c r="B819" i="4"/>
  <c r="N818" i="4"/>
  <c r="M818" i="4"/>
  <c r="L818" i="4"/>
  <c r="H818" i="4"/>
  <c r="I818" i="4" s="1"/>
  <c r="J818" i="4" s="1"/>
  <c r="G818" i="4"/>
  <c r="E818" i="4"/>
  <c r="D818" i="4"/>
  <c r="C818" i="4"/>
  <c r="B818" i="4"/>
  <c r="N817" i="4"/>
  <c r="M817" i="4"/>
  <c r="L817" i="4"/>
  <c r="H817" i="4"/>
  <c r="I817" i="4" s="1"/>
  <c r="J817" i="4" s="1"/>
  <c r="G817" i="4"/>
  <c r="E817" i="4"/>
  <c r="D817" i="4"/>
  <c r="C817" i="4"/>
  <c r="B817" i="4"/>
  <c r="N816" i="4"/>
  <c r="M816" i="4"/>
  <c r="L816" i="4"/>
  <c r="H816" i="4"/>
  <c r="I816" i="4" s="1"/>
  <c r="J816" i="4" s="1"/>
  <c r="G816" i="4"/>
  <c r="E816" i="4"/>
  <c r="D816" i="4"/>
  <c r="C816" i="4"/>
  <c r="B816" i="4"/>
  <c r="N815" i="4"/>
  <c r="M815" i="4"/>
  <c r="L815" i="4"/>
  <c r="H815" i="4"/>
  <c r="I815" i="4" s="1"/>
  <c r="J815" i="4" s="1"/>
  <c r="G815" i="4"/>
  <c r="E815" i="4"/>
  <c r="D815" i="4"/>
  <c r="C815" i="4"/>
  <c r="B815" i="4"/>
  <c r="N814" i="4"/>
  <c r="M814" i="4"/>
  <c r="L814" i="4"/>
  <c r="H814" i="4"/>
  <c r="I814" i="4" s="1"/>
  <c r="J814" i="4" s="1"/>
  <c r="G814" i="4"/>
  <c r="E814" i="4"/>
  <c r="D814" i="4"/>
  <c r="C814" i="4"/>
  <c r="B814" i="4"/>
  <c r="N813" i="4"/>
  <c r="M813" i="4"/>
  <c r="L813" i="4"/>
  <c r="H813" i="4"/>
  <c r="I813" i="4" s="1"/>
  <c r="J813" i="4" s="1"/>
  <c r="G813" i="4"/>
  <c r="E813" i="4"/>
  <c r="D813" i="4"/>
  <c r="C813" i="4"/>
  <c r="B813" i="4"/>
  <c r="N812" i="4"/>
  <c r="M812" i="4"/>
  <c r="L812" i="4"/>
  <c r="H812" i="4"/>
  <c r="I812" i="4" s="1"/>
  <c r="J812" i="4" s="1"/>
  <c r="G812" i="4"/>
  <c r="E812" i="4"/>
  <c r="D812" i="4"/>
  <c r="C812" i="4"/>
  <c r="B812" i="4"/>
  <c r="N811" i="4"/>
  <c r="M811" i="4"/>
  <c r="L811" i="4"/>
  <c r="H811" i="4"/>
  <c r="I811" i="4" s="1"/>
  <c r="J811" i="4" s="1"/>
  <c r="G811" i="4"/>
  <c r="E811" i="4"/>
  <c r="D811" i="4"/>
  <c r="C811" i="4"/>
  <c r="B811" i="4"/>
  <c r="N810" i="4"/>
  <c r="M810" i="4"/>
  <c r="L810" i="4"/>
  <c r="H810" i="4"/>
  <c r="I810" i="4" s="1"/>
  <c r="J810" i="4" s="1"/>
  <c r="G810" i="4"/>
  <c r="E810" i="4"/>
  <c r="D810" i="4"/>
  <c r="C810" i="4"/>
  <c r="B810" i="4"/>
  <c r="N809" i="4"/>
  <c r="M809" i="4"/>
  <c r="L809" i="4"/>
  <c r="H809" i="4"/>
  <c r="I809" i="4" s="1"/>
  <c r="J809" i="4" s="1"/>
  <c r="G809" i="4"/>
  <c r="E809" i="4"/>
  <c r="D809" i="4"/>
  <c r="C809" i="4"/>
  <c r="B809" i="4"/>
  <c r="N808" i="4"/>
  <c r="M808" i="4"/>
  <c r="L808" i="4"/>
  <c r="H808" i="4"/>
  <c r="I808" i="4" s="1"/>
  <c r="J808" i="4" s="1"/>
  <c r="G808" i="4"/>
  <c r="E808" i="4"/>
  <c r="D808" i="4"/>
  <c r="C808" i="4"/>
  <c r="B808" i="4"/>
  <c r="N807" i="4"/>
  <c r="M807" i="4"/>
  <c r="L807" i="4"/>
  <c r="H807" i="4"/>
  <c r="I807" i="4" s="1"/>
  <c r="J807" i="4" s="1"/>
  <c r="G807" i="4"/>
  <c r="E807" i="4"/>
  <c r="D807" i="4"/>
  <c r="C807" i="4"/>
  <c r="B807" i="4"/>
  <c r="N806" i="4"/>
  <c r="M806" i="4"/>
  <c r="L806" i="4"/>
  <c r="H806" i="4"/>
  <c r="I806" i="4" s="1"/>
  <c r="J806" i="4" s="1"/>
  <c r="G806" i="4"/>
  <c r="E806" i="4"/>
  <c r="D806" i="4"/>
  <c r="C806" i="4"/>
  <c r="B806" i="4"/>
  <c r="N805" i="4"/>
  <c r="M805" i="4"/>
  <c r="L805" i="4"/>
  <c r="H805" i="4"/>
  <c r="I805" i="4" s="1"/>
  <c r="J805" i="4" s="1"/>
  <c r="G805" i="4"/>
  <c r="E805" i="4"/>
  <c r="D805" i="4"/>
  <c r="C805" i="4"/>
  <c r="B805" i="4"/>
  <c r="N804" i="4"/>
  <c r="M804" i="4"/>
  <c r="L804" i="4"/>
  <c r="H804" i="4"/>
  <c r="I804" i="4" s="1"/>
  <c r="J804" i="4" s="1"/>
  <c r="G804" i="4"/>
  <c r="E804" i="4"/>
  <c r="D804" i="4"/>
  <c r="C804" i="4"/>
  <c r="B804" i="4"/>
  <c r="N803" i="4"/>
  <c r="M803" i="4"/>
  <c r="L803" i="4"/>
  <c r="H803" i="4"/>
  <c r="I803" i="4" s="1"/>
  <c r="J803" i="4" s="1"/>
  <c r="G803" i="4"/>
  <c r="E803" i="4"/>
  <c r="D803" i="4"/>
  <c r="C803" i="4"/>
  <c r="B803" i="4"/>
  <c r="N802" i="4"/>
  <c r="M802" i="4"/>
  <c r="L802" i="4"/>
  <c r="H802" i="4"/>
  <c r="I802" i="4" s="1"/>
  <c r="J802" i="4" s="1"/>
  <c r="G802" i="4"/>
  <c r="E802" i="4"/>
  <c r="D802" i="4"/>
  <c r="C802" i="4"/>
  <c r="B802" i="4"/>
  <c r="N801" i="4"/>
  <c r="M801" i="4"/>
  <c r="L801" i="4"/>
  <c r="H801" i="4"/>
  <c r="I801" i="4" s="1"/>
  <c r="J801" i="4" s="1"/>
  <c r="G801" i="4"/>
  <c r="E801" i="4"/>
  <c r="D801" i="4"/>
  <c r="C801" i="4"/>
  <c r="B801" i="4"/>
  <c r="N800" i="4"/>
  <c r="M800" i="4"/>
  <c r="L800" i="4"/>
  <c r="H800" i="4"/>
  <c r="I800" i="4" s="1"/>
  <c r="J800" i="4" s="1"/>
  <c r="G800" i="4"/>
  <c r="E800" i="4"/>
  <c r="D800" i="4"/>
  <c r="C800" i="4"/>
  <c r="B800" i="4"/>
  <c r="N799" i="4"/>
  <c r="M799" i="4"/>
  <c r="L799" i="4"/>
  <c r="H799" i="4"/>
  <c r="I799" i="4" s="1"/>
  <c r="J799" i="4" s="1"/>
  <c r="G799" i="4"/>
  <c r="E799" i="4"/>
  <c r="D799" i="4"/>
  <c r="C799" i="4"/>
  <c r="B799" i="4"/>
  <c r="N798" i="4"/>
  <c r="M798" i="4"/>
  <c r="L798" i="4"/>
  <c r="H798" i="4"/>
  <c r="I798" i="4" s="1"/>
  <c r="J798" i="4" s="1"/>
  <c r="G798" i="4"/>
  <c r="E798" i="4"/>
  <c r="D798" i="4"/>
  <c r="C798" i="4"/>
  <c r="B798" i="4"/>
  <c r="N797" i="4"/>
  <c r="M797" i="4"/>
  <c r="L797" i="4"/>
  <c r="H797" i="4"/>
  <c r="I797" i="4" s="1"/>
  <c r="J797" i="4" s="1"/>
  <c r="G797" i="4"/>
  <c r="E797" i="4"/>
  <c r="D797" i="4"/>
  <c r="C797" i="4"/>
  <c r="B797" i="4"/>
  <c r="N796" i="4"/>
  <c r="M796" i="4"/>
  <c r="L796" i="4"/>
  <c r="H796" i="4"/>
  <c r="I796" i="4" s="1"/>
  <c r="J796" i="4" s="1"/>
  <c r="G796" i="4"/>
  <c r="E796" i="4"/>
  <c r="D796" i="4"/>
  <c r="C796" i="4"/>
  <c r="B796" i="4"/>
  <c r="N795" i="4"/>
  <c r="M795" i="4"/>
  <c r="L795" i="4"/>
  <c r="H795" i="4"/>
  <c r="I795" i="4" s="1"/>
  <c r="J795" i="4" s="1"/>
  <c r="G795" i="4"/>
  <c r="E795" i="4"/>
  <c r="D795" i="4"/>
  <c r="C795" i="4"/>
  <c r="B795" i="4"/>
  <c r="N794" i="4"/>
  <c r="M794" i="4"/>
  <c r="L794" i="4"/>
  <c r="H794" i="4"/>
  <c r="I794" i="4" s="1"/>
  <c r="J794" i="4" s="1"/>
  <c r="G794" i="4"/>
  <c r="E794" i="4"/>
  <c r="D794" i="4"/>
  <c r="C794" i="4"/>
  <c r="B794" i="4"/>
  <c r="N793" i="4"/>
  <c r="M793" i="4"/>
  <c r="L793" i="4"/>
  <c r="H793" i="4"/>
  <c r="I793" i="4" s="1"/>
  <c r="J793" i="4" s="1"/>
  <c r="G793" i="4"/>
  <c r="E793" i="4"/>
  <c r="D793" i="4"/>
  <c r="C793" i="4"/>
  <c r="B793" i="4"/>
  <c r="N792" i="4"/>
  <c r="M792" i="4"/>
  <c r="L792" i="4"/>
  <c r="H792" i="4"/>
  <c r="I792" i="4" s="1"/>
  <c r="J792" i="4" s="1"/>
  <c r="G792" i="4"/>
  <c r="E792" i="4"/>
  <c r="D792" i="4"/>
  <c r="C792" i="4"/>
  <c r="B792" i="4"/>
  <c r="N791" i="4"/>
  <c r="M791" i="4"/>
  <c r="L791" i="4"/>
  <c r="H791" i="4"/>
  <c r="I791" i="4" s="1"/>
  <c r="J791" i="4" s="1"/>
  <c r="G791" i="4"/>
  <c r="E791" i="4"/>
  <c r="D791" i="4"/>
  <c r="C791" i="4"/>
  <c r="B791" i="4"/>
  <c r="N790" i="4"/>
  <c r="M790" i="4"/>
  <c r="L790" i="4"/>
  <c r="H790" i="4"/>
  <c r="I790" i="4" s="1"/>
  <c r="J790" i="4" s="1"/>
  <c r="G790" i="4"/>
  <c r="E790" i="4"/>
  <c r="D790" i="4"/>
  <c r="C790" i="4"/>
  <c r="B790" i="4"/>
  <c r="N789" i="4"/>
  <c r="M789" i="4"/>
  <c r="L789" i="4"/>
  <c r="H789" i="4"/>
  <c r="I789" i="4" s="1"/>
  <c r="J789" i="4" s="1"/>
  <c r="G789" i="4"/>
  <c r="E789" i="4"/>
  <c r="D789" i="4"/>
  <c r="C789" i="4"/>
  <c r="B789" i="4"/>
  <c r="N788" i="4"/>
  <c r="M788" i="4"/>
  <c r="L788" i="4"/>
  <c r="H788" i="4"/>
  <c r="I788" i="4" s="1"/>
  <c r="J788" i="4" s="1"/>
  <c r="G788" i="4"/>
  <c r="E788" i="4"/>
  <c r="D788" i="4"/>
  <c r="C788" i="4"/>
  <c r="B788" i="4"/>
  <c r="N787" i="4"/>
  <c r="M787" i="4"/>
  <c r="L787" i="4"/>
  <c r="H787" i="4"/>
  <c r="I787" i="4" s="1"/>
  <c r="J787" i="4" s="1"/>
  <c r="G787" i="4"/>
  <c r="E787" i="4"/>
  <c r="D787" i="4"/>
  <c r="C787" i="4"/>
  <c r="B787" i="4"/>
  <c r="N786" i="4"/>
  <c r="M786" i="4"/>
  <c r="L786" i="4"/>
  <c r="H786" i="4"/>
  <c r="I786" i="4" s="1"/>
  <c r="J786" i="4" s="1"/>
  <c r="G786" i="4"/>
  <c r="E786" i="4"/>
  <c r="D786" i="4"/>
  <c r="C786" i="4"/>
  <c r="B786" i="4"/>
  <c r="N785" i="4"/>
  <c r="M785" i="4"/>
  <c r="L785" i="4"/>
  <c r="H785" i="4"/>
  <c r="I785" i="4" s="1"/>
  <c r="J785" i="4" s="1"/>
  <c r="G785" i="4"/>
  <c r="E785" i="4"/>
  <c r="D785" i="4"/>
  <c r="C785" i="4"/>
  <c r="B785" i="4"/>
  <c r="N784" i="4"/>
  <c r="M784" i="4"/>
  <c r="L784" i="4"/>
  <c r="H784" i="4"/>
  <c r="I784" i="4" s="1"/>
  <c r="J784" i="4" s="1"/>
  <c r="G784" i="4"/>
  <c r="E784" i="4"/>
  <c r="D784" i="4"/>
  <c r="C784" i="4"/>
  <c r="B784" i="4"/>
  <c r="N783" i="4"/>
  <c r="M783" i="4"/>
  <c r="L783" i="4"/>
  <c r="H783" i="4"/>
  <c r="I783" i="4" s="1"/>
  <c r="J783" i="4" s="1"/>
  <c r="G783" i="4"/>
  <c r="E783" i="4"/>
  <c r="D783" i="4"/>
  <c r="C783" i="4"/>
  <c r="B783" i="4"/>
  <c r="N782" i="4"/>
  <c r="M782" i="4"/>
  <c r="L782" i="4"/>
  <c r="H782" i="4"/>
  <c r="I782" i="4" s="1"/>
  <c r="J782" i="4" s="1"/>
  <c r="G782" i="4"/>
  <c r="E782" i="4"/>
  <c r="D782" i="4"/>
  <c r="C782" i="4"/>
  <c r="B782" i="4"/>
  <c r="N781" i="4"/>
  <c r="M781" i="4"/>
  <c r="L781" i="4"/>
  <c r="H781" i="4"/>
  <c r="I781" i="4" s="1"/>
  <c r="J781" i="4" s="1"/>
  <c r="G781" i="4"/>
  <c r="E781" i="4"/>
  <c r="D781" i="4"/>
  <c r="C781" i="4"/>
  <c r="B781" i="4"/>
  <c r="N780" i="4"/>
  <c r="M780" i="4"/>
  <c r="L780" i="4"/>
  <c r="H780" i="4"/>
  <c r="I780" i="4" s="1"/>
  <c r="J780" i="4" s="1"/>
  <c r="G780" i="4"/>
  <c r="E780" i="4"/>
  <c r="D780" i="4"/>
  <c r="C780" i="4"/>
  <c r="B780" i="4"/>
  <c r="N779" i="4"/>
  <c r="M779" i="4"/>
  <c r="L779" i="4"/>
  <c r="H779" i="4"/>
  <c r="I779" i="4" s="1"/>
  <c r="J779" i="4" s="1"/>
  <c r="G779" i="4"/>
  <c r="E779" i="4"/>
  <c r="D779" i="4"/>
  <c r="C779" i="4"/>
  <c r="B779" i="4"/>
  <c r="N778" i="4"/>
  <c r="M778" i="4"/>
  <c r="L778" i="4"/>
  <c r="H778" i="4"/>
  <c r="I778" i="4" s="1"/>
  <c r="J778" i="4" s="1"/>
  <c r="G778" i="4"/>
  <c r="E778" i="4"/>
  <c r="D778" i="4"/>
  <c r="C778" i="4"/>
  <c r="B778" i="4"/>
  <c r="N777" i="4"/>
  <c r="M777" i="4"/>
  <c r="L777" i="4"/>
  <c r="H777" i="4"/>
  <c r="I777" i="4" s="1"/>
  <c r="J777" i="4" s="1"/>
  <c r="G777" i="4"/>
  <c r="E777" i="4"/>
  <c r="D777" i="4"/>
  <c r="C777" i="4"/>
  <c r="B777" i="4"/>
  <c r="N776" i="4"/>
  <c r="M776" i="4"/>
  <c r="L776" i="4"/>
  <c r="H776" i="4"/>
  <c r="I776" i="4" s="1"/>
  <c r="J776" i="4" s="1"/>
  <c r="G776" i="4"/>
  <c r="E776" i="4"/>
  <c r="D776" i="4"/>
  <c r="C776" i="4"/>
  <c r="B776" i="4"/>
  <c r="N775" i="4"/>
  <c r="M775" i="4"/>
  <c r="L775" i="4"/>
  <c r="H775" i="4"/>
  <c r="I775" i="4" s="1"/>
  <c r="J775" i="4" s="1"/>
  <c r="G775" i="4"/>
  <c r="E775" i="4"/>
  <c r="D775" i="4"/>
  <c r="C775" i="4"/>
  <c r="B775" i="4"/>
  <c r="N774" i="4"/>
  <c r="M774" i="4"/>
  <c r="L774" i="4"/>
  <c r="H774" i="4"/>
  <c r="I774" i="4" s="1"/>
  <c r="J774" i="4" s="1"/>
  <c r="G774" i="4"/>
  <c r="E774" i="4"/>
  <c r="D774" i="4"/>
  <c r="C774" i="4"/>
  <c r="B774" i="4"/>
  <c r="N773" i="4"/>
  <c r="M773" i="4"/>
  <c r="L773" i="4"/>
  <c r="H773" i="4"/>
  <c r="I773" i="4" s="1"/>
  <c r="J773" i="4" s="1"/>
  <c r="G773" i="4"/>
  <c r="E773" i="4"/>
  <c r="D773" i="4"/>
  <c r="C773" i="4"/>
  <c r="B773" i="4"/>
  <c r="N772" i="4"/>
  <c r="M772" i="4"/>
  <c r="L772" i="4"/>
  <c r="H772" i="4"/>
  <c r="I772" i="4" s="1"/>
  <c r="J772" i="4" s="1"/>
  <c r="G772" i="4"/>
  <c r="E772" i="4"/>
  <c r="D772" i="4"/>
  <c r="C772" i="4"/>
  <c r="B772" i="4"/>
  <c r="N771" i="4"/>
  <c r="M771" i="4"/>
  <c r="L771" i="4"/>
  <c r="H771" i="4"/>
  <c r="I771" i="4" s="1"/>
  <c r="J771" i="4" s="1"/>
  <c r="G771" i="4"/>
  <c r="E771" i="4"/>
  <c r="D771" i="4"/>
  <c r="C771" i="4"/>
  <c r="B771" i="4"/>
  <c r="N770" i="4"/>
  <c r="M770" i="4"/>
  <c r="L770" i="4"/>
  <c r="H770" i="4"/>
  <c r="I770" i="4" s="1"/>
  <c r="J770" i="4" s="1"/>
  <c r="G770" i="4"/>
  <c r="E770" i="4"/>
  <c r="D770" i="4"/>
  <c r="C770" i="4"/>
  <c r="B770" i="4"/>
  <c r="N769" i="4"/>
  <c r="M769" i="4"/>
  <c r="L769" i="4"/>
  <c r="H769" i="4"/>
  <c r="I769" i="4" s="1"/>
  <c r="J769" i="4" s="1"/>
  <c r="G769" i="4"/>
  <c r="E769" i="4"/>
  <c r="D769" i="4"/>
  <c r="C769" i="4"/>
  <c r="B769" i="4"/>
  <c r="N768" i="4"/>
  <c r="M768" i="4"/>
  <c r="L768" i="4"/>
  <c r="H768" i="4"/>
  <c r="I768" i="4" s="1"/>
  <c r="J768" i="4" s="1"/>
  <c r="G768" i="4"/>
  <c r="E768" i="4"/>
  <c r="D768" i="4"/>
  <c r="C768" i="4"/>
  <c r="B768" i="4"/>
  <c r="N767" i="4"/>
  <c r="M767" i="4"/>
  <c r="L767" i="4"/>
  <c r="H767" i="4"/>
  <c r="I767" i="4" s="1"/>
  <c r="J767" i="4" s="1"/>
  <c r="G767" i="4"/>
  <c r="E767" i="4"/>
  <c r="D767" i="4"/>
  <c r="C767" i="4"/>
  <c r="B767" i="4"/>
  <c r="N766" i="4"/>
  <c r="M766" i="4"/>
  <c r="L766" i="4"/>
  <c r="H766" i="4"/>
  <c r="I766" i="4" s="1"/>
  <c r="J766" i="4" s="1"/>
  <c r="G766" i="4"/>
  <c r="E766" i="4"/>
  <c r="D766" i="4"/>
  <c r="C766" i="4"/>
  <c r="B766" i="4"/>
  <c r="N765" i="4"/>
  <c r="M765" i="4"/>
  <c r="L765" i="4"/>
  <c r="H765" i="4"/>
  <c r="I765" i="4" s="1"/>
  <c r="J765" i="4" s="1"/>
  <c r="G765" i="4"/>
  <c r="E765" i="4"/>
  <c r="D765" i="4"/>
  <c r="C765" i="4"/>
  <c r="B765" i="4"/>
  <c r="N764" i="4"/>
  <c r="M764" i="4"/>
  <c r="L764" i="4"/>
  <c r="H764" i="4"/>
  <c r="I764" i="4" s="1"/>
  <c r="J764" i="4" s="1"/>
  <c r="G764" i="4"/>
  <c r="E764" i="4"/>
  <c r="D764" i="4"/>
  <c r="C764" i="4"/>
  <c r="B764" i="4"/>
  <c r="N763" i="4"/>
  <c r="M763" i="4"/>
  <c r="L763" i="4"/>
  <c r="H763" i="4"/>
  <c r="I763" i="4" s="1"/>
  <c r="J763" i="4" s="1"/>
  <c r="G763" i="4"/>
  <c r="E763" i="4"/>
  <c r="D763" i="4"/>
  <c r="C763" i="4"/>
  <c r="B763" i="4"/>
  <c r="N762" i="4"/>
  <c r="M762" i="4"/>
  <c r="L762" i="4"/>
  <c r="H762" i="4"/>
  <c r="I762" i="4" s="1"/>
  <c r="J762" i="4" s="1"/>
  <c r="G762" i="4"/>
  <c r="E762" i="4"/>
  <c r="D762" i="4"/>
  <c r="C762" i="4"/>
  <c r="B762" i="4"/>
  <c r="N761" i="4"/>
  <c r="M761" i="4"/>
  <c r="L761" i="4"/>
  <c r="H761" i="4"/>
  <c r="I761" i="4" s="1"/>
  <c r="J761" i="4" s="1"/>
  <c r="G761" i="4"/>
  <c r="E761" i="4"/>
  <c r="D761" i="4"/>
  <c r="C761" i="4"/>
  <c r="B761" i="4"/>
  <c r="N760" i="4"/>
  <c r="M760" i="4"/>
  <c r="L760" i="4"/>
  <c r="H760" i="4"/>
  <c r="I760" i="4" s="1"/>
  <c r="J760" i="4" s="1"/>
  <c r="G760" i="4"/>
  <c r="E760" i="4"/>
  <c r="D760" i="4"/>
  <c r="C760" i="4"/>
  <c r="B760" i="4"/>
  <c r="N759" i="4"/>
  <c r="M759" i="4"/>
  <c r="L759" i="4"/>
  <c r="H759" i="4"/>
  <c r="I759" i="4" s="1"/>
  <c r="J759" i="4" s="1"/>
  <c r="G759" i="4"/>
  <c r="E759" i="4"/>
  <c r="D759" i="4"/>
  <c r="C759" i="4"/>
  <c r="B759" i="4"/>
  <c r="N758" i="4"/>
  <c r="M758" i="4"/>
  <c r="L758" i="4"/>
  <c r="H758" i="4"/>
  <c r="I758" i="4" s="1"/>
  <c r="J758" i="4" s="1"/>
  <c r="G758" i="4"/>
  <c r="E758" i="4"/>
  <c r="D758" i="4"/>
  <c r="C758" i="4"/>
  <c r="B758" i="4"/>
  <c r="N757" i="4"/>
  <c r="M757" i="4"/>
  <c r="L757" i="4"/>
  <c r="H757" i="4"/>
  <c r="I757" i="4" s="1"/>
  <c r="J757" i="4" s="1"/>
  <c r="G757" i="4"/>
  <c r="E757" i="4"/>
  <c r="D757" i="4"/>
  <c r="C757" i="4"/>
  <c r="B757" i="4"/>
  <c r="N756" i="4"/>
  <c r="M756" i="4"/>
  <c r="L756" i="4"/>
  <c r="H756" i="4"/>
  <c r="I756" i="4" s="1"/>
  <c r="J756" i="4" s="1"/>
  <c r="G756" i="4"/>
  <c r="E756" i="4"/>
  <c r="D756" i="4"/>
  <c r="C756" i="4"/>
  <c r="B756" i="4"/>
  <c r="N755" i="4"/>
  <c r="M755" i="4"/>
  <c r="L755" i="4"/>
  <c r="H755" i="4"/>
  <c r="I755" i="4" s="1"/>
  <c r="J755" i="4" s="1"/>
  <c r="G755" i="4"/>
  <c r="E755" i="4"/>
  <c r="D755" i="4"/>
  <c r="C755" i="4"/>
  <c r="B755" i="4"/>
  <c r="N754" i="4"/>
  <c r="M754" i="4"/>
  <c r="L754" i="4"/>
  <c r="H754" i="4"/>
  <c r="I754" i="4" s="1"/>
  <c r="J754" i="4" s="1"/>
  <c r="G754" i="4"/>
  <c r="E754" i="4"/>
  <c r="D754" i="4"/>
  <c r="C754" i="4"/>
  <c r="B754" i="4"/>
  <c r="N753" i="4"/>
  <c r="M753" i="4"/>
  <c r="L753" i="4"/>
  <c r="H753" i="4"/>
  <c r="I753" i="4" s="1"/>
  <c r="J753" i="4" s="1"/>
  <c r="G753" i="4"/>
  <c r="E753" i="4"/>
  <c r="D753" i="4"/>
  <c r="C753" i="4"/>
  <c r="B753" i="4"/>
  <c r="N752" i="4"/>
  <c r="M752" i="4"/>
  <c r="L752" i="4"/>
  <c r="H752" i="4"/>
  <c r="I752" i="4" s="1"/>
  <c r="J752" i="4" s="1"/>
  <c r="G752" i="4"/>
  <c r="E752" i="4"/>
  <c r="D752" i="4"/>
  <c r="C752" i="4"/>
  <c r="B752" i="4"/>
  <c r="L751" i="4"/>
  <c r="H751" i="4"/>
  <c r="I751" i="4" s="1"/>
  <c r="J751" i="4" s="1"/>
  <c r="G751" i="4"/>
  <c r="E751" i="4"/>
  <c r="D751" i="4"/>
  <c r="C751" i="4"/>
  <c r="B751" i="4"/>
  <c r="L750" i="4"/>
  <c r="H750" i="4"/>
  <c r="I750" i="4" s="1"/>
  <c r="J750" i="4" s="1"/>
  <c r="G750" i="4"/>
  <c r="E750" i="4"/>
  <c r="D750" i="4"/>
  <c r="C750" i="4"/>
  <c r="B750" i="4"/>
  <c r="L749" i="4"/>
  <c r="H749" i="4"/>
  <c r="I749" i="4" s="1"/>
  <c r="J749" i="4" s="1"/>
  <c r="G749" i="4"/>
  <c r="E749" i="4"/>
  <c r="D749" i="4"/>
  <c r="C749" i="4"/>
  <c r="B749" i="4"/>
  <c r="L748" i="4"/>
  <c r="H748" i="4"/>
  <c r="I748" i="4" s="1"/>
  <c r="J748" i="4" s="1"/>
  <c r="G748" i="4"/>
  <c r="E748" i="4"/>
  <c r="D748" i="4"/>
  <c r="C748" i="4"/>
  <c r="B748" i="4"/>
  <c r="L747" i="4"/>
  <c r="H747" i="4"/>
  <c r="I747" i="4" s="1"/>
  <c r="J747" i="4" s="1"/>
  <c r="G747" i="4"/>
  <c r="E747" i="4"/>
  <c r="D747" i="4"/>
  <c r="C747" i="4"/>
  <c r="B747" i="4"/>
  <c r="L746" i="4"/>
  <c r="H746" i="4"/>
  <c r="I746" i="4" s="1"/>
  <c r="J746" i="4" s="1"/>
  <c r="G746" i="4"/>
  <c r="E746" i="4"/>
  <c r="D746" i="4"/>
  <c r="C746" i="4"/>
  <c r="B746" i="4"/>
  <c r="L745" i="4"/>
  <c r="H745" i="4"/>
  <c r="I745" i="4" s="1"/>
  <c r="J745" i="4" s="1"/>
  <c r="G745" i="4"/>
  <c r="E745" i="4"/>
  <c r="D745" i="4"/>
  <c r="C745" i="4"/>
  <c r="B745" i="4"/>
  <c r="L744" i="4"/>
  <c r="H744" i="4"/>
  <c r="I744" i="4" s="1"/>
  <c r="J744" i="4" s="1"/>
  <c r="G744" i="4"/>
  <c r="E744" i="4"/>
  <c r="D744" i="4"/>
  <c r="C744" i="4"/>
  <c r="B744" i="4"/>
  <c r="L743" i="4"/>
  <c r="H743" i="4"/>
  <c r="I743" i="4" s="1"/>
  <c r="J743" i="4" s="1"/>
  <c r="G743" i="4"/>
  <c r="E743" i="4"/>
  <c r="D743" i="4"/>
  <c r="C743" i="4"/>
  <c r="B743" i="4"/>
  <c r="L742" i="4"/>
  <c r="H742" i="4"/>
  <c r="I742" i="4" s="1"/>
  <c r="J742" i="4" s="1"/>
  <c r="G742" i="4"/>
  <c r="E742" i="4"/>
  <c r="D742" i="4"/>
  <c r="C742" i="4"/>
  <c r="B742" i="4"/>
  <c r="L741" i="4"/>
  <c r="H741" i="4"/>
  <c r="I741" i="4" s="1"/>
  <c r="J741" i="4" s="1"/>
  <c r="G741" i="4"/>
  <c r="E741" i="4"/>
  <c r="D741" i="4"/>
  <c r="C741" i="4"/>
  <c r="B741" i="4"/>
  <c r="L740" i="4"/>
  <c r="H740" i="4"/>
  <c r="I740" i="4" s="1"/>
  <c r="J740" i="4" s="1"/>
  <c r="G740" i="4"/>
  <c r="E740" i="4"/>
  <c r="D740" i="4"/>
  <c r="C740" i="4"/>
  <c r="B740" i="4"/>
  <c r="L739" i="4"/>
  <c r="H739" i="4"/>
  <c r="I739" i="4" s="1"/>
  <c r="J739" i="4" s="1"/>
  <c r="G739" i="4"/>
  <c r="E739" i="4"/>
  <c r="D739" i="4"/>
  <c r="C739" i="4"/>
  <c r="B739" i="4"/>
  <c r="L738" i="4"/>
  <c r="H738" i="4"/>
  <c r="I738" i="4" s="1"/>
  <c r="J738" i="4" s="1"/>
  <c r="G738" i="4"/>
  <c r="E738" i="4"/>
  <c r="D738" i="4"/>
  <c r="C738" i="4"/>
  <c r="B738" i="4"/>
  <c r="L737" i="4"/>
  <c r="H737" i="4"/>
  <c r="I737" i="4" s="1"/>
  <c r="J737" i="4" s="1"/>
  <c r="G737" i="4"/>
  <c r="E737" i="4"/>
  <c r="D737" i="4"/>
  <c r="C737" i="4"/>
  <c r="B737" i="4"/>
  <c r="L736" i="4"/>
  <c r="H736" i="4"/>
  <c r="I736" i="4" s="1"/>
  <c r="J736" i="4" s="1"/>
  <c r="G736" i="4"/>
  <c r="E736" i="4"/>
  <c r="D736" i="4"/>
  <c r="C736" i="4"/>
  <c r="B736" i="4"/>
  <c r="L735" i="4"/>
  <c r="H735" i="4"/>
  <c r="I735" i="4" s="1"/>
  <c r="J735" i="4" s="1"/>
  <c r="G735" i="4"/>
  <c r="E735" i="4"/>
  <c r="D735" i="4"/>
  <c r="C735" i="4"/>
  <c r="B735" i="4"/>
  <c r="L734" i="4"/>
  <c r="H734" i="4"/>
  <c r="I734" i="4" s="1"/>
  <c r="J734" i="4" s="1"/>
  <c r="G734" i="4"/>
  <c r="E734" i="4"/>
  <c r="D734" i="4"/>
  <c r="C734" i="4"/>
  <c r="B734" i="4"/>
  <c r="L733" i="4"/>
  <c r="H733" i="4"/>
  <c r="I733" i="4" s="1"/>
  <c r="J733" i="4" s="1"/>
  <c r="G733" i="4"/>
  <c r="E733" i="4"/>
  <c r="D733" i="4"/>
  <c r="C733" i="4"/>
  <c r="B733" i="4"/>
  <c r="L732" i="4"/>
  <c r="H732" i="4"/>
  <c r="I732" i="4" s="1"/>
  <c r="J732" i="4" s="1"/>
  <c r="G732" i="4"/>
  <c r="E732" i="4"/>
  <c r="D732" i="4"/>
  <c r="C732" i="4"/>
  <c r="B732" i="4"/>
  <c r="L731" i="4"/>
  <c r="H731" i="4"/>
  <c r="I731" i="4" s="1"/>
  <c r="J731" i="4" s="1"/>
  <c r="G731" i="4"/>
  <c r="E731" i="4"/>
  <c r="D731" i="4"/>
  <c r="C731" i="4"/>
  <c r="B731" i="4"/>
  <c r="L730" i="4"/>
  <c r="H730" i="4"/>
  <c r="I730" i="4" s="1"/>
  <c r="J730" i="4" s="1"/>
  <c r="G730" i="4"/>
  <c r="E730" i="4"/>
  <c r="D730" i="4"/>
  <c r="C730" i="4"/>
  <c r="B730" i="4"/>
  <c r="L729" i="4"/>
  <c r="H729" i="4"/>
  <c r="I729" i="4" s="1"/>
  <c r="J729" i="4" s="1"/>
  <c r="G729" i="4"/>
  <c r="E729" i="4"/>
  <c r="D729" i="4"/>
  <c r="C729" i="4"/>
  <c r="B729" i="4"/>
  <c r="L728" i="4"/>
  <c r="H728" i="4"/>
  <c r="I728" i="4" s="1"/>
  <c r="J728" i="4" s="1"/>
  <c r="G728" i="4"/>
  <c r="E728" i="4"/>
  <c r="D728" i="4"/>
  <c r="C728" i="4"/>
  <c r="B728" i="4"/>
  <c r="L727" i="4"/>
  <c r="H727" i="4"/>
  <c r="I727" i="4" s="1"/>
  <c r="J727" i="4" s="1"/>
  <c r="G727" i="4"/>
  <c r="E727" i="4"/>
  <c r="D727" i="4"/>
  <c r="C727" i="4"/>
  <c r="B727" i="4"/>
  <c r="L726" i="4"/>
  <c r="H726" i="4"/>
  <c r="I726" i="4" s="1"/>
  <c r="J726" i="4" s="1"/>
  <c r="G726" i="4"/>
  <c r="E726" i="4"/>
  <c r="D726" i="4"/>
  <c r="C726" i="4"/>
  <c r="B726" i="4"/>
  <c r="L725" i="4"/>
  <c r="H725" i="4"/>
  <c r="I725" i="4" s="1"/>
  <c r="J725" i="4" s="1"/>
  <c r="G725" i="4"/>
  <c r="E725" i="4"/>
  <c r="D725" i="4"/>
  <c r="C725" i="4"/>
  <c r="B725" i="4"/>
  <c r="L724" i="4"/>
  <c r="H724" i="4"/>
  <c r="I724" i="4" s="1"/>
  <c r="J724" i="4" s="1"/>
  <c r="G724" i="4"/>
  <c r="E724" i="4"/>
  <c r="D724" i="4"/>
  <c r="C724" i="4"/>
  <c r="B724" i="4"/>
  <c r="L723" i="4"/>
  <c r="H723" i="4"/>
  <c r="I723" i="4" s="1"/>
  <c r="J723" i="4" s="1"/>
  <c r="G723" i="4"/>
  <c r="E723" i="4"/>
  <c r="D723" i="4"/>
  <c r="C723" i="4"/>
  <c r="B723" i="4"/>
  <c r="L722" i="4"/>
  <c r="H722" i="4"/>
  <c r="I722" i="4" s="1"/>
  <c r="J722" i="4" s="1"/>
  <c r="G722" i="4"/>
  <c r="E722" i="4"/>
  <c r="D722" i="4"/>
  <c r="C722" i="4"/>
  <c r="B722" i="4"/>
  <c r="L721" i="4"/>
  <c r="H721" i="4"/>
  <c r="I721" i="4" s="1"/>
  <c r="J721" i="4" s="1"/>
  <c r="G721" i="4"/>
  <c r="E721" i="4"/>
  <c r="D721" i="4"/>
  <c r="C721" i="4"/>
  <c r="B721" i="4"/>
  <c r="L720" i="4"/>
  <c r="H720" i="4"/>
  <c r="I720" i="4" s="1"/>
  <c r="J720" i="4" s="1"/>
  <c r="G720" i="4"/>
  <c r="E720" i="4"/>
  <c r="D720" i="4"/>
  <c r="C720" i="4"/>
  <c r="B720" i="4"/>
  <c r="L719" i="4"/>
  <c r="H719" i="4"/>
  <c r="I719" i="4" s="1"/>
  <c r="J719" i="4" s="1"/>
  <c r="G719" i="4"/>
  <c r="E719" i="4"/>
  <c r="D719" i="4"/>
  <c r="C719" i="4"/>
  <c r="B719" i="4"/>
  <c r="L718" i="4"/>
  <c r="H718" i="4"/>
  <c r="I718" i="4" s="1"/>
  <c r="J718" i="4" s="1"/>
  <c r="G718" i="4"/>
  <c r="E718" i="4"/>
  <c r="D718" i="4"/>
  <c r="C718" i="4"/>
  <c r="B718" i="4"/>
  <c r="L717" i="4"/>
  <c r="H717" i="4"/>
  <c r="I717" i="4" s="1"/>
  <c r="J717" i="4" s="1"/>
  <c r="G717" i="4"/>
  <c r="E717" i="4"/>
  <c r="D717" i="4"/>
  <c r="C717" i="4"/>
  <c r="B717" i="4"/>
  <c r="L716" i="4"/>
  <c r="H716" i="4"/>
  <c r="I716" i="4" s="1"/>
  <c r="J716" i="4" s="1"/>
  <c r="G716" i="4"/>
  <c r="E716" i="4"/>
  <c r="D716" i="4"/>
  <c r="C716" i="4"/>
  <c r="B716" i="4"/>
  <c r="L715" i="4"/>
  <c r="H715" i="4"/>
  <c r="I715" i="4" s="1"/>
  <c r="J715" i="4" s="1"/>
  <c r="G715" i="4"/>
  <c r="E715" i="4"/>
  <c r="D715" i="4"/>
  <c r="C715" i="4"/>
  <c r="B715" i="4"/>
  <c r="L714" i="4"/>
  <c r="H714" i="4"/>
  <c r="I714" i="4" s="1"/>
  <c r="J714" i="4" s="1"/>
  <c r="G714" i="4"/>
  <c r="E714" i="4"/>
  <c r="D714" i="4"/>
  <c r="C714" i="4"/>
  <c r="B714" i="4"/>
  <c r="L713" i="4"/>
  <c r="H713" i="4"/>
  <c r="I713" i="4" s="1"/>
  <c r="J713" i="4" s="1"/>
  <c r="G713" i="4"/>
  <c r="E713" i="4"/>
  <c r="D713" i="4"/>
  <c r="C713" i="4"/>
  <c r="B713" i="4"/>
  <c r="L712" i="4"/>
  <c r="H712" i="4"/>
  <c r="I712" i="4" s="1"/>
  <c r="J712" i="4" s="1"/>
  <c r="G712" i="4"/>
  <c r="E712" i="4"/>
  <c r="D712" i="4"/>
  <c r="C712" i="4"/>
  <c r="B712" i="4"/>
  <c r="L711" i="4"/>
  <c r="H711" i="4"/>
  <c r="I711" i="4" s="1"/>
  <c r="J711" i="4" s="1"/>
  <c r="G711" i="4"/>
  <c r="E711" i="4"/>
  <c r="D711" i="4"/>
  <c r="C711" i="4"/>
  <c r="B711" i="4"/>
  <c r="L710" i="4"/>
  <c r="H710" i="4"/>
  <c r="I710" i="4" s="1"/>
  <c r="J710" i="4" s="1"/>
  <c r="G710" i="4"/>
  <c r="E710" i="4"/>
  <c r="D710" i="4"/>
  <c r="C710" i="4"/>
  <c r="B710" i="4"/>
  <c r="L709" i="4"/>
  <c r="H709" i="4"/>
  <c r="I709" i="4" s="1"/>
  <c r="J709" i="4" s="1"/>
  <c r="G709" i="4"/>
  <c r="E709" i="4"/>
  <c r="D709" i="4"/>
  <c r="C709" i="4"/>
  <c r="B709" i="4"/>
  <c r="L708" i="4"/>
  <c r="H708" i="4"/>
  <c r="I708" i="4" s="1"/>
  <c r="J708" i="4" s="1"/>
  <c r="G708" i="4"/>
  <c r="E708" i="4"/>
  <c r="D708" i="4"/>
  <c r="C708" i="4"/>
  <c r="B708" i="4"/>
  <c r="L707" i="4"/>
  <c r="H707" i="4"/>
  <c r="I707" i="4" s="1"/>
  <c r="J707" i="4" s="1"/>
  <c r="G707" i="4"/>
  <c r="E707" i="4"/>
  <c r="D707" i="4"/>
  <c r="C707" i="4"/>
  <c r="B707" i="4"/>
  <c r="L706" i="4"/>
  <c r="H706" i="4"/>
  <c r="I706" i="4" s="1"/>
  <c r="J706" i="4" s="1"/>
  <c r="G706" i="4"/>
  <c r="E706" i="4"/>
  <c r="D706" i="4"/>
  <c r="C706" i="4"/>
  <c r="B706" i="4"/>
  <c r="L705" i="4"/>
  <c r="H705" i="4"/>
  <c r="I705" i="4" s="1"/>
  <c r="J705" i="4" s="1"/>
  <c r="G705" i="4"/>
  <c r="E705" i="4"/>
  <c r="D705" i="4"/>
  <c r="C705" i="4"/>
  <c r="B705" i="4"/>
  <c r="L704" i="4"/>
  <c r="H704" i="4"/>
  <c r="I704" i="4" s="1"/>
  <c r="J704" i="4" s="1"/>
  <c r="G704" i="4"/>
  <c r="E704" i="4"/>
  <c r="D704" i="4"/>
  <c r="C704" i="4"/>
  <c r="B704" i="4"/>
  <c r="L703" i="4"/>
  <c r="H703" i="4"/>
  <c r="I703" i="4" s="1"/>
  <c r="J703" i="4" s="1"/>
  <c r="G703" i="4"/>
  <c r="E703" i="4"/>
  <c r="D703" i="4"/>
  <c r="C703" i="4"/>
  <c r="B703" i="4"/>
  <c r="L702" i="4"/>
  <c r="H702" i="4"/>
  <c r="I702" i="4" s="1"/>
  <c r="J702" i="4" s="1"/>
  <c r="G702" i="4"/>
  <c r="E702" i="4"/>
  <c r="D702" i="4"/>
  <c r="C702" i="4"/>
  <c r="B702" i="4"/>
  <c r="L701" i="4"/>
  <c r="H701" i="4"/>
  <c r="I701" i="4" s="1"/>
  <c r="J701" i="4" s="1"/>
  <c r="G701" i="4"/>
  <c r="E701" i="4"/>
  <c r="D701" i="4"/>
  <c r="C701" i="4"/>
  <c r="B701" i="4"/>
  <c r="L700" i="4"/>
  <c r="H700" i="4"/>
  <c r="I700" i="4" s="1"/>
  <c r="J700" i="4" s="1"/>
  <c r="G700" i="4"/>
  <c r="E700" i="4"/>
  <c r="D700" i="4"/>
  <c r="C700" i="4"/>
  <c r="B700" i="4"/>
  <c r="L699" i="4"/>
  <c r="H699" i="4"/>
  <c r="I699" i="4" s="1"/>
  <c r="J699" i="4" s="1"/>
  <c r="G699" i="4"/>
  <c r="E699" i="4"/>
  <c r="D699" i="4"/>
  <c r="C699" i="4"/>
  <c r="B699" i="4"/>
  <c r="L698" i="4"/>
  <c r="H698" i="4"/>
  <c r="I698" i="4" s="1"/>
  <c r="J698" i="4" s="1"/>
  <c r="G698" i="4"/>
  <c r="E698" i="4"/>
  <c r="D698" i="4"/>
  <c r="C698" i="4"/>
  <c r="B698" i="4"/>
  <c r="L697" i="4"/>
  <c r="H697" i="4"/>
  <c r="I697" i="4" s="1"/>
  <c r="J697" i="4" s="1"/>
  <c r="G697" i="4"/>
  <c r="E697" i="4"/>
  <c r="D697" i="4"/>
  <c r="C697" i="4"/>
  <c r="B697" i="4"/>
  <c r="L696" i="4"/>
  <c r="H696" i="4"/>
  <c r="I696" i="4" s="1"/>
  <c r="J696" i="4" s="1"/>
  <c r="G696" i="4"/>
  <c r="E696" i="4"/>
  <c r="D696" i="4"/>
  <c r="C696" i="4"/>
  <c r="B696" i="4"/>
  <c r="L695" i="4"/>
  <c r="H695" i="4"/>
  <c r="I695" i="4" s="1"/>
  <c r="J695" i="4" s="1"/>
  <c r="G695" i="4"/>
  <c r="E695" i="4"/>
  <c r="D695" i="4"/>
  <c r="C695" i="4"/>
  <c r="B695" i="4"/>
  <c r="L694" i="4"/>
  <c r="H694" i="4"/>
  <c r="I694" i="4" s="1"/>
  <c r="J694" i="4" s="1"/>
  <c r="G694" i="4"/>
  <c r="E694" i="4"/>
  <c r="D694" i="4"/>
  <c r="C694" i="4"/>
  <c r="B694" i="4"/>
  <c r="L693" i="4"/>
  <c r="H693" i="4"/>
  <c r="I693" i="4" s="1"/>
  <c r="J693" i="4" s="1"/>
  <c r="G693" i="4"/>
  <c r="E693" i="4"/>
  <c r="D693" i="4"/>
  <c r="C693" i="4"/>
  <c r="B693" i="4"/>
  <c r="L692" i="4"/>
  <c r="H692" i="4"/>
  <c r="I692" i="4" s="1"/>
  <c r="J692" i="4" s="1"/>
  <c r="G692" i="4"/>
  <c r="E692" i="4"/>
  <c r="D692" i="4"/>
  <c r="C692" i="4"/>
  <c r="B692" i="4"/>
  <c r="L691" i="4"/>
  <c r="H691" i="4"/>
  <c r="I691" i="4" s="1"/>
  <c r="J691" i="4" s="1"/>
  <c r="G691" i="4"/>
  <c r="E691" i="4"/>
  <c r="D691" i="4"/>
  <c r="C691" i="4"/>
  <c r="B691" i="4"/>
  <c r="L690" i="4"/>
  <c r="H690" i="4"/>
  <c r="I690" i="4" s="1"/>
  <c r="J690" i="4" s="1"/>
  <c r="G690" i="4"/>
  <c r="E690" i="4"/>
  <c r="D690" i="4"/>
  <c r="C690" i="4"/>
  <c r="B690" i="4"/>
  <c r="L689" i="4"/>
  <c r="H689" i="4"/>
  <c r="I689" i="4" s="1"/>
  <c r="J689" i="4" s="1"/>
  <c r="G689" i="4"/>
  <c r="E689" i="4"/>
  <c r="D689" i="4"/>
  <c r="C689" i="4"/>
  <c r="B689" i="4"/>
  <c r="L688" i="4"/>
  <c r="H688" i="4"/>
  <c r="I688" i="4" s="1"/>
  <c r="J688" i="4" s="1"/>
  <c r="G688" i="4"/>
  <c r="E688" i="4"/>
  <c r="D688" i="4"/>
  <c r="C688" i="4"/>
  <c r="B688" i="4"/>
  <c r="L687" i="4"/>
  <c r="H687" i="4"/>
  <c r="I687" i="4" s="1"/>
  <c r="J687" i="4" s="1"/>
  <c r="G687" i="4"/>
  <c r="E687" i="4"/>
  <c r="D687" i="4"/>
  <c r="C687" i="4"/>
  <c r="B687" i="4"/>
  <c r="L686" i="4"/>
  <c r="H686" i="4"/>
  <c r="I686" i="4" s="1"/>
  <c r="J686" i="4" s="1"/>
  <c r="G686" i="4"/>
  <c r="E686" i="4"/>
  <c r="D686" i="4"/>
  <c r="C686" i="4"/>
  <c r="B686" i="4"/>
  <c r="L685" i="4"/>
  <c r="H685" i="4"/>
  <c r="I685" i="4" s="1"/>
  <c r="G685" i="4"/>
  <c r="E685" i="4"/>
  <c r="D685" i="4"/>
  <c r="C685" i="4"/>
  <c r="B685" i="4"/>
  <c r="L684" i="4"/>
  <c r="H684" i="4"/>
  <c r="I684" i="4" s="1"/>
  <c r="J684" i="4" s="1"/>
  <c r="G684" i="4"/>
  <c r="E684" i="4"/>
  <c r="D684" i="4"/>
  <c r="C684" i="4"/>
  <c r="B684" i="4"/>
  <c r="L683" i="4"/>
  <c r="H683" i="4"/>
  <c r="I683" i="4" s="1"/>
  <c r="J683" i="4" s="1"/>
  <c r="G683" i="4"/>
  <c r="E683" i="4"/>
  <c r="D683" i="4"/>
  <c r="C683" i="4"/>
  <c r="B683" i="4"/>
  <c r="L682" i="4"/>
  <c r="H682" i="4"/>
  <c r="I682" i="4" s="1"/>
  <c r="G682" i="4"/>
  <c r="E682" i="4"/>
  <c r="D682" i="4"/>
  <c r="C682" i="4"/>
  <c r="B682" i="4"/>
  <c r="L681" i="4"/>
  <c r="H681" i="4"/>
  <c r="I681" i="4" s="1"/>
  <c r="J681" i="4" s="1"/>
  <c r="G681" i="4"/>
  <c r="E681" i="4"/>
  <c r="D681" i="4"/>
  <c r="C681" i="4"/>
  <c r="B681" i="4"/>
  <c r="L680" i="4"/>
  <c r="H680" i="4"/>
  <c r="I680" i="4" s="1"/>
  <c r="J680" i="4" s="1"/>
  <c r="G680" i="4"/>
  <c r="E680" i="4"/>
  <c r="D680" i="4"/>
  <c r="C680" i="4"/>
  <c r="B680" i="4"/>
  <c r="L679" i="4"/>
  <c r="H679" i="4"/>
  <c r="I679" i="4" s="1"/>
  <c r="J679" i="4" s="1"/>
  <c r="G679" i="4"/>
  <c r="E679" i="4"/>
  <c r="D679" i="4"/>
  <c r="C679" i="4"/>
  <c r="B679" i="4"/>
  <c r="L678" i="4"/>
  <c r="H678" i="4"/>
  <c r="I678" i="4" s="1"/>
  <c r="J678" i="4" s="1"/>
  <c r="G678" i="4"/>
  <c r="E678" i="4"/>
  <c r="D678" i="4"/>
  <c r="C678" i="4"/>
  <c r="B678" i="4"/>
  <c r="L677" i="4"/>
  <c r="H677" i="4"/>
  <c r="I677" i="4" s="1"/>
  <c r="J677" i="4" s="1"/>
  <c r="G677" i="4"/>
  <c r="E677" i="4"/>
  <c r="D677" i="4"/>
  <c r="C677" i="4"/>
  <c r="B677" i="4"/>
  <c r="L676" i="4"/>
  <c r="H676" i="4"/>
  <c r="I676" i="4" s="1"/>
  <c r="J676" i="4" s="1"/>
  <c r="G676" i="4"/>
  <c r="E676" i="4"/>
  <c r="D676" i="4"/>
  <c r="C676" i="4"/>
  <c r="B676" i="4"/>
  <c r="L675" i="4"/>
  <c r="H675" i="4"/>
  <c r="I675" i="4" s="1"/>
  <c r="J675" i="4" s="1"/>
  <c r="G675" i="4"/>
  <c r="E675" i="4"/>
  <c r="D675" i="4"/>
  <c r="C675" i="4"/>
  <c r="B675" i="4"/>
  <c r="L674" i="4"/>
  <c r="H674" i="4"/>
  <c r="I674" i="4" s="1"/>
  <c r="J674" i="4" s="1"/>
  <c r="G674" i="4"/>
  <c r="E674" i="4"/>
  <c r="D674" i="4"/>
  <c r="C674" i="4"/>
  <c r="B674" i="4"/>
  <c r="L673" i="4"/>
  <c r="H673" i="4"/>
  <c r="I673" i="4" s="1"/>
  <c r="J673" i="4" s="1"/>
  <c r="G673" i="4"/>
  <c r="E673" i="4"/>
  <c r="D673" i="4"/>
  <c r="C673" i="4"/>
  <c r="B673" i="4"/>
  <c r="L672" i="4"/>
  <c r="H672" i="4"/>
  <c r="I672" i="4" s="1"/>
  <c r="J672" i="4" s="1"/>
  <c r="G672" i="4"/>
  <c r="E672" i="4"/>
  <c r="D672" i="4"/>
  <c r="C672" i="4"/>
  <c r="B672" i="4"/>
  <c r="L671" i="4"/>
  <c r="H671" i="4"/>
  <c r="I671" i="4" s="1"/>
  <c r="J671" i="4" s="1"/>
  <c r="G671" i="4"/>
  <c r="E671" i="4"/>
  <c r="D671" i="4"/>
  <c r="C671" i="4"/>
  <c r="B671" i="4"/>
  <c r="L670" i="4"/>
  <c r="H670" i="4"/>
  <c r="I670" i="4" s="1"/>
  <c r="J670" i="4" s="1"/>
  <c r="G670" i="4"/>
  <c r="E670" i="4"/>
  <c r="D670" i="4"/>
  <c r="C670" i="4"/>
  <c r="B670" i="4"/>
  <c r="L669" i="4"/>
  <c r="H669" i="4"/>
  <c r="I669" i="4" s="1"/>
  <c r="G669" i="4"/>
  <c r="E669" i="4"/>
  <c r="D669" i="4"/>
  <c r="C669" i="4"/>
  <c r="B669" i="4"/>
  <c r="L668" i="4"/>
  <c r="H668" i="4"/>
  <c r="I668" i="4" s="1"/>
  <c r="G668" i="4"/>
  <c r="E668" i="4"/>
  <c r="D668" i="4"/>
  <c r="C668" i="4"/>
  <c r="B668" i="4"/>
  <c r="L667" i="4"/>
  <c r="H667" i="4"/>
  <c r="I667" i="4" s="1"/>
  <c r="J667" i="4" s="1"/>
  <c r="G667" i="4"/>
  <c r="E667" i="4"/>
  <c r="D667" i="4"/>
  <c r="C667" i="4"/>
  <c r="B667" i="4"/>
  <c r="L666" i="4"/>
  <c r="H666" i="4"/>
  <c r="I666" i="4" s="1"/>
  <c r="J666" i="4" s="1"/>
  <c r="G666" i="4"/>
  <c r="E666" i="4"/>
  <c r="D666" i="4"/>
  <c r="C666" i="4"/>
  <c r="B666" i="4"/>
  <c r="L665" i="4"/>
  <c r="H665" i="4"/>
  <c r="I665" i="4" s="1"/>
  <c r="G665" i="4"/>
  <c r="E665" i="4"/>
  <c r="D665" i="4"/>
  <c r="C665" i="4"/>
  <c r="B665" i="4"/>
  <c r="L664" i="4"/>
  <c r="H664" i="4"/>
  <c r="I664" i="4" s="1"/>
  <c r="G664" i="4"/>
  <c r="E664" i="4"/>
  <c r="D664" i="4"/>
  <c r="C664" i="4"/>
  <c r="B664" i="4"/>
  <c r="L663" i="4"/>
  <c r="H663" i="4"/>
  <c r="I663" i="4" s="1"/>
  <c r="J663" i="4" s="1"/>
  <c r="G663" i="4"/>
  <c r="E663" i="4"/>
  <c r="D663" i="4"/>
  <c r="C663" i="4"/>
  <c r="B663" i="4"/>
  <c r="L662" i="4"/>
  <c r="H662" i="4"/>
  <c r="I662" i="4" s="1"/>
  <c r="G662" i="4"/>
  <c r="E662" i="4"/>
  <c r="D662" i="4"/>
  <c r="C662" i="4"/>
  <c r="B662" i="4"/>
  <c r="L661" i="4"/>
  <c r="H661" i="4"/>
  <c r="I661" i="4" s="1"/>
  <c r="J661" i="4" s="1"/>
  <c r="G661" i="4"/>
  <c r="E661" i="4"/>
  <c r="D661" i="4"/>
  <c r="C661" i="4"/>
  <c r="B661" i="4"/>
  <c r="L660" i="4"/>
  <c r="H660" i="4"/>
  <c r="I660" i="4" s="1"/>
  <c r="G660" i="4"/>
  <c r="E660" i="4"/>
  <c r="D660" i="4"/>
  <c r="C660" i="4"/>
  <c r="B660" i="4"/>
  <c r="L659" i="4"/>
  <c r="H659" i="4"/>
  <c r="I659" i="4" s="1"/>
  <c r="G659" i="4"/>
  <c r="E659" i="4"/>
  <c r="D659" i="4"/>
  <c r="C659" i="4"/>
  <c r="B659" i="4"/>
  <c r="L658" i="4"/>
  <c r="H658" i="4"/>
  <c r="I658" i="4" s="1"/>
  <c r="G658" i="4"/>
  <c r="E658" i="4"/>
  <c r="D658" i="4"/>
  <c r="C658" i="4"/>
  <c r="B658" i="4"/>
  <c r="L657" i="4"/>
  <c r="H657" i="4"/>
  <c r="I657" i="4" s="1"/>
  <c r="G657" i="4"/>
  <c r="E657" i="4"/>
  <c r="D657" i="4"/>
  <c r="C657" i="4"/>
  <c r="B657" i="4"/>
  <c r="L656" i="4"/>
  <c r="H656" i="4"/>
  <c r="I656" i="4" s="1"/>
  <c r="J656" i="4" s="1"/>
  <c r="G656" i="4"/>
  <c r="E656" i="4"/>
  <c r="D656" i="4"/>
  <c r="C656" i="4"/>
  <c r="B656" i="4"/>
  <c r="L655" i="4"/>
  <c r="H655" i="4"/>
  <c r="I655" i="4" s="1"/>
  <c r="J655" i="4" s="1"/>
  <c r="G655" i="4"/>
  <c r="E655" i="4"/>
  <c r="D655" i="4"/>
  <c r="C655" i="4"/>
  <c r="B655" i="4"/>
  <c r="L654" i="4"/>
  <c r="H654" i="4"/>
  <c r="I654" i="4" s="1"/>
  <c r="J654" i="4" s="1"/>
  <c r="G654" i="4"/>
  <c r="E654" i="4"/>
  <c r="D654" i="4"/>
  <c r="C654" i="4"/>
  <c r="B654" i="4"/>
  <c r="L653" i="4"/>
  <c r="H653" i="4"/>
  <c r="I653" i="4" s="1"/>
  <c r="G653" i="4"/>
  <c r="E653" i="4"/>
  <c r="D653" i="4"/>
  <c r="C653" i="4"/>
  <c r="B653" i="4"/>
  <c r="L652" i="4"/>
  <c r="H652" i="4"/>
  <c r="I652" i="4" s="1"/>
  <c r="J652" i="4" s="1"/>
  <c r="G652" i="4"/>
  <c r="E652" i="4"/>
  <c r="D652" i="4"/>
  <c r="C652" i="4"/>
  <c r="B652" i="4"/>
  <c r="L651" i="4"/>
  <c r="H651" i="4"/>
  <c r="I651" i="4" s="1"/>
  <c r="J651" i="4" s="1"/>
  <c r="G651" i="4"/>
  <c r="E651" i="4"/>
  <c r="D651" i="4"/>
  <c r="C651" i="4"/>
  <c r="B651" i="4"/>
  <c r="L650" i="4"/>
  <c r="H650" i="4"/>
  <c r="I650" i="4" s="1"/>
  <c r="J650" i="4" s="1"/>
  <c r="G650" i="4"/>
  <c r="E650" i="4"/>
  <c r="D650" i="4"/>
  <c r="C650" i="4"/>
  <c r="B650" i="4"/>
  <c r="L649" i="4"/>
  <c r="H649" i="4"/>
  <c r="I649" i="4" s="1"/>
  <c r="J649" i="4" s="1"/>
  <c r="G649" i="4"/>
  <c r="E649" i="4"/>
  <c r="D649" i="4"/>
  <c r="C649" i="4"/>
  <c r="B649" i="4"/>
  <c r="L648" i="4"/>
  <c r="H648" i="4"/>
  <c r="I648" i="4" s="1"/>
  <c r="J648" i="4" s="1"/>
  <c r="G648" i="4"/>
  <c r="E648" i="4"/>
  <c r="D648" i="4"/>
  <c r="C648" i="4"/>
  <c r="B648" i="4"/>
  <c r="L647" i="4"/>
  <c r="H647" i="4"/>
  <c r="I647" i="4" s="1"/>
  <c r="J647" i="4" s="1"/>
  <c r="G647" i="4"/>
  <c r="E647" i="4"/>
  <c r="D647" i="4"/>
  <c r="C647" i="4"/>
  <c r="B647" i="4"/>
  <c r="L646" i="4"/>
  <c r="H646" i="4"/>
  <c r="I646" i="4" s="1"/>
  <c r="J646" i="4" s="1"/>
  <c r="G646" i="4"/>
  <c r="E646" i="4"/>
  <c r="D646" i="4"/>
  <c r="C646" i="4"/>
  <c r="B646" i="4"/>
  <c r="L645" i="4"/>
  <c r="H645" i="4"/>
  <c r="I645" i="4" s="1"/>
  <c r="J645" i="4" s="1"/>
  <c r="G645" i="4"/>
  <c r="E645" i="4"/>
  <c r="D645" i="4"/>
  <c r="C645" i="4"/>
  <c r="B645" i="4"/>
  <c r="L644" i="4"/>
  <c r="H644" i="4"/>
  <c r="I644" i="4" s="1"/>
  <c r="J644" i="4" s="1"/>
  <c r="G644" i="4"/>
  <c r="E644" i="4"/>
  <c r="D644" i="4"/>
  <c r="C644" i="4"/>
  <c r="B644" i="4"/>
  <c r="L643" i="4"/>
  <c r="H643" i="4"/>
  <c r="I643" i="4" s="1"/>
  <c r="J643" i="4" s="1"/>
  <c r="G643" i="4"/>
  <c r="E643" i="4"/>
  <c r="D643" i="4"/>
  <c r="C643" i="4"/>
  <c r="B643" i="4"/>
  <c r="L642" i="4"/>
  <c r="H642" i="4"/>
  <c r="I642" i="4" s="1"/>
  <c r="J642" i="4" s="1"/>
  <c r="G642" i="4"/>
  <c r="E642" i="4"/>
  <c r="D642" i="4"/>
  <c r="C642" i="4"/>
  <c r="B642" i="4"/>
  <c r="L641" i="4"/>
  <c r="H641" i="4"/>
  <c r="I641" i="4" s="1"/>
  <c r="J641" i="4" s="1"/>
  <c r="G641" i="4"/>
  <c r="E641" i="4"/>
  <c r="D641" i="4"/>
  <c r="C641" i="4"/>
  <c r="B641" i="4"/>
  <c r="L640" i="4"/>
  <c r="H640" i="4"/>
  <c r="I640" i="4" s="1"/>
  <c r="G640" i="4"/>
  <c r="E640" i="4"/>
  <c r="D640" i="4"/>
  <c r="C640" i="4"/>
  <c r="B640" i="4"/>
  <c r="L639" i="4"/>
  <c r="H639" i="4"/>
  <c r="I639" i="4" s="1"/>
  <c r="G639" i="4"/>
  <c r="E639" i="4"/>
  <c r="D639" i="4"/>
  <c r="C639" i="4"/>
  <c r="B639" i="4"/>
  <c r="L638" i="4"/>
  <c r="H638" i="4"/>
  <c r="I638" i="4" s="1"/>
  <c r="G638" i="4"/>
  <c r="E638" i="4"/>
  <c r="D638" i="4"/>
  <c r="C638" i="4"/>
  <c r="B638" i="4"/>
  <c r="L637" i="4"/>
  <c r="H637" i="4"/>
  <c r="I637" i="4" s="1"/>
  <c r="G637" i="4"/>
  <c r="E637" i="4"/>
  <c r="D637" i="4"/>
  <c r="C637" i="4"/>
  <c r="B637" i="4"/>
  <c r="L636" i="4"/>
  <c r="H636" i="4"/>
  <c r="I636" i="4" s="1"/>
  <c r="J636" i="4" s="1"/>
  <c r="G636" i="4"/>
  <c r="E636" i="4"/>
  <c r="D636" i="4"/>
  <c r="C636" i="4"/>
  <c r="B636" i="4"/>
  <c r="L635" i="4"/>
  <c r="H635" i="4"/>
  <c r="I635" i="4" s="1"/>
  <c r="J635" i="4" s="1"/>
  <c r="G635" i="4"/>
  <c r="E635" i="4"/>
  <c r="D635" i="4"/>
  <c r="C635" i="4"/>
  <c r="B635" i="4"/>
  <c r="L634" i="4"/>
  <c r="H634" i="4"/>
  <c r="I634" i="4" s="1"/>
  <c r="G634" i="4"/>
  <c r="E634" i="4"/>
  <c r="D634" i="4"/>
  <c r="C634" i="4"/>
  <c r="B634" i="4"/>
  <c r="L633" i="4"/>
  <c r="H633" i="4"/>
  <c r="I633" i="4" s="1"/>
  <c r="J633" i="4" s="1"/>
  <c r="G633" i="4"/>
  <c r="E633" i="4"/>
  <c r="D633" i="4"/>
  <c r="C633" i="4"/>
  <c r="B633" i="4"/>
  <c r="L632" i="4"/>
  <c r="H632" i="4"/>
  <c r="I632" i="4" s="1"/>
  <c r="J632" i="4" s="1"/>
  <c r="G632" i="4"/>
  <c r="E632" i="4"/>
  <c r="D632" i="4"/>
  <c r="C632" i="4"/>
  <c r="B632" i="4"/>
  <c r="L631" i="4"/>
  <c r="H631" i="4"/>
  <c r="I631" i="4" s="1"/>
  <c r="G631" i="4"/>
  <c r="E631" i="4"/>
  <c r="D631" i="4"/>
  <c r="C631" i="4"/>
  <c r="B631" i="4"/>
  <c r="L630" i="4"/>
  <c r="H630" i="4"/>
  <c r="I630" i="4" s="1"/>
  <c r="G630" i="4"/>
  <c r="E630" i="4"/>
  <c r="D630" i="4"/>
  <c r="C630" i="4"/>
  <c r="B630" i="4"/>
  <c r="L629" i="4"/>
  <c r="H629" i="4"/>
  <c r="I629" i="4" s="1"/>
  <c r="J629" i="4" s="1"/>
  <c r="G629" i="4"/>
  <c r="E629" i="4"/>
  <c r="D629" i="4"/>
  <c r="C629" i="4"/>
  <c r="B629" i="4"/>
  <c r="L628" i="4"/>
  <c r="H628" i="4"/>
  <c r="I628" i="4" s="1"/>
  <c r="J628" i="4" s="1"/>
  <c r="G628" i="4"/>
  <c r="E628" i="4"/>
  <c r="D628" i="4"/>
  <c r="C628" i="4"/>
  <c r="B628" i="4"/>
  <c r="L627" i="4"/>
  <c r="H627" i="4"/>
  <c r="I627" i="4" s="1"/>
  <c r="J627" i="4" s="1"/>
  <c r="G627" i="4"/>
  <c r="E627" i="4"/>
  <c r="D627" i="4"/>
  <c r="C627" i="4"/>
  <c r="B627" i="4"/>
  <c r="L626" i="4"/>
  <c r="H626" i="4"/>
  <c r="I626" i="4" s="1"/>
  <c r="J626" i="4" s="1"/>
  <c r="G626" i="4"/>
  <c r="E626" i="4"/>
  <c r="D626" i="4"/>
  <c r="C626" i="4"/>
  <c r="B626" i="4"/>
  <c r="L625" i="4"/>
  <c r="H625" i="4"/>
  <c r="I625" i="4" s="1"/>
  <c r="G625" i="4"/>
  <c r="E625" i="4"/>
  <c r="D625" i="4"/>
  <c r="C625" i="4"/>
  <c r="B625" i="4"/>
  <c r="L624" i="4"/>
  <c r="H624" i="4"/>
  <c r="I624" i="4" s="1"/>
  <c r="J624" i="4" s="1"/>
  <c r="G624" i="4"/>
  <c r="E624" i="4"/>
  <c r="D624" i="4"/>
  <c r="C624" i="4"/>
  <c r="B624" i="4"/>
  <c r="L623" i="4"/>
  <c r="H623" i="4"/>
  <c r="I623" i="4" s="1"/>
  <c r="J623" i="4" s="1"/>
  <c r="G623" i="4"/>
  <c r="E623" i="4"/>
  <c r="D623" i="4"/>
  <c r="C623" i="4"/>
  <c r="B623" i="4"/>
  <c r="L622" i="4"/>
  <c r="H622" i="4"/>
  <c r="I622" i="4" s="1"/>
  <c r="G622" i="4"/>
  <c r="E622" i="4"/>
  <c r="D622" i="4"/>
  <c r="C622" i="4"/>
  <c r="B622" i="4"/>
  <c r="L621" i="4"/>
  <c r="H621" i="4"/>
  <c r="I621" i="4" s="1"/>
  <c r="J621" i="4" s="1"/>
  <c r="G621" i="4"/>
  <c r="E621" i="4"/>
  <c r="D621" i="4"/>
  <c r="C621" i="4"/>
  <c r="B621" i="4"/>
  <c r="L620" i="4"/>
  <c r="H620" i="4"/>
  <c r="I620" i="4" s="1"/>
  <c r="G620" i="4"/>
  <c r="E620" i="4"/>
  <c r="D620" i="4"/>
  <c r="C620" i="4"/>
  <c r="B620" i="4"/>
  <c r="L619" i="4"/>
  <c r="H619" i="4"/>
  <c r="I619" i="4" s="1"/>
  <c r="G619" i="4"/>
  <c r="E619" i="4"/>
  <c r="D619" i="4"/>
  <c r="C619" i="4"/>
  <c r="B619" i="4"/>
  <c r="L618" i="4"/>
  <c r="H618" i="4"/>
  <c r="I618" i="4" s="1"/>
  <c r="G618" i="4"/>
  <c r="E618" i="4"/>
  <c r="D618" i="4"/>
  <c r="C618" i="4"/>
  <c r="B618" i="4"/>
  <c r="L617" i="4"/>
  <c r="H617" i="4"/>
  <c r="I617" i="4" s="1"/>
  <c r="G617" i="4"/>
  <c r="E617" i="4"/>
  <c r="D617" i="4"/>
  <c r="C617" i="4"/>
  <c r="B617" i="4"/>
  <c r="L616" i="4"/>
  <c r="H616" i="4"/>
  <c r="I616" i="4" s="1"/>
  <c r="J616" i="4" s="1"/>
  <c r="G616" i="4"/>
  <c r="E616" i="4"/>
  <c r="D616" i="4"/>
  <c r="C616" i="4"/>
  <c r="B616" i="4"/>
  <c r="L615" i="4"/>
  <c r="H615" i="4"/>
  <c r="I615" i="4" s="1"/>
  <c r="J615" i="4" s="1"/>
  <c r="G615" i="4"/>
  <c r="E615" i="4"/>
  <c r="D615" i="4"/>
  <c r="C615" i="4"/>
  <c r="B615" i="4"/>
  <c r="L614" i="4"/>
  <c r="H614" i="4"/>
  <c r="I614" i="4" s="1"/>
  <c r="G614" i="4"/>
  <c r="E614" i="4"/>
  <c r="D614" i="4"/>
  <c r="C614" i="4"/>
  <c r="B614" i="4"/>
  <c r="L613" i="4"/>
  <c r="H613" i="4"/>
  <c r="I613" i="4" s="1"/>
  <c r="J613" i="4" s="1"/>
  <c r="G613" i="4"/>
  <c r="E613" i="4"/>
  <c r="D613" i="4"/>
  <c r="C613" i="4"/>
  <c r="B613" i="4"/>
  <c r="L612" i="4"/>
  <c r="H612" i="4"/>
  <c r="I612" i="4" s="1"/>
  <c r="J612" i="4" s="1"/>
  <c r="G612" i="4"/>
  <c r="E612" i="4"/>
  <c r="D612" i="4"/>
  <c r="C612" i="4"/>
  <c r="B612" i="4"/>
  <c r="L611" i="4"/>
  <c r="H611" i="4"/>
  <c r="I611" i="4" s="1"/>
  <c r="J611" i="4" s="1"/>
  <c r="G611" i="4"/>
  <c r="E611" i="4"/>
  <c r="D611" i="4"/>
  <c r="C611" i="4"/>
  <c r="B611" i="4"/>
  <c r="L610" i="4"/>
  <c r="H610" i="4"/>
  <c r="I610" i="4" s="1"/>
  <c r="J610" i="4" s="1"/>
  <c r="G610" i="4"/>
  <c r="E610" i="4"/>
  <c r="D610" i="4"/>
  <c r="C610" i="4"/>
  <c r="B610" i="4"/>
  <c r="L609" i="4"/>
  <c r="H609" i="4"/>
  <c r="I609" i="4" s="1"/>
  <c r="J609" i="4" s="1"/>
  <c r="G609" i="4"/>
  <c r="E609" i="4"/>
  <c r="D609" i="4"/>
  <c r="C609" i="4"/>
  <c r="B609" i="4"/>
  <c r="L608" i="4"/>
  <c r="H608" i="4"/>
  <c r="I608" i="4" s="1"/>
  <c r="J608" i="4" s="1"/>
  <c r="G608" i="4"/>
  <c r="E608" i="4"/>
  <c r="D608" i="4"/>
  <c r="C608" i="4"/>
  <c r="B608" i="4"/>
  <c r="L607" i="4"/>
  <c r="H607" i="4"/>
  <c r="I607" i="4" s="1"/>
  <c r="J607" i="4" s="1"/>
  <c r="G607" i="4"/>
  <c r="E607" i="4"/>
  <c r="D607" i="4"/>
  <c r="C607" i="4"/>
  <c r="B607" i="4"/>
  <c r="L606" i="4"/>
  <c r="H606" i="4"/>
  <c r="I606" i="4" s="1"/>
  <c r="J606" i="4" s="1"/>
  <c r="G606" i="4"/>
  <c r="E606" i="4"/>
  <c r="D606" i="4"/>
  <c r="C606" i="4"/>
  <c r="B606" i="4"/>
  <c r="L605" i="4"/>
  <c r="H605" i="4"/>
  <c r="I605" i="4" s="1"/>
  <c r="J605" i="4" s="1"/>
  <c r="G605" i="4"/>
  <c r="E605" i="4"/>
  <c r="D605" i="4"/>
  <c r="C605" i="4"/>
  <c r="B605" i="4"/>
  <c r="L604" i="4"/>
  <c r="H604" i="4"/>
  <c r="I604" i="4" s="1"/>
  <c r="J604" i="4" s="1"/>
  <c r="G604" i="4"/>
  <c r="E604" i="4"/>
  <c r="D604" i="4"/>
  <c r="C604" i="4"/>
  <c r="B604" i="4"/>
  <c r="L603" i="4"/>
  <c r="H603" i="4"/>
  <c r="I603" i="4" s="1"/>
  <c r="J603" i="4" s="1"/>
  <c r="G603" i="4"/>
  <c r="E603" i="4"/>
  <c r="D603" i="4"/>
  <c r="C603" i="4"/>
  <c r="B603" i="4"/>
  <c r="L602" i="4"/>
  <c r="H602" i="4"/>
  <c r="I602" i="4" s="1"/>
  <c r="J602" i="4" s="1"/>
  <c r="G602" i="4"/>
  <c r="E602" i="4"/>
  <c r="D602" i="4"/>
  <c r="C602" i="4"/>
  <c r="B602" i="4"/>
  <c r="L601" i="4"/>
  <c r="H601" i="4"/>
  <c r="I601" i="4" s="1"/>
  <c r="J601" i="4" s="1"/>
  <c r="G601" i="4"/>
  <c r="E601" i="4"/>
  <c r="D601" i="4"/>
  <c r="C601" i="4"/>
  <c r="B601" i="4"/>
  <c r="L600" i="4"/>
  <c r="H600" i="4"/>
  <c r="I600" i="4" s="1"/>
  <c r="J600" i="4" s="1"/>
  <c r="G600" i="4"/>
  <c r="E600" i="4"/>
  <c r="D600" i="4"/>
  <c r="C600" i="4"/>
  <c r="B600" i="4"/>
  <c r="L599" i="4"/>
  <c r="H599" i="4"/>
  <c r="I599" i="4" s="1"/>
  <c r="J599" i="4" s="1"/>
  <c r="G599" i="4"/>
  <c r="E599" i="4"/>
  <c r="D599" i="4"/>
  <c r="C599" i="4"/>
  <c r="B599" i="4"/>
  <c r="L598" i="4"/>
  <c r="H598" i="4"/>
  <c r="I598" i="4" s="1"/>
  <c r="J598" i="4" s="1"/>
  <c r="G598" i="4"/>
  <c r="E598" i="4"/>
  <c r="D598" i="4"/>
  <c r="C598" i="4"/>
  <c r="B598" i="4"/>
  <c r="L597" i="4"/>
  <c r="H597" i="4"/>
  <c r="I597" i="4" s="1"/>
  <c r="J597" i="4" s="1"/>
  <c r="G597" i="4"/>
  <c r="E597" i="4"/>
  <c r="D597" i="4"/>
  <c r="C597" i="4"/>
  <c r="B597" i="4"/>
  <c r="L596" i="4"/>
  <c r="H596" i="4"/>
  <c r="I596" i="4" s="1"/>
  <c r="J596" i="4" s="1"/>
  <c r="G596" i="4"/>
  <c r="E596" i="4"/>
  <c r="D596" i="4"/>
  <c r="C596" i="4"/>
  <c r="B596" i="4"/>
  <c r="L595" i="4"/>
  <c r="H595" i="4"/>
  <c r="I595" i="4" s="1"/>
  <c r="J595" i="4" s="1"/>
  <c r="G595" i="4"/>
  <c r="E595" i="4"/>
  <c r="D595" i="4"/>
  <c r="C595" i="4"/>
  <c r="B595" i="4"/>
  <c r="L594" i="4"/>
  <c r="H594" i="4"/>
  <c r="I594" i="4" s="1"/>
  <c r="J594" i="4" s="1"/>
  <c r="G594" i="4"/>
  <c r="E594" i="4"/>
  <c r="D594" i="4"/>
  <c r="C594" i="4"/>
  <c r="B594" i="4"/>
  <c r="L593" i="4"/>
  <c r="H593" i="4"/>
  <c r="I593" i="4" s="1"/>
  <c r="J593" i="4" s="1"/>
  <c r="G593" i="4"/>
  <c r="E593" i="4"/>
  <c r="D593" i="4"/>
  <c r="C593" i="4"/>
  <c r="B593" i="4"/>
  <c r="L592" i="4"/>
  <c r="H592" i="4"/>
  <c r="I592" i="4" s="1"/>
  <c r="J592" i="4" s="1"/>
  <c r="G592" i="4"/>
  <c r="E592" i="4"/>
  <c r="D592" i="4"/>
  <c r="C592" i="4"/>
  <c r="B592" i="4"/>
  <c r="L591" i="4"/>
  <c r="H591" i="4"/>
  <c r="I591" i="4" s="1"/>
  <c r="G591" i="4"/>
  <c r="E591" i="4"/>
  <c r="D591" i="4"/>
  <c r="C591" i="4"/>
  <c r="B591" i="4"/>
  <c r="L590" i="4"/>
  <c r="H590" i="4"/>
  <c r="I590" i="4" s="1"/>
  <c r="G590" i="4"/>
  <c r="E590" i="4"/>
  <c r="D590" i="4"/>
  <c r="C590" i="4"/>
  <c r="B590" i="4"/>
  <c r="L589" i="4"/>
  <c r="H589" i="4"/>
  <c r="I589" i="4" s="1"/>
  <c r="G589" i="4"/>
  <c r="E589" i="4"/>
  <c r="D589" i="4"/>
  <c r="C589" i="4"/>
  <c r="B589" i="4"/>
  <c r="L588" i="4"/>
  <c r="H588" i="4"/>
  <c r="I588" i="4" s="1"/>
  <c r="G588" i="4"/>
  <c r="E588" i="4"/>
  <c r="D588" i="4"/>
  <c r="C588" i="4"/>
  <c r="B588" i="4"/>
  <c r="L587" i="4"/>
  <c r="H587" i="4"/>
  <c r="I587" i="4" s="1"/>
  <c r="J587" i="4" s="1"/>
  <c r="G587" i="4"/>
  <c r="E587" i="4"/>
  <c r="D587" i="4"/>
  <c r="C587" i="4"/>
  <c r="B587" i="4"/>
  <c r="L586" i="4"/>
  <c r="H586" i="4"/>
  <c r="I586" i="4" s="1"/>
  <c r="G586" i="4"/>
  <c r="E586" i="4"/>
  <c r="D586" i="4"/>
  <c r="C586" i="4"/>
  <c r="B586" i="4"/>
  <c r="L585" i="4"/>
  <c r="H585" i="4"/>
  <c r="I585" i="4" s="1"/>
  <c r="G585" i="4"/>
  <c r="E585" i="4"/>
  <c r="D585" i="4"/>
  <c r="C585" i="4"/>
  <c r="B585" i="4"/>
  <c r="L584" i="4"/>
  <c r="H584" i="4"/>
  <c r="I584" i="4" s="1"/>
  <c r="G584" i="4"/>
  <c r="E584" i="4"/>
  <c r="D584" i="4"/>
  <c r="C584" i="4"/>
  <c r="B584" i="4"/>
  <c r="L583" i="4"/>
  <c r="H583" i="4"/>
  <c r="I583" i="4" s="1"/>
  <c r="G583" i="4"/>
  <c r="E583" i="4"/>
  <c r="D583" i="4"/>
  <c r="C583" i="4"/>
  <c r="B583" i="4"/>
  <c r="L582" i="4"/>
  <c r="H582" i="4"/>
  <c r="I582" i="4" s="1"/>
  <c r="G582" i="4"/>
  <c r="E582" i="4"/>
  <c r="D582" i="4"/>
  <c r="C582" i="4"/>
  <c r="B582" i="4"/>
  <c r="L581" i="4"/>
  <c r="H581" i="4"/>
  <c r="I581" i="4" s="1"/>
  <c r="J581" i="4" s="1"/>
  <c r="G581" i="4"/>
  <c r="E581" i="4"/>
  <c r="D581" i="4"/>
  <c r="C581" i="4"/>
  <c r="B581" i="4"/>
  <c r="L580" i="4"/>
  <c r="H580" i="4"/>
  <c r="I580" i="4" s="1"/>
  <c r="G580" i="4"/>
  <c r="E580" i="4"/>
  <c r="D580" i="4"/>
  <c r="C580" i="4"/>
  <c r="B580" i="4"/>
  <c r="L579" i="4"/>
  <c r="H579" i="4"/>
  <c r="I579" i="4" s="1"/>
  <c r="G579" i="4"/>
  <c r="E579" i="4"/>
  <c r="D579" i="4"/>
  <c r="C579" i="4"/>
  <c r="B579" i="4"/>
  <c r="L578" i="4"/>
  <c r="H578" i="4"/>
  <c r="I578" i="4" s="1"/>
  <c r="G578" i="4"/>
  <c r="E578" i="4"/>
  <c r="D578" i="4"/>
  <c r="C578" i="4"/>
  <c r="B578" i="4"/>
  <c r="L577" i="4"/>
  <c r="H577" i="4"/>
  <c r="I577" i="4" s="1"/>
  <c r="G577" i="4"/>
  <c r="E577" i="4"/>
  <c r="D577" i="4"/>
  <c r="C577" i="4"/>
  <c r="B577" i="4"/>
  <c r="L576" i="4"/>
  <c r="H576" i="4"/>
  <c r="I576" i="4" s="1"/>
  <c r="J576" i="4" s="1"/>
  <c r="G576" i="4"/>
  <c r="E576" i="4"/>
  <c r="D576" i="4"/>
  <c r="C576" i="4"/>
  <c r="B576" i="4"/>
  <c r="L575" i="4"/>
  <c r="H575" i="4"/>
  <c r="I575" i="4" s="1"/>
  <c r="J575" i="4" s="1"/>
  <c r="G575" i="4"/>
  <c r="E575" i="4"/>
  <c r="D575" i="4"/>
  <c r="C575" i="4"/>
  <c r="B575" i="4"/>
  <c r="L574" i="4"/>
  <c r="H574" i="4"/>
  <c r="I574" i="4" s="1"/>
  <c r="G574" i="4"/>
  <c r="E574" i="4"/>
  <c r="D574" i="4"/>
  <c r="C574" i="4"/>
  <c r="B574" i="4"/>
  <c r="L573" i="4"/>
  <c r="H573" i="4"/>
  <c r="I573" i="4" s="1"/>
  <c r="G573" i="4"/>
  <c r="E573" i="4"/>
  <c r="D573" i="4"/>
  <c r="C573" i="4"/>
  <c r="B573" i="4"/>
  <c r="L572" i="4"/>
  <c r="H572" i="4"/>
  <c r="I572" i="4" s="1"/>
  <c r="G572" i="4"/>
  <c r="E572" i="4"/>
  <c r="D572" i="4"/>
  <c r="C572" i="4"/>
  <c r="B572" i="4"/>
  <c r="L571" i="4"/>
  <c r="H571" i="4"/>
  <c r="I571" i="4" s="1"/>
  <c r="G571" i="4"/>
  <c r="E571" i="4"/>
  <c r="D571" i="4"/>
  <c r="C571" i="4"/>
  <c r="B571" i="4"/>
  <c r="L570" i="4"/>
  <c r="H570" i="4"/>
  <c r="I570" i="4" s="1"/>
  <c r="J570" i="4" s="1"/>
  <c r="G570" i="4"/>
  <c r="E570" i="4"/>
  <c r="D570" i="4"/>
  <c r="C570" i="4"/>
  <c r="B570" i="4"/>
  <c r="L569" i="4"/>
  <c r="H569" i="4"/>
  <c r="I569" i="4" s="1"/>
  <c r="G569" i="4"/>
  <c r="E569" i="4"/>
  <c r="D569" i="4"/>
  <c r="C569" i="4"/>
  <c r="B569" i="4"/>
  <c r="L568" i="4"/>
  <c r="H568" i="4"/>
  <c r="I568" i="4" s="1"/>
  <c r="G568" i="4"/>
  <c r="E568" i="4"/>
  <c r="D568" i="4"/>
  <c r="C568" i="4"/>
  <c r="B568" i="4"/>
  <c r="L567" i="4"/>
  <c r="H567" i="4"/>
  <c r="I567" i="4" s="1"/>
  <c r="G567" i="4"/>
  <c r="E567" i="4"/>
  <c r="D567" i="4"/>
  <c r="C567" i="4"/>
  <c r="B567" i="4"/>
  <c r="L566" i="4"/>
  <c r="H566" i="4"/>
  <c r="I566" i="4" s="1"/>
  <c r="G566" i="4"/>
  <c r="E566" i="4"/>
  <c r="D566" i="4"/>
  <c r="C566" i="4"/>
  <c r="B566" i="4"/>
  <c r="L565" i="4"/>
  <c r="H565" i="4"/>
  <c r="I565" i="4" s="1"/>
  <c r="G565" i="4"/>
  <c r="E565" i="4"/>
  <c r="D565" i="4"/>
  <c r="C565" i="4"/>
  <c r="B565" i="4"/>
  <c r="L564" i="4"/>
  <c r="H564" i="4"/>
  <c r="I564" i="4" s="1"/>
  <c r="G564" i="4"/>
  <c r="E564" i="4"/>
  <c r="D564" i="4"/>
  <c r="C564" i="4"/>
  <c r="B564" i="4"/>
  <c r="L563" i="4"/>
  <c r="H563" i="4"/>
  <c r="I563" i="4" s="1"/>
  <c r="G563" i="4"/>
  <c r="E563" i="4"/>
  <c r="D563" i="4"/>
  <c r="C563" i="4"/>
  <c r="B563" i="4"/>
  <c r="L562" i="4"/>
  <c r="H562" i="4"/>
  <c r="I562" i="4" s="1"/>
  <c r="G562" i="4"/>
  <c r="E562" i="4"/>
  <c r="D562" i="4"/>
  <c r="C562" i="4"/>
  <c r="B562" i="4"/>
  <c r="L561" i="4"/>
  <c r="H561" i="4"/>
  <c r="I561" i="4" s="1"/>
  <c r="J561" i="4" s="1"/>
  <c r="G561" i="4"/>
  <c r="E561" i="4"/>
  <c r="D561" i="4"/>
  <c r="C561" i="4"/>
  <c r="B561" i="4"/>
  <c r="L560" i="4"/>
  <c r="H560" i="4"/>
  <c r="I560" i="4" s="1"/>
  <c r="G560" i="4"/>
  <c r="E560" i="4"/>
  <c r="D560" i="4"/>
  <c r="C560" i="4"/>
  <c r="B560" i="4"/>
  <c r="L559" i="4"/>
  <c r="H559" i="4"/>
  <c r="I559" i="4" s="1"/>
  <c r="G559" i="4"/>
  <c r="E559" i="4"/>
  <c r="D559" i="4"/>
  <c r="C559" i="4"/>
  <c r="B559" i="4"/>
  <c r="L558" i="4"/>
  <c r="H558" i="4"/>
  <c r="I558" i="4" s="1"/>
  <c r="G558" i="4"/>
  <c r="E558" i="4"/>
  <c r="D558" i="4"/>
  <c r="C558" i="4"/>
  <c r="B558" i="4"/>
  <c r="L557" i="4"/>
  <c r="H557" i="4"/>
  <c r="I557" i="4" s="1"/>
  <c r="G557" i="4"/>
  <c r="E557" i="4"/>
  <c r="D557" i="4"/>
  <c r="C557" i="4"/>
  <c r="B557" i="4"/>
  <c r="L556" i="4"/>
  <c r="H556" i="4"/>
  <c r="I556" i="4" s="1"/>
  <c r="G556" i="4"/>
  <c r="E556" i="4"/>
  <c r="D556" i="4"/>
  <c r="C556" i="4"/>
  <c r="B556" i="4"/>
  <c r="L555" i="4"/>
  <c r="H555" i="4"/>
  <c r="I555" i="4" s="1"/>
  <c r="G555" i="4"/>
  <c r="E555" i="4"/>
  <c r="D555" i="4"/>
  <c r="C555" i="4"/>
  <c r="B555" i="4"/>
  <c r="L554" i="4"/>
  <c r="H554" i="4"/>
  <c r="I554" i="4" s="1"/>
  <c r="G554" i="4"/>
  <c r="E554" i="4"/>
  <c r="D554" i="4"/>
  <c r="C554" i="4"/>
  <c r="B554" i="4"/>
  <c r="L553" i="4"/>
  <c r="H553" i="4"/>
  <c r="I553" i="4" s="1"/>
  <c r="G553" i="4"/>
  <c r="E553" i="4"/>
  <c r="D553" i="4"/>
  <c r="C553" i="4"/>
  <c r="B553" i="4"/>
  <c r="L552" i="4"/>
  <c r="H552" i="4"/>
  <c r="I552" i="4" s="1"/>
  <c r="G552" i="4"/>
  <c r="E552" i="4"/>
  <c r="D552" i="4"/>
  <c r="C552" i="4"/>
  <c r="B552" i="4"/>
  <c r="L551" i="4"/>
  <c r="H551" i="4"/>
  <c r="I551" i="4" s="1"/>
  <c r="G551" i="4"/>
  <c r="E551" i="4"/>
  <c r="D551" i="4"/>
  <c r="C551" i="4"/>
  <c r="B551" i="4"/>
  <c r="L550" i="4"/>
  <c r="H550" i="4"/>
  <c r="I550" i="4" s="1"/>
  <c r="G550" i="4"/>
  <c r="E550" i="4"/>
  <c r="D550" i="4"/>
  <c r="C550" i="4"/>
  <c r="B550" i="4"/>
  <c r="L549" i="4"/>
  <c r="H549" i="4"/>
  <c r="I549" i="4" s="1"/>
  <c r="G549" i="4"/>
  <c r="E549" i="4"/>
  <c r="D549" i="4"/>
  <c r="C549" i="4"/>
  <c r="B549" i="4"/>
  <c r="L548" i="4"/>
  <c r="H548" i="4"/>
  <c r="I548" i="4" s="1"/>
  <c r="G548" i="4"/>
  <c r="E548" i="4"/>
  <c r="D548" i="4"/>
  <c r="C548" i="4"/>
  <c r="B548" i="4"/>
  <c r="L547" i="4"/>
  <c r="H547" i="4"/>
  <c r="I547" i="4" s="1"/>
  <c r="G547" i="4"/>
  <c r="E547" i="4"/>
  <c r="D547" i="4"/>
  <c r="C547" i="4"/>
  <c r="B547" i="4"/>
  <c r="L546" i="4"/>
  <c r="H546" i="4"/>
  <c r="I546" i="4" s="1"/>
  <c r="G546" i="4"/>
  <c r="E546" i="4"/>
  <c r="D546" i="4"/>
  <c r="C546" i="4"/>
  <c r="B546" i="4"/>
  <c r="L545" i="4"/>
  <c r="H545" i="4"/>
  <c r="I545" i="4" s="1"/>
  <c r="G545" i="4"/>
  <c r="E545" i="4"/>
  <c r="D545" i="4"/>
  <c r="C545" i="4"/>
  <c r="B545" i="4"/>
  <c r="L544" i="4"/>
  <c r="H544" i="4"/>
  <c r="I544" i="4" s="1"/>
  <c r="G544" i="4"/>
  <c r="E544" i="4"/>
  <c r="D544" i="4"/>
  <c r="C544" i="4"/>
  <c r="B544" i="4"/>
  <c r="L543" i="4"/>
  <c r="H543" i="4"/>
  <c r="I543" i="4" s="1"/>
  <c r="G543" i="4"/>
  <c r="E543" i="4"/>
  <c r="D543" i="4"/>
  <c r="C543" i="4"/>
  <c r="B543" i="4"/>
  <c r="L542" i="4"/>
  <c r="H542" i="4"/>
  <c r="I542" i="4" s="1"/>
  <c r="G542" i="4"/>
  <c r="E542" i="4"/>
  <c r="D542" i="4"/>
  <c r="C542" i="4"/>
  <c r="B542" i="4"/>
  <c r="L541" i="4"/>
  <c r="H541" i="4"/>
  <c r="I541" i="4" s="1"/>
  <c r="G541" i="4"/>
  <c r="E541" i="4"/>
  <c r="D541" i="4"/>
  <c r="C541" i="4"/>
  <c r="B541" i="4"/>
  <c r="L540" i="4"/>
  <c r="H540" i="4"/>
  <c r="I540" i="4" s="1"/>
  <c r="G540" i="4"/>
  <c r="E540" i="4"/>
  <c r="D540" i="4"/>
  <c r="C540" i="4"/>
  <c r="B540" i="4"/>
  <c r="L539" i="4"/>
  <c r="H539" i="4"/>
  <c r="I539" i="4" s="1"/>
  <c r="G539" i="4"/>
  <c r="E539" i="4"/>
  <c r="D539" i="4"/>
  <c r="C539" i="4"/>
  <c r="B539" i="4"/>
  <c r="L538" i="4"/>
  <c r="H538" i="4"/>
  <c r="I538" i="4" s="1"/>
  <c r="G538" i="4"/>
  <c r="E538" i="4"/>
  <c r="D538" i="4"/>
  <c r="C538" i="4"/>
  <c r="B538" i="4"/>
  <c r="L537" i="4"/>
  <c r="H537" i="4"/>
  <c r="I537" i="4" s="1"/>
  <c r="G537" i="4"/>
  <c r="E537" i="4"/>
  <c r="D537" i="4"/>
  <c r="C537" i="4"/>
  <c r="B537" i="4"/>
  <c r="L536" i="4"/>
  <c r="H536" i="4"/>
  <c r="I536" i="4" s="1"/>
  <c r="G536" i="4"/>
  <c r="E536" i="4"/>
  <c r="D536" i="4"/>
  <c r="C536" i="4"/>
  <c r="B536" i="4"/>
  <c r="L535" i="4"/>
  <c r="H535" i="4"/>
  <c r="I535" i="4" s="1"/>
  <c r="G535" i="4"/>
  <c r="E535" i="4"/>
  <c r="D535" i="4"/>
  <c r="C535" i="4"/>
  <c r="B535" i="4"/>
  <c r="L534" i="4"/>
  <c r="H534" i="4"/>
  <c r="I534" i="4" s="1"/>
  <c r="G534" i="4"/>
  <c r="E534" i="4"/>
  <c r="D534" i="4"/>
  <c r="C534" i="4"/>
  <c r="B534" i="4"/>
  <c r="L533" i="4"/>
  <c r="H533" i="4"/>
  <c r="I533" i="4" s="1"/>
  <c r="G533" i="4"/>
  <c r="E533" i="4"/>
  <c r="D533" i="4"/>
  <c r="C533" i="4"/>
  <c r="B533" i="4"/>
  <c r="L532" i="4"/>
  <c r="H532" i="4"/>
  <c r="I532" i="4" s="1"/>
  <c r="G532" i="4"/>
  <c r="E532" i="4"/>
  <c r="D532" i="4"/>
  <c r="C532" i="4"/>
  <c r="B532" i="4"/>
  <c r="L531" i="4"/>
  <c r="H531" i="4"/>
  <c r="I531" i="4" s="1"/>
  <c r="G531" i="4"/>
  <c r="E531" i="4"/>
  <c r="D531" i="4"/>
  <c r="C531" i="4"/>
  <c r="B531" i="4"/>
  <c r="L530" i="4"/>
  <c r="H530" i="4"/>
  <c r="I530" i="4" s="1"/>
  <c r="G530" i="4"/>
  <c r="E530" i="4"/>
  <c r="D530" i="4"/>
  <c r="C530" i="4"/>
  <c r="B530" i="4"/>
  <c r="L529" i="4"/>
  <c r="H529" i="4"/>
  <c r="I529" i="4" s="1"/>
  <c r="G529" i="4"/>
  <c r="E529" i="4"/>
  <c r="D529" i="4"/>
  <c r="C529" i="4"/>
  <c r="B529" i="4"/>
  <c r="L528" i="4"/>
  <c r="H528" i="4"/>
  <c r="I528" i="4" s="1"/>
  <c r="G528" i="4"/>
  <c r="E528" i="4"/>
  <c r="D528" i="4"/>
  <c r="C528" i="4"/>
  <c r="B528" i="4"/>
  <c r="L527" i="4"/>
  <c r="H527" i="4"/>
  <c r="I527" i="4" s="1"/>
  <c r="G527" i="4"/>
  <c r="E527" i="4"/>
  <c r="D527" i="4"/>
  <c r="C527" i="4"/>
  <c r="B527" i="4"/>
  <c r="L526" i="4"/>
  <c r="H526" i="4"/>
  <c r="I526" i="4" s="1"/>
  <c r="G526" i="4"/>
  <c r="E526" i="4"/>
  <c r="D526" i="4"/>
  <c r="C526" i="4"/>
  <c r="B526" i="4"/>
  <c r="L525" i="4"/>
  <c r="H525" i="4"/>
  <c r="I525" i="4" s="1"/>
  <c r="G525" i="4"/>
  <c r="E525" i="4"/>
  <c r="D525" i="4"/>
  <c r="C525" i="4"/>
  <c r="B525" i="4"/>
  <c r="L524" i="4"/>
  <c r="H524" i="4"/>
  <c r="I524" i="4" s="1"/>
  <c r="G524" i="4"/>
  <c r="E524" i="4"/>
  <c r="D524" i="4"/>
  <c r="C524" i="4"/>
  <c r="B524" i="4"/>
  <c r="L523" i="4"/>
  <c r="H523" i="4"/>
  <c r="I523" i="4" s="1"/>
  <c r="G523" i="4"/>
  <c r="E523" i="4"/>
  <c r="D523" i="4"/>
  <c r="C523" i="4"/>
  <c r="B523" i="4"/>
  <c r="L522" i="4"/>
  <c r="H522" i="4"/>
  <c r="I522" i="4" s="1"/>
  <c r="G522" i="4"/>
  <c r="E522" i="4"/>
  <c r="D522" i="4"/>
  <c r="C522" i="4"/>
  <c r="B522" i="4"/>
  <c r="L521" i="4"/>
  <c r="H521" i="4"/>
  <c r="I521" i="4" s="1"/>
  <c r="G521" i="4"/>
  <c r="E521" i="4"/>
  <c r="D521" i="4"/>
  <c r="C521" i="4"/>
  <c r="B521" i="4"/>
  <c r="L520" i="4"/>
  <c r="H520" i="4"/>
  <c r="I520" i="4" s="1"/>
  <c r="G520" i="4"/>
  <c r="E520" i="4"/>
  <c r="D520" i="4"/>
  <c r="C520" i="4"/>
  <c r="B520" i="4"/>
  <c r="L519" i="4"/>
  <c r="H519" i="4"/>
  <c r="I519" i="4" s="1"/>
  <c r="G519" i="4"/>
  <c r="E519" i="4"/>
  <c r="D519" i="4"/>
  <c r="C519" i="4"/>
  <c r="B519" i="4"/>
  <c r="L518" i="4"/>
  <c r="H518" i="4"/>
  <c r="I518" i="4" s="1"/>
  <c r="G518" i="4"/>
  <c r="E518" i="4"/>
  <c r="D518" i="4"/>
  <c r="C518" i="4"/>
  <c r="B518" i="4"/>
  <c r="L517" i="4"/>
  <c r="H517" i="4"/>
  <c r="I517" i="4" s="1"/>
  <c r="G517" i="4"/>
  <c r="E517" i="4"/>
  <c r="D517" i="4"/>
  <c r="C517" i="4"/>
  <c r="B517" i="4"/>
  <c r="L516" i="4"/>
  <c r="H516" i="4"/>
  <c r="I516" i="4" s="1"/>
  <c r="G516" i="4"/>
  <c r="E516" i="4"/>
  <c r="D516" i="4"/>
  <c r="C516" i="4"/>
  <c r="B516" i="4"/>
  <c r="L515" i="4"/>
  <c r="H515" i="4"/>
  <c r="I515" i="4" s="1"/>
  <c r="G515" i="4"/>
  <c r="E515" i="4"/>
  <c r="D515" i="4"/>
  <c r="C515" i="4"/>
  <c r="B515" i="4"/>
  <c r="L514" i="4"/>
  <c r="H514" i="4"/>
  <c r="I514" i="4" s="1"/>
  <c r="G514" i="4"/>
  <c r="E514" i="4"/>
  <c r="D514" i="4"/>
  <c r="C514" i="4"/>
  <c r="B514" i="4"/>
  <c r="N513" i="4"/>
  <c r="M513" i="4"/>
  <c r="L513" i="4"/>
  <c r="H513" i="4"/>
  <c r="I513" i="4" s="1"/>
  <c r="G513" i="4"/>
  <c r="E513" i="4"/>
  <c r="D513" i="4"/>
  <c r="C513" i="4"/>
  <c r="B513" i="4"/>
  <c r="N510" i="4"/>
  <c r="K510" i="4"/>
  <c r="H510" i="4"/>
  <c r="I510" i="4" s="1"/>
  <c r="J510" i="4" s="1"/>
  <c r="G510" i="4"/>
  <c r="E510" i="4"/>
  <c r="D510" i="4"/>
  <c r="C510" i="4"/>
  <c r="B510" i="4"/>
  <c r="N509" i="4"/>
  <c r="K509" i="4"/>
  <c r="H509" i="4"/>
  <c r="I509" i="4" s="1"/>
  <c r="J509" i="4" s="1"/>
  <c r="G509" i="4"/>
  <c r="E509" i="4"/>
  <c r="D509" i="4"/>
  <c r="C509" i="4"/>
  <c r="B509" i="4"/>
  <c r="N508" i="4"/>
  <c r="K508" i="4"/>
  <c r="H508" i="4"/>
  <c r="I508" i="4" s="1"/>
  <c r="J508" i="4" s="1"/>
  <c r="G508" i="4"/>
  <c r="E508" i="4"/>
  <c r="D508" i="4"/>
  <c r="C508" i="4"/>
  <c r="B508" i="4"/>
  <c r="N507" i="4"/>
  <c r="K507" i="4"/>
  <c r="H507" i="4"/>
  <c r="I507" i="4" s="1"/>
  <c r="J507" i="4" s="1"/>
  <c r="G507" i="4"/>
  <c r="E507" i="4"/>
  <c r="D507" i="4"/>
  <c r="C507" i="4"/>
  <c r="B507" i="4"/>
  <c r="N506" i="4"/>
  <c r="K506" i="4"/>
  <c r="H506" i="4"/>
  <c r="I506" i="4" s="1"/>
  <c r="J506" i="4" s="1"/>
  <c r="G506" i="4"/>
  <c r="E506" i="4"/>
  <c r="D506" i="4"/>
  <c r="C506" i="4"/>
  <c r="B506" i="4"/>
  <c r="N505" i="4"/>
  <c r="K505" i="4"/>
  <c r="H505" i="4"/>
  <c r="I505" i="4" s="1"/>
  <c r="J505" i="4" s="1"/>
  <c r="G505" i="4"/>
  <c r="E505" i="4"/>
  <c r="D505" i="4"/>
  <c r="C505" i="4"/>
  <c r="B505" i="4"/>
  <c r="N504" i="4"/>
  <c r="K504" i="4"/>
  <c r="H504" i="4"/>
  <c r="I504" i="4" s="1"/>
  <c r="J504" i="4" s="1"/>
  <c r="G504" i="4"/>
  <c r="E504" i="4"/>
  <c r="D504" i="4"/>
  <c r="C504" i="4"/>
  <c r="B504" i="4"/>
  <c r="N503" i="4"/>
  <c r="K503" i="4"/>
  <c r="H503" i="4"/>
  <c r="I503" i="4" s="1"/>
  <c r="J503" i="4" s="1"/>
  <c r="G503" i="4"/>
  <c r="E503" i="4"/>
  <c r="D503" i="4"/>
  <c r="C503" i="4"/>
  <c r="B503" i="4"/>
  <c r="N502" i="4"/>
  <c r="K502" i="4"/>
  <c r="H502" i="4"/>
  <c r="I502" i="4" s="1"/>
  <c r="J502" i="4" s="1"/>
  <c r="G502" i="4"/>
  <c r="E502" i="4"/>
  <c r="D502" i="4"/>
  <c r="C502" i="4"/>
  <c r="B502" i="4"/>
  <c r="N501" i="4"/>
  <c r="K501" i="4"/>
  <c r="H501" i="4"/>
  <c r="I501" i="4" s="1"/>
  <c r="J501" i="4" s="1"/>
  <c r="G501" i="4"/>
  <c r="E501" i="4"/>
  <c r="D501" i="4"/>
  <c r="C501" i="4"/>
  <c r="B501" i="4"/>
  <c r="N500" i="4"/>
  <c r="K500" i="4"/>
  <c r="H500" i="4"/>
  <c r="I500" i="4" s="1"/>
  <c r="J500" i="4" s="1"/>
  <c r="G500" i="4"/>
  <c r="E500" i="4"/>
  <c r="D500" i="4"/>
  <c r="C500" i="4"/>
  <c r="B500" i="4"/>
  <c r="N499" i="4"/>
  <c r="K499" i="4"/>
  <c r="H499" i="4"/>
  <c r="I499" i="4" s="1"/>
  <c r="J499" i="4" s="1"/>
  <c r="G499" i="4"/>
  <c r="E499" i="4"/>
  <c r="D499" i="4"/>
  <c r="C499" i="4"/>
  <c r="B499" i="4"/>
  <c r="N498" i="4"/>
  <c r="K498" i="4"/>
  <c r="H498" i="4"/>
  <c r="I498" i="4" s="1"/>
  <c r="J498" i="4" s="1"/>
  <c r="G498" i="4"/>
  <c r="E498" i="4"/>
  <c r="D498" i="4"/>
  <c r="C498" i="4"/>
  <c r="B498" i="4"/>
  <c r="N497" i="4"/>
  <c r="K497" i="4"/>
  <c r="H497" i="4"/>
  <c r="I497" i="4" s="1"/>
  <c r="J497" i="4" s="1"/>
  <c r="G497" i="4"/>
  <c r="E497" i="4"/>
  <c r="D497" i="4"/>
  <c r="C497" i="4"/>
  <c r="B497" i="4"/>
  <c r="N496" i="4"/>
  <c r="K496" i="4"/>
  <c r="H496" i="4"/>
  <c r="I496" i="4" s="1"/>
  <c r="J496" i="4" s="1"/>
  <c r="G496" i="4"/>
  <c r="E496" i="4"/>
  <c r="D496" i="4"/>
  <c r="C496" i="4"/>
  <c r="B496" i="4"/>
  <c r="N495" i="4"/>
  <c r="K495" i="4"/>
  <c r="H495" i="4"/>
  <c r="I495" i="4" s="1"/>
  <c r="J495" i="4" s="1"/>
  <c r="G495" i="4"/>
  <c r="E495" i="4"/>
  <c r="D495" i="4"/>
  <c r="C495" i="4"/>
  <c r="B495" i="4"/>
  <c r="N494" i="4"/>
  <c r="K494" i="4"/>
  <c r="H494" i="4"/>
  <c r="I494" i="4" s="1"/>
  <c r="J494" i="4" s="1"/>
  <c r="G494" i="4"/>
  <c r="E494" i="4"/>
  <c r="D494" i="4"/>
  <c r="C494" i="4"/>
  <c r="B494" i="4"/>
  <c r="N493" i="4"/>
  <c r="K493" i="4"/>
  <c r="H493" i="4"/>
  <c r="I493" i="4" s="1"/>
  <c r="J493" i="4" s="1"/>
  <c r="G493" i="4"/>
  <c r="E493" i="4"/>
  <c r="D493" i="4"/>
  <c r="C493" i="4"/>
  <c r="B493" i="4"/>
  <c r="N492" i="4"/>
  <c r="K492" i="4"/>
  <c r="H492" i="4"/>
  <c r="I492" i="4" s="1"/>
  <c r="J492" i="4" s="1"/>
  <c r="G492" i="4"/>
  <c r="E492" i="4"/>
  <c r="D492" i="4"/>
  <c r="C492" i="4"/>
  <c r="B492" i="4"/>
  <c r="N491" i="4"/>
  <c r="K491" i="4"/>
  <c r="H491" i="4"/>
  <c r="I491" i="4" s="1"/>
  <c r="J491" i="4" s="1"/>
  <c r="G491" i="4"/>
  <c r="E491" i="4"/>
  <c r="D491" i="4"/>
  <c r="C491" i="4"/>
  <c r="B491" i="4"/>
  <c r="N490" i="4"/>
  <c r="K490" i="4"/>
  <c r="H490" i="4"/>
  <c r="I490" i="4" s="1"/>
  <c r="J490" i="4" s="1"/>
  <c r="G490" i="4"/>
  <c r="E490" i="4"/>
  <c r="D490" i="4"/>
  <c r="C490" i="4"/>
  <c r="B490" i="4"/>
  <c r="N489" i="4"/>
  <c r="K489" i="4"/>
  <c r="H489" i="4"/>
  <c r="I489" i="4" s="1"/>
  <c r="J489" i="4" s="1"/>
  <c r="G489" i="4"/>
  <c r="E489" i="4"/>
  <c r="D489" i="4"/>
  <c r="C489" i="4"/>
  <c r="B489" i="4"/>
  <c r="N488" i="4"/>
  <c r="K488" i="4"/>
  <c r="H488" i="4"/>
  <c r="I488" i="4" s="1"/>
  <c r="J488" i="4" s="1"/>
  <c r="G488" i="4"/>
  <c r="E488" i="4"/>
  <c r="D488" i="4"/>
  <c r="C488" i="4"/>
  <c r="B488" i="4"/>
  <c r="N487" i="4"/>
  <c r="K487" i="4"/>
  <c r="H487" i="4"/>
  <c r="I487" i="4" s="1"/>
  <c r="J487" i="4" s="1"/>
  <c r="G487" i="4"/>
  <c r="E487" i="4"/>
  <c r="D487" i="4"/>
  <c r="C487" i="4"/>
  <c r="B487" i="4"/>
  <c r="N486" i="4"/>
  <c r="K486" i="4"/>
  <c r="H486" i="4"/>
  <c r="I486" i="4" s="1"/>
  <c r="J486" i="4" s="1"/>
  <c r="G486" i="4"/>
  <c r="E486" i="4"/>
  <c r="D486" i="4"/>
  <c r="C486" i="4"/>
  <c r="B486" i="4"/>
  <c r="N485" i="4"/>
  <c r="K485" i="4"/>
  <c r="H485" i="4"/>
  <c r="I485" i="4" s="1"/>
  <c r="J485" i="4" s="1"/>
  <c r="G485" i="4"/>
  <c r="E485" i="4"/>
  <c r="D485" i="4"/>
  <c r="C485" i="4"/>
  <c r="B485" i="4"/>
  <c r="N484" i="4"/>
  <c r="K484" i="4"/>
  <c r="H484" i="4"/>
  <c r="I484" i="4" s="1"/>
  <c r="J484" i="4" s="1"/>
  <c r="G484" i="4"/>
  <c r="E484" i="4"/>
  <c r="D484" i="4"/>
  <c r="C484" i="4"/>
  <c r="B484" i="4"/>
  <c r="N483" i="4"/>
  <c r="K483" i="4"/>
  <c r="H483" i="4"/>
  <c r="I483" i="4" s="1"/>
  <c r="J483" i="4" s="1"/>
  <c r="G483" i="4"/>
  <c r="E483" i="4"/>
  <c r="D483" i="4"/>
  <c r="C483" i="4"/>
  <c r="B483" i="4"/>
  <c r="N482" i="4"/>
  <c r="K482" i="4"/>
  <c r="H482" i="4"/>
  <c r="I482" i="4" s="1"/>
  <c r="J482" i="4" s="1"/>
  <c r="G482" i="4"/>
  <c r="E482" i="4"/>
  <c r="D482" i="4"/>
  <c r="C482" i="4"/>
  <c r="B482" i="4"/>
  <c r="N481" i="4"/>
  <c r="K481" i="4"/>
  <c r="H481" i="4"/>
  <c r="I481" i="4" s="1"/>
  <c r="J481" i="4" s="1"/>
  <c r="G481" i="4"/>
  <c r="E481" i="4"/>
  <c r="D481" i="4"/>
  <c r="C481" i="4"/>
  <c r="B481" i="4"/>
  <c r="N480" i="4"/>
  <c r="K480" i="4"/>
  <c r="H480" i="4"/>
  <c r="I480" i="4" s="1"/>
  <c r="J480" i="4" s="1"/>
  <c r="G480" i="4"/>
  <c r="E480" i="4"/>
  <c r="D480" i="4"/>
  <c r="C480" i="4"/>
  <c r="B480" i="4"/>
  <c r="N479" i="4"/>
  <c r="K479" i="4"/>
  <c r="H479" i="4"/>
  <c r="I479" i="4" s="1"/>
  <c r="J479" i="4" s="1"/>
  <c r="G479" i="4"/>
  <c r="E479" i="4"/>
  <c r="D479" i="4"/>
  <c r="C479" i="4"/>
  <c r="B479" i="4"/>
  <c r="N478" i="4"/>
  <c r="K478" i="4"/>
  <c r="H478" i="4"/>
  <c r="I478" i="4" s="1"/>
  <c r="J478" i="4" s="1"/>
  <c r="G478" i="4"/>
  <c r="E478" i="4"/>
  <c r="D478" i="4"/>
  <c r="C478" i="4"/>
  <c r="B478" i="4"/>
  <c r="N477" i="4"/>
  <c r="K477" i="4"/>
  <c r="H477" i="4"/>
  <c r="I477" i="4" s="1"/>
  <c r="J477" i="4" s="1"/>
  <c r="G477" i="4"/>
  <c r="E477" i="4"/>
  <c r="D477" i="4"/>
  <c r="C477" i="4"/>
  <c r="B477" i="4"/>
  <c r="N476" i="4"/>
  <c r="K476" i="4"/>
  <c r="H476" i="4"/>
  <c r="I476" i="4" s="1"/>
  <c r="J476" i="4" s="1"/>
  <c r="G476" i="4"/>
  <c r="E476" i="4"/>
  <c r="D476" i="4"/>
  <c r="C476" i="4"/>
  <c r="B476" i="4"/>
  <c r="N475" i="4"/>
  <c r="K475" i="4"/>
  <c r="H475" i="4"/>
  <c r="I475" i="4" s="1"/>
  <c r="J475" i="4" s="1"/>
  <c r="G475" i="4"/>
  <c r="E475" i="4"/>
  <c r="D475" i="4"/>
  <c r="C475" i="4"/>
  <c r="B475" i="4"/>
  <c r="N474" i="4"/>
  <c r="K474" i="4"/>
  <c r="H474" i="4"/>
  <c r="I474" i="4" s="1"/>
  <c r="J474" i="4" s="1"/>
  <c r="G474" i="4"/>
  <c r="E474" i="4"/>
  <c r="D474" i="4"/>
  <c r="C474" i="4"/>
  <c r="B474" i="4"/>
  <c r="N473" i="4"/>
  <c r="K473" i="4"/>
  <c r="H473" i="4"/>
  <c r="I473" i="4" s="1"/>
  <c r="J473" i="4" s="1"/>
  <c r="G473" i="4"/>
  <c r="E473" i="4"/>
  <c r="D473" i="4"/>
  <c r="C473" i="4"/>
  <c r="B473" i="4"/>
  <c r="N472" i="4"/>
  <c r="K472" i="4"/>
  <c r="H472" i="4"/>
  <c r="I472" i="4" s="1"/>
  <c r="J472" i="4" s="1"/>
  <c r="G472" i="4"/>
  <c r="E472" i="4"/>
  <c r="D472" i="4"/>
  <c r="C472" i="4"/>
  <c r="B472" i="4"/>
  <c r="N471" i="4"/>
  <c r="K471" i="4"/>
  <c r="H471" i="4"/>
  <c r="I471" i="4" s="1"/>
  <c r="J471" i="4" s="1"/>
  <c r="G471" i="4"/>
  <c r="E471" i="4"/>
  <c r="D471" i="4"/>
  <c r="C471" i="4"/>
  <c r="B471" i="4"/>
  <c r="N470" i="4"/>
  <c r="K470" i="4"/>
  <c r="H470" i="4"/>
  <c r="I470" i="4" s="1"/>
  <c r="J470" i="4" s="1"/>
  <c r="G470" i="4"/>
  <c r="E470" i="4"/>
  <c r="D470" i="4"/>
  <c r="C470" i="4"/>
  <c r="B470" i="4"/>
  <c r="N469" i="4"/>
  <c r="K469" i="4"/>
  <c r="H469" i="4"/>
  <c r="I469" i="4" s="1"/>
  <c r="J469" i="4" s="1"/>
  <c r="G469" i="4"/>
  <c r="E469" i="4"/>
  <c r="D469" i="4"/>
  <c r="C469" i="4"/>
  <c r="B469" i="4"/>
  <c r="N468" i="4"/>
  <c r="K468" i="4"/>
  <c r="H468" i="4"/>
  <c r="I468" i="4" s="1"/>
  <c r="J468" i="4" s="1"/>
  <c r="G468" i="4"/>
  <c r="E468" i="4"/>
  <c r="D468" i="4"/>
  <c r="C468" i="4"/>
  <c r="B468" i="4"/>
  <c r="N467" i="4"/>
  <c r="K467" i="4"/>
  <c r="H467" i="4"/>
  <c r="I467" i="4" s="1"/>
  <c r="J467" i="4" s="1"/>
  <c r="G467" i="4"/>
  <c r="E467" i="4"/>
  <c r="D467" i="4"/>
  <c r="C467" i="4"/>
  <c r="B467" i="4"/>
  <c r="N466" i="4"/>
  <c r="K466" i="4"/>
  <c r="H466" i="4"/>
  <c r="I466" i="4" s="1"/>
  <c r="J466" i="4" s="1"/>
  <c r="G466" i="4"/>
  <c r="E466" i="4"/>
  <c r="D466" i="4"/>
  <c r="C466" i="4"/>
  <c r="B466" i="4"/>
  <c r="N465" i="4"/>
  <c r="K465" i="4"/>
  <c r="H465" i="4"/>
  <c r="I465" i="4" s="1"/>
  <c r="J465" i="4" s="1"/>
  <c r="G465" i="4"/>
  <c r="E465" i="4"/>
  <c r="D465" i="4"/>
  <c r="C465" i="4"/>
  <c r="B465" i="4"/>
  <c r="N464" i="4"/>
  <c r="K464" i="4"/>
  <c r="H464" i="4"/>
  <c r="I464" i="4" s="1"/>
  <c r="J464" i="4" s="1"/>
  <c r="G464" i="4"/>
  <c r="E464" i="4"/>
  <c r="D464" i="4"/>
  <c r="C464" i="4"/>
  <c r="B464" i="4"/>
  <c r="N463" i="4"/>
  <c r="K463" i="4"/>
  <c r="H463" i="4"/>
  <c r="I463" i="4" s="1"/>
  <c r="J463" i="4" s="1"/>
  <c r="G463" i="4"/>
  <c r="E463" i="4"/>
  <c r="D463" i="4"/>
  <c r="C463" i="4"/>
  <c r="B463" i="4"/>
  <c r="N462" i="4"/>
  <c r="K462" i="4"/>
  <c r="H462" i="4"/>
  <c r="I462" i="4" s="1"/>
  <c r="J462" i="4" s="1"/>
  <c r="G462" i="4"/>
  <c r="E462" i="4"/>
  <c r="D462" i="4"/>
  <c r="C462" i="4"/>
  <c r="B462" i="4"/>
  <c r="N461" i="4"/>
  <c r="K461" i="4"/>
  <c r="H461" i="4"/>
  <c r="I461" i="4" s="1"/>
  <c r="J461" i="4" s="1"/>
  <c r="G461" i="4"/>
  <c r="E461" i="4"/>
  <c r="D461" i="4"/>
  <c r="C461" i="4"/>
  <c r="B461" i="4"/>
  <c r="N460" i="4"/>
  <c r="K460" i="4"/>
  <c r="H460" i="4"/>
  <c r="I460" i="4" s="1"/>
  <c r="J460" i="4" s="1"/>
  <c r="G460" i="4"/>
  <c r="E460" i="4"/>
  <c r="D460" i="4"/>
  <c r="C460" i="4"/>
  <c r="B460" i="4"/>
  <c r="N459" i="4"/>
  <c r="K459" i="4"/>
  <c r="H459" i="4"/>
  <c r="I459" i="4" s="1"/>
  <c r="J459" i="4" s="1"/>
  <c r="G459" i="4"/>
  <c r="E459" i="4"/>
  <c r="D459" i="4"/>
  <c r="C459" i="4"/>
  <c r="B459" i="4"/>
  <c r="N458" i="4"/>
  <c r="K458" i="4"/>
  <c r="H458" i="4"/>
  <c r="I458" i="4" s="1"/>
  <c r="J458" i="4" s="1"/>
  <c r="G458" i="4"/>
  <c r="E458" i="4"/>
  <c r="D458" i="4"/>
  <c r="C458" i="4"/>
  <c r="B458" i="4"/>
  <c r="N457" i="4"/>
  <c r="K457" i="4"/>
  <c r="H457" i="4"/>
  <c r="I457" i="4" s="1"/>
  <c r="J457" i="4" s="1"/>
  <c r="G457" i="4"/>
  <c r="E457" i="4"/>
  <c r="D457" i="4"/>
  <c r="C457" i="4"/>
  <c r="B457" i="4"/>
  <c r="N456" i="4"/>
  <c r="K456" i="4"/>
  <c r="H456" i="4"/>
  <c r="I456" i="4" s="1"/>
  <c r="J456" i="4" s="1"/>
  <c r="G456" i="4"/>
  <c r="E456" i="4"/>
  <c r="D456" i="4"/>
  <c r="C456" i="4"/>
  <c r="B456" i="4"/>
  <c r="N455" i="4"/>
  <c r="K455" i="4"/>
  <c r="H455" i="4"/>
  <c r="I455" i="4" s="1"/>
  <c r="J455" i="4" s="1"/>
  <c r="G455" i="4"/>
  <c r="E455" i="4"/>
  <c r="D455" i="4"/>
  <c r="C455" i="4"/>
  <c r="B455" i="4"/>
  <c r="N454" i="4"/>
  <c r="K454" i="4"/>
  <c r="H454" i="4"/>
  <c r="I454" i="4" s="1"/>
  <c r="J454" i="4" s="1"/>
  <c r="G454" i="4"/>
  <c r="E454" i="4"/>
  <c r="D454" i="4"/>
  <c r="C454" i="4"/>
  <c r="B454" i="4"/>
  <c r="N453" i="4"/>
  <c r="K453" i="4"/>
  <c r="H453" i="4"/>
  <c r="I453" i="4" s="1"/>
  <c r="J453" i="4" s="1"/>
  <c r="G453" i="4"/>
  <c r="E453" i="4"/>
  <c r="D453" i="4"/>
  <c r="C453" i="4"/>
  <c r="B453" i="4"/>
  <c r="N452" i="4"/>
  <c r="K452" i="4"/>
  <c r="H452" i="4"/>
  <c r="I452" i="4" s="1"/>
  <c r="J452" i="4" s="1"/>
  <c r="G452" i="4"/>
  <c r="E452" i="4"/>
  <c r="D452" i="4"/>
  <c r="C452" i="4"/>
  <c r="B452" i="4"/>
  <c r="N451" i="4"/>
  <c r="K451" i="4"/>
  <c r="H451" i="4"/>
  <c r="I451" i="4" s="1"/>
  <c r="J451" i="4" s="1"/>
  <c r="G451" i="4"/>
  <c r="E451" i="4"/>
  <c r="D451" i="4"/>
  <c r="C451" i="4"/>
  <c r="B451" i="4"/>
  <c r="N450" i="4"/>
  <c r="K450" i="4"/>
  <c r="H450" i="4"/>
  <c r="I450" i="4" s="1"/>
  <c r="J450" i="4" s="1"/>
  <c r="G450" i="4"/>
  <c r="E450" i="4"/>
  <c r="D450" i="4"/>
  <c r="C450" i="4"/>
  <c r="B450" i="4"/>
  <c r="N449" i="4"/>
  <c r="K449" i="4"/>
  <c r="H449" i="4"/>
  <c r="I449" i="4" s="1"/>
  <c r="J449" i="4" s="1"/>
  <c r="G449" i="4"/>
  <c r="E449" i="4"/>
  <c r="D449" i="4"/>
  <c r="C449" i="4"/>
  <c r="B449" i="4"/>
  <c r="N448" i="4"/>
  <c r="K448" i="4"/>
  <c r="H448" i="4"/>
  <c r="I448" i="4" s="1"/>
  <c r="J448" i="4" s="1"/>
  <c r="G448" i="4"/>
  <c r="E448" i="4"/>
  <c r="D448" i="4"/>
  <c r="C448" i="4"/>
  <c r="B448" i="4"/>
  <c r="N447" i="4"/>
  <c r="K447" i="4"/>
  <c r="H447" i="4"/>
  <c r="I447" i="4" s="1"/>
  <c r="J447" i="4" s="1"/>
  <c r="G447" i="4"/>
  <c r="E447" i="4"/>
  <c r="D447" i="4"/>
  <c r="C447" i="4"/>
  <c r="B447" i="4"/>
  <c r="N446" i="4"/>
  <c r="K446" i="4"/>
  <c r="H446" i="4"/>
  <c r="I446" i="4" s="1"/>
  <c r="J446" i="4" s="1"/>
  <c r="G446" i="4"/>
  <c r="E446" i="4"/>
  <c r="D446" i="4"/>
  <c r="C446" i="4"/>
  <c r="B446" i="4"/>
  <c r="N445" i="4"/>
  <c r="K445" i="4"/>
  <c r="H445" i="4"/>
  <c r="I445" i="4" s="1"/>
  <c r="J445" i="4" s="1"/>
  <c r="G445" i="4"/>
  <c r="E445" i="4"/>
  <c r="D445" i="4"/>
  <c r="C445" i="4"/>
  <c r="B445" i="4"/>
  <c r="N444" i="4"/>
  <c r="K444" i="4"/>
  <c r="H444" i="4"/>
  <c r="I444" i="4" s="1"/>
  <c r="J444" i="4" s="1"/>
  <c r="G444" i="4"/>
  <c r="E444" i="4"/>
  <c r="D444" i="4"/>
  <c r="C444" i="4"/>
  <c r="B444" i="4"/>
  <c r="N443" i="4"/>
  <c r="K443" i="4"/>
  <c r="H443" i="4"/>
  <c r="I443" i="4" s="1"/>
  <c r="J443" i="4" s="1"/>
  <c r="G443" i="4"/>
  <c r="E443" i="4"/>
  <c r="D443" i="4"/>
  <c r="C443" i="4"/>
  <c r="B443" i="4"/>
  <c r="N442" i="4"/>
  <c r="K442" i="4"/>
  <c r="H442" i="4"/>
  <c r="I442" i="4" s="1"/>
  <c r="J442" i="4" s="1"/>
  <c r="G442" i="4"/>
  <c r="E442" i="4"/>
  <c r="D442" i="4"/>
  <c r="C442" i="4"/>
  <c r="B442" i="4"/>
  <c r="N441" i="4"/>
  <c r="K441" i="4"/>
  <c r="H441" i="4"/>
  <c r="I441" i="4" s="1"/>
  <c r="J441" i="4" s="1"/>
  <c r="G441" i="4"/>
  <c r="E441" i="4"/>
  <c r="D441" i="4"/>
  <c r="C441" i="4"/>
  <c r="B441" i="4"/>
  <c r="N440" i="4"/>
  <c r="K440" i="4"/>
  <c r="H440" i="4"/>
  <c r="I440" i="4" s="1"/>
  <c r="J440" i="4" s="1"/>
  <c r="G440" i="4"/>
  <c r="E440" i="4"/>
  <c r="D440" i="4"/>
  <c r="C440" i="4"/>
  <c r="B440" i="4"/>
  <c r="N439" i="4"/>
  <c r="K439" i="4"/>
  <c r="H439" i="4"/>
  <c r="I439" i="4" s="1"/>
  <c r="J439" i="4" s="1"/>
  <c r="G439" i="4"/>
  <c r="E439" i="4"/>
  <c r="D439" i="4"/>
  <c r="C439" i="4"/>
  <c r="B439" i="4"/>
  <c r="N438" i="4"/>
  <c r="K438" i="4"/>
  <c r="H438" i="4"/>
  <c r="I438" i="4" s="1"/>
  <c r="J438" i="4" s="1"/>
  <c r="G438" i="4"/>
  <c r="E438" i="4"/>
  <c r="D438" i="4"/>
  <c r="C438" i="4"/>
  <c r="B438" i="4"/>
  <c r="N437" i="4"/>
  <c r="K437" i="4"/>
  <c r="H437" i="4"/>
  <c r="I437" i="4" s="1"/>
  <c r="J437" i="4" s="1"/>
  <c r="G437" i="4"/>
  <c r="E437" i="4"/>
  <c r="D437" i="4"/>
  <c r="C437" i="4"/>
  <c r="B437" i="4"/>
  <c r="N436" i="4"/>
  <c r="K436" i="4"/>
  <c r="H436" i="4"/>
  <c r="I436" i="4" s="1"/>
  <c r="J436" i="4" s="1"/>
  <c r="G436" i="4"/>
  <c r="E436" i="4"/>
  <c r="D436" i="4"/>
  <c r="C436" i="4"/>
  <c r="B436" i="4"/>
  <c r="N435" i="4"/>
  <c r="K435" i="4"/>
  <c r="H435" i="4"/>
  <c r="I435" i="4" s="1"/>
  <c r="J435" i="4" s="1"/>
  <c r="G435" i="4"/>
  <c r="E435" i="4"/>
  <c r="D435" i="4"/>
  <c r="C435" i="4"/>
  <c r="B435" i="4"/>
  <c r="N434" i="4"/>
  <c r="K434" i="4"/>
  <c r="H434" i="4"/>
  <c r="I434" i="4" s="1"/>
  <c r="J434" i="4" s="1"/>
  <c r="G434" i="4"/>
  <c r="E434" i="4"/>
  <c r="D434" i="4"/>
  <c r="C434" i="4"/>
  <c r="B434" i="4"/>
  <c r="N433" i="4"/>
  <c r="K433" i="4"/>
  <c r="H433" i="4"/>
  <c r="I433" i="4" s="1"/>
  <c r="J433" i="4" s="1"/>
  <c r="G433" i="4"/>
  <c r="E433" i="4"/>
  <c r="D433" i="4"/>
  <c r="C433" i="4"/>
  <c r="B433" i="4"/>
  <c r="N432" i="4"/>
  <c r="K432" i="4"/>
  <c r="H432" i="4"/>
  <c r="I432" i="4" s="1"/>
  <c r="J432" i="4" s="1"/>
  <c r="G432" i="4"/>
  <c r="E432" i="4"/>
  <c r="D432" i="4"/>
  <c r="C432" i="4"/>
  <c r="B432" i="4"/>
  <c r="N431" i="4"/>
  <c r="K431" i="4"/>
  <c r="H431" i="4"/>
  <c r="I431" i="4" s="1"/>
  <c r="J431" i="4" s="1"/>
  <c r="G431" i="4"/>
  <c r="E431" i="4"/>
  <c r="D431" i="4"/>
  <c r="C431" i="4"/>
  <c r="B431" i="4"/>
  <c r="N430" i="4"/>
  <c r="K430" i="4"/>
  <c r="H430" i="4"/>
  <c r="I430" i="4" s="1"/>
  <c r="J430" i="4" s="1"/>
  <c r="G430" i="4"/>
  <c r="E430" i="4"/>
  <c r="D430" i="4"/>
  <c r="C430" i="4"/>
  <c r="B430" i="4"/>
  <c r="N429" i="4"/>
  <c r="K429" i="4"/>
  <c r="H429" i="4"/>
  <c r="I429" i="4" s="1"/>
  <c r="J429" i="4" s="1"/>
  <c r="G429" i="4"/>
  <c r="E429" i="4"/>
  <c r="D429" i="4"/>
  <c r="C429" i="4"/>
  <c r="B429" i="4"/>
  <c r="N428" i="4"/>
  <c r="K428" i="4"/>
  <c r="H428" i="4"/>
  <c r="I428" i="4" s="1"/>
  <c r="J428" i="4" s="1"/>
  <c r="G428" i="4"/>
  <c r="E428" i="4"/>
  <c r="D428" i="4"/>
  <c r="C428" i="4"/>
  <c r="B428" i="4"/>
  <c r="N427" i="4"/>
  <c r="K427" i="4"/>
  <c r="H427" i="4"/>
  <c r="I427" i="4" s="1"/>
  <c r="J427" i="4" s="1"/>
  <c r="G427" i="4"/>
  <c r="E427" i="4"/>
  <c r="D427" i="4"/>
  <c r="C427" i="4"/>
  <c r="B427" i="4"/>
  <c r="N426" i="4"/>
  <c r="K426" i="4"/>
  <c r="H426" i="4"/>
  <c r="I426" i="4" s="1"/>
  <c r="J426" i="4" s="1"/>
  <c r="G426" i="4"/>
  <c r="E426" i="4"/>
  <c r="D426" i="4"/>
  <c r="C426" i="4"/>
  <c r="B426" i="4"/>
  <c r="N425" i="4"/>
  <c r="K425" i="4"/>
  <c r="H425" i="4"/>
  <c r="I425" i="4" s="1"/>
  <c r="J425" i="4" s="1"/>
  <c r="G425" i="4"/>
  <c r="E425" i="4"/>
  <c r="D425" i="4"/>
  <c r="C425" i="4"/>
  <c r="B425" i="4"/>
  <c r="N424" i="4"/>
  <c r="K424" i="4"/>
  <c r="H424" i="4"/>
  <c r="I424" i="4" s="1"/>
  <c r="J424" i="4" s="1"/>
  <c r="G424" i="4"/>
  <c r="E424" i="4"/>
  <c r="D424" i="4"/>
  <c r="C424" i="4"/>
  <c r="B424" i="4"/>
  <c r="N423" i="4"/>
  <c r="K423" i="4"/>
  <c r="H423" i="4"/>
  <c r="I423" i="4" s="1"/>
  <c r="J423" i="4" s="1"/>
  <c r="G423" i="4"/>
  <c r="E423" i="4"/>
  <c r="D423" i="4"/>
  <c r="C423" i="4"/>
  <c r="B423" i="4"/>
  <c r="N422" i="4"/>
  <c r="K422" i="4"/>
  <c r="H422" i="4"/>
  <c r="I422" i="4" s="1"/>
  <c r="J422" i="4" s="1"/>
  <c r="G422" i="4"/>
  <c r="E422" i="4"/>
  <c r="D422" i="4"/>
  <c r="C422" i="4"/>
  <c r="B422" i="4"/>
  <c r="N421" i="4"/>
  <c r="K421" i="4"/>
  <c r="H421" i="4"/>
  <c r="I421" i="4" s="1"/>
  <c r="J421" i="4" s="1"/>
  <c r="G421" i="4"/>
  <c r="E421" i="4"/>
  <c r="D421" i="4"/>
  <c r="C421" i="4"/>
  <c r="B421" i="4"/>
  <c r="N420" i="4"/>
  <c r="K420" i="4"/>
  <c r="H420" i="4"/>
  <c r="I420" i="4" s="1"/>
  <c r="J420" i="4" s="1"/>
  <c r="G420" i="4"/>
  <c r="E420" i="4"/>
  <c r="D420" i="4"/>
  <c r="C420" i="4"/>
  <c r="B420" i="4"/>
  <c r="N419" i="4"/>
  <c r="K419" i="4"/>
  <c r="H419" i="4"/>
  <c r="I419" i="4" s="1"/>
  <c r="J419" i="4" s="1"/>
  <c r="G419" i="4"/>
  <c r="E419" i="4"/>
  <c r="D419" i="4"/>
  <c r="C419" i="4"/>
  <c r="B419" i="4"/>
  <c r="N418" i="4"/>
  <c r="K418" i="4"/>
  <c r="H418" i="4"/>
  <c r="I418" i="4" s="1"/>
  <c r="J418" i="4" s="1"/>
  <c r="G418" i="4"/>
  <c r="E418" i="4"/>
  <c r="D418" i="4"/>
  <c r="C418" i="4"/>
  <c r="B418" i="4"/>
  <c r="N417" i="4"/>
  <c r="K417" i="4"/>
  <c r="H417" i="4"/>
  <c r="I417" i="4" s="1"/>
  <c r="J417" i="4" s="1"/>
  <c r="G417" i="4"/>
  <c r="E417" i="4"/>
  <c r="D417" i="4"/>
  <c r="C417" i="4"/>
  <c r="B417" i="4"/>
  <c r="N416" i="4"/>
  <c r="K416" i="4"/>
  <c r="H416" i="4"/>
  <c r="I416" i="4" s="1"/>
  <c r="J416" i="4" s="1"/>
  <c r="G416" i="4"/>
  <c r="E416" i="4"/>
  <c r="D416" i="4"/>
  <c r="C416" i="4"/>
  <c r="B416" i="4"/>
  <c r="N415" i="4"/>
  <c r="K415" i="4"/>
  <c r="H415" i="4"/>
  <c r="I415" i="4" s="1"/>
  <c r="J415" i="4" s="1"/>
  <c r="G415" i="4"/>
  <c r="E415" i="4"/>
  <c r="D415" i="4"/>
  <c r="C415" i="4"/>
  <c r="B415" i="4"/>
  <c r="N414" i="4"/>
  <c r="K414" i="4"/>
  <c r="H414" i="4"/>
  <c r="I414" i="4" s="1"/>
  <c r="J414" i="4" s="1"/>
  <c r="G414" i="4"/>
  <c r="E414" i="4"/>
  <c r="D414" i="4"/>
  <c r="C414" i="4"/>
  <c r="B414" i="4"/>
  <c r="N413" i="4"/>
  <c r="K413" i="4"/>
  <c r="H413" i="4"/>
  <c r="I413" i="4" s="1"/>
  <c r="J413" i="4" s="1"/>
  <c r="G413" i="4"/>
  <c r="E413" i="4"/>
  <c r="D413" i="4"/>
  <c r="C413" i="4"/>
  <c r="B413" i="4"/>
  <c r="N412" i="4"/>
  <c r="K412" i="4"/>
  <c r="H412" i="4"/>
  <c r="I412" i="4" s="1"/>
  <c r="J412" i="4" s="1"/>
  <c r="G412" i="4"/>
  <c r="E412" i="4"/>
  <c r="D412" i="4"/>
  <c r="C412" i="4"/>
  <c r="B412" i="4"/>
  <c r="N411" i="4"/>
  <c r="K411" i="4"/>
  <c r="H411" i="4"/>
  <c r="I411" i="4" s="1"/>
  <c r="J411" i="4" s="1"/>
  <c r="G411" i="4"/>
  <c r="E411" i="4"/>
  <c r="D411" i="4"/>
  <c r="C411" i="4"/>
  <c r="B411" i="4"/>
  <c r="N410" i="4"/>
  <c r="K410" i="4"/>
  <c r="H410" i="4"/>
  <c r="I410" i="4" s="1"/>
  <c r="J410" i="4" s="1"/>
  <c r="G410" i="4"/>
  <c r="E410" i="4"/>
  <c r="D410" i="4"/>
  <c r="C410" i="4"/>
  <c r="B410" i="4"/>
  <c r="N409" i="4"/>
  <c r="K409" i="4"/>
  <c r="H409" i="4"/>
  <c r="I409" i="4" s="1"/>
  <c r="J409" i="4" s="1"/>
  <c r="G409" i="4"/>
  <c r="E409" i="4"/>
  <c r="D409" i="4"/>
  <c r="C409" i="4"/>
  <c r="B409" i="4"/>
  <c r="N408" i="4"/>
  <c r="K408" i="4"/>
  <c r="H408" i="4"/>
  <c r="I408" i="4" s="1"/>
  <c r="J408" i="4" s="1"/>
  <c r="G408" i="4"/>
  <c r="E408" i="4"/>
  <c r="D408" i="4"/>
  <c r="C408" i="4"/>
  <c r="B408" i="4"/>
  <c r="N407" i="4"/>
  <c r="K407" i="4"/>
  <c r="H407" i="4"/>
  <c r="I407" i="4" s="1"/>
  <c r="J407" i="4" s="1"/>
  <c r="G407" i="4"/>
  <c r="E407" i="4"/>
  <c r="D407" i="4"/>
  <c r="C407" i="4"/>
  <c r="B407" i="4"/>
  <c r="N406" i="4"/>
  <c r="K406" i="4"/>
  <c r="H406" i="4"/>
  <c r="I406" i="4" s="1"/>
  <c r="J406" i="4" s="1"/>
  <c r="G406" i="4"/>
  <c r="E406" i="4"/>
  <c r="D406" i="4"/>
  <c r="C406" i="4"/>
  <c r="B406" i="4"/>
  <c r="N405" i="4"/>
  <c r="K405" i="4"/>
  <c r="H405" i="4"/>
  <c r="I405" i="4" s="1"/>
  <c r="J405" i="4" s="1"/>
  <c r="G405" i="4"/>
  <c r="E405" i="4"/>
  <c r="D405" i="4"/>
  <c r="C405" i="4"/>
  <c r="B405" i="4"/>
  <c r="N404" i="4"/>
  <c r="K404" i="4"/>
  <c r="H404" i="4"/>
  <c r="I404" i="4" s="1"/>
  <c r="J404" i="4" s="1"/>
  <c r="G404" i="4"/>
  <c r="E404" i="4"/>
  <c r="D404" i="4"/>
  <c r="C404" i="4"/>
  <c r="B404" i="4"/>
  <c r="N403" i="4"/>
  <c r="K403" i="4"/>
  <c r="H403" i="4"/>
  <c r="I403" i="4" s="1"/>
  <c r="J403" i="4" s="1"/>
  <c r="G403" i="4"/>
  <c r="E403" i="4"/>
  <c r="D403" i="4"/>
  <c r="C403" i="4"/>
  <c r="B403" i="4"/>
  <c r="N402" i="4"/>
  <c r="K402" i="4"/>
  <c r="H402" i="4"/>
  <c r="I402" i="4" s="1"/>
  <c r="J402" i="4" s="1"/>
  <c r="G402" i="4"/>
  <c r="E402" i="4"/>
  <c r="D402" i="4"/>
  <c r="C402" i="4"/>
  <c r="B402" i="4"/>
  <c r="N401" i="4"/>
  <c r="K401" i="4"/>
  <c r="H401" i="4"/>
  <c r="I401" i="4" s="1"/>
  <c r="J401" i="4" s="1"/>
  <c r="G401" i="4"/>
  <c r="E401" i="4"/>
  <c r="D401" i="4"/>
  <c r="C401" i="4"/>
  <c r="B401" i="4"/>
  <c r="N400" i="4"/>
  <c r="K400" i="4"/>
  <c r="H400" i="4"/>
  <c r="I400" i="4" s="1"/>
  <c r="J400" i="4" s="1"/>
  <c r="G400" i="4"/>
  <c r="E400" i="4"/>
  <c r="D400" i="4"/>
  <c r="C400" i="4"/>
  <c r="B400" i="4"/>
  <c r="N399" i="4"/>
  <c r="K399" i="4"/>
  <c r="H399" i="4"/>
  <c r="I399" i="4" s="1"/>
  <c r="J399" i="4" s="1"/>
  <c r="G399" i="4"/>
  <c r="E399" i="4"/>
  <c r="D399" i="4"/>
  <c r="C399" i="4"/>
  <c r="B399" i="4"/>
  <c r="N398" i="4"/>
  <c r="K398" i="4"/>
  <c r="H398" i="4"/>
  <c r="I398" i="4" s="1"/>
  <c r="J398" i="4" s="1"/>
  <c r="G398" i="4"/>
  <c r="E398" i="4"/>
  <c r="D398" i="4"/>
  <c r="C398" i="4"/>
  <c r="B398" i="4"/>
  <c r="N397" i="4"/>
  <c r="K397" i="4"/>
  <c r="H397" i="4"/>
  <c r="I397" i="4" s="1"/>
  <c r="J397" i="4" s="1"/>
  <c r="G397" i="4"/>
  <c r="E397" i="4"/>
  <c r="D397" i="4"/>
  <c r="C397" i="4"/>
  <c r="B397" i="4"/>
  <c r="N396" i="4"/>
  <c r="K396" i="4"/>
  <c r="H396" i="4"/>
  <c r="I396" i="4" s="1"/>
  <c r="J396" i="4" s="1"/>
  <c r="G396" i="4"/>
  <c r="E396" i="4"/>
  <c r="D396" i="4"/>
  <c r="C396" i="4"/>
  <c r="B396" i="4"/>
  <c r="N395" i="4"/>
  <c r="K395" i="4"/>
  <c r="H395" i="4"/>
  <c r="I395" i="4" s="1"/>
  <c r="J395" i="4" s="1"/>
  <c r="G395" i="4"/>
  <c r="E395" i="4"/>
  <c r="D395" i="4"/>
  <c r="C395" i="4"/>
  <c r="B395" i="4"/>
  <c r="N394" i="4"/>
  <c r="K394" i="4"/>
  <c r="H394" i="4"/>
  <c r="I394" i="4" s="1"/>
  <c r="J394" i="4" s="1"/>
  <c r="G394" i="4"/>
  <c r="E394" i="4"/>
  <c r="D394" i="4"/>
  <c r="C394" i="4"/>
  <c r="B394" i="4"/>
  <c r="N393" i="4"/>
  <c r="K393" i="4"/>
  <c r="H393" i="4"/>
  <c r="I393" i="4" s="1"/>
  <c r="J393" i="4" s="1"/>
  <c r="G393" i="4"/>
  <c r="E393" i="4"/>
  <c r="D393" i="4"/>
  <c r="C393" i="4"/>
  <c r="B393" i="4"/>
  <c r="N392" i="4"/>
  <c r="K392" i="4"/>
  <c r="H392" i="4"/>
  <c r="I392" i="4" s="1"/>
  <c r="J392" i="4" s="1"/>
  <c r="G392" i="4"/>
  <c r="E392" i="4"/>
  <c r="D392" i="4"/>
  <c r="C392" i="4"/>
  <c r="B392" i="4"/>
  <c r="N391" i="4"/>
  <c r="K391" i="4"/>
  <c r="H391" i="4"/>
  <c r="I391" i="4" s="1"/>
  <c r="J391" i="4" s="1"/>
  <c r="G391" i="4"/>
  <c r="E391" i="4"/>
  <c r="D391" i="4"/>
  <c r="C391" i="4"/>
  <c r="B391" i="4"/>
  <c r="N390" i="4"/>
  <c r="K390" i="4"/>
  <c r="H390" i="4"/>
  <c r="I390" i="4" s="1"/>
  <c r="J390" i="4" s="1"/>
  <c r="G390" i="4"/>
  <c r="E390" i="4"/>
  <c r="D390" i="4"/>
  <c r="C390" i="4"/>
  <c r="B390" i="4"/>
  <c r="N389" i="4"/>
  <c r="K389" i="4"/>
  <c r="H389" i="4"/>
  <c r="I389" i="4" s="1"/>
  <c r="J389" i="4" s="1"/>
  <c r="G389" i="4"/>
  <c r="E389" i="4"/>
  <c r="D389" i="4"/>
  <c r="C389" i="4"/>
  <c r="B389" i="4"/>
  <c r="N388" i="4"/>
  <c r="K388" i="4"/>
  <c r="H388" i="4"/>
  <c r="I388" i="4" s="1"/>
  <c r="J388" i="4" s="1"/>
  <c r="G388" i="4"/>
  <c r="E388" i="4"/>
  <c r="D388" i="4"/>
  <c r="C388" i="4"/>
  <c r="B388" i="4"/>
  <c r="N387" i="4"/>
  <c r="K387" i="4"/>
  <c r="H387" i="4"/>
  <c r="I387" i="4" s="1"/>
  <c r="J387" i="4" s="1"/>
  <c r="G387" i="4"/>
  <c r="E387" i="4"/>
  <c r="D387" i="4"/>
  <c r="C387" i="4"/>
  <c r="B387" i="4"/>
  <c r="N386" i="4"/>
  <c r="K386" i="4"/>
  <c r="H386" i="4"/>
  <c r="I386" i="4" s="1"/>
  <c r="J386" i="4" s="1"/>
  <c r="G386" i="4"/>
  <c r="E386" i="4"/>
  <c r="D386" i="4"/>
  <c r="C386" i="4"/>
  <c r="B386" i="4"/>
  <c r="N385" i="4"/>
  <c r="K385" i="4"/>
  <c r="H385" i="4"/>
  <c r="I385" i="4" s="1"/>
  <c r="J385" i="4" s="1"/>
  <c r="G385" i="4"/>
  <c r="E385" i="4"/>
  <c r="D385" i="4"/>
  <c r="C385" i="4"/>
  <c r="B385" i="4"/>
  <c r="N384" i="4"/>
  <c r="K384" i="4"/>
  <c r="H384" i="4"/>
  <c r="I384" i="4" s="1"/>
  <c r="J384" i="4" s="1"/>
  <c r="G384" i="4"/>
  <c r="E384" i="4"/>
  <c r="D384" i="4"/>
  <c r="C384" i="4"/>
  <c r="B384" i="4"/>
  <c r="N383" i="4"/>
  <c r="K383" i="4"/>
  <c r="H383" i="4"/>
  <c r="I383" i="4" s="1"/>
  <c r="J383" i="4" s="1"/>
  <c r="G383" i="4"/>
  <c r="E383" i="4"/>
  <c r="D383" i="4"/>
  <c r="C383" i="4"/>
  <c r="B383" i="4"/>
  <c r="N382" i="4"/>
  <c r="K382" i="4"/>
  <c r="H382" i="4"/>
  <c r="I382" i="4" s="1"/>
  <c r="J382" i="4" s="1"/>
  <c r="G382" i="4"/>
  <c r="E382" i="4"/>
  <c r="D382" i="4"/>
  <c r="C382" i="4"/>
  <c r="B382" i="4"/>
  <c r="N381" i="4"/>
  <c r="K381" i="4"/>
  <c r="H381" i="4"/>
  <c r="I381" i="4" s="1"/>
  <c r="J381" i="4" s="1"/>
  <c r="G381" i="4"/>
  <c r="E381" i="4"/>
  <c r="D381" i="4"/>
  <c r="C381" i="4"/>
  <c r="B381" i="4"/>
  <c r="N380" i="4"/>
  <c r="K380" i="4"/>
  <c r="H380" i="4"/>
  <c r="I380" i="4" s="1"/>
  <c r="J380" i="4" s="1"/>
  <c r="G380" i="4"/>
  <c r="E380" i="4"/>
  <c r="D380" i="4"/>
  <c r="C380" i="4"/>
  <c r="B380" i="4"/>
  <c r="N379" i="4"/>
  <c r="K379" i="4"/>
  <c r="H379" i="4"/>
  <c r="I379" i="4" s="1"/>
  <c r="J379" i="4" s="1"/>
  <c r="G379" i="4"/>
  <c r="E379" i="4"/>
  <c r="D379" i="4"/>
  <c r="C379" i="4"/>
  <c r="B379" i="4"/>
  <c r="N378" i="4"/>
  <c r="K378" i="4"/>
  <c r="H378" i="4"/>
  <c r="I378" i="4" s="1"/>
  <c r="J378" i="4" s="1"/>
  <c r="G378" i="4"/>
  <c r="E378" i="4"/>
  <c r="D378" i="4"/>
  <c r="C378" i="4"/>
  <c r="B378" i="4"/>
  <c r="N377" i="4"/>
  <c r="K377" i="4"/>
  <c r="H377" i="4"/>
  <c r="I377" i="4" s="1"/>
  <c r="J377" i="4" s="1"/>
  <c r="G377" i="4"/>
  <c r="E377" i="4"/>
  <c r="D377" i="4"/>
  <c r="C377" i="4"/>
  <c r="B377" i="4"/>
  <c r="N376" i="4"/>
  <c r="K376" i="4"/>
  <c r="H376" i="4"/>
  <c r="I376" i="4" s="1"/>
  <c r="J376" i="4" s="1"/>
  <c r="G376" i="4"/>
  <c r="E376" i="4"/>
  <c r="D376" i="4"/>
  <c r="C376" i="4"/>
  <c r="B376" i="4"/>
  <c r="N375" i="4"/>
  <c r="K375" i="4"/>
  <c r="H375" i="4"/>
  <c r="I375" i="4" s="1"/>
  <c r="J375" i="4" s="1"/>
  <c r="G375" i="4"/>
  <c r="E375" i="4"/>
  <c r="D375" i="4"/>
  <c r="C375" i="4"/>
  <c r="B375" i="4"/>
  <c r="N374" i="4"/>
  <c r="K374" i="4"/>
  <c r="H374" i="4"/>
  <c r="I374" i="4" s="1"/>
  <c r="J374" i="4" s="1"/>
  <c r="G374" i="4"/>
  <c r="E374" i="4"/>
  <c r="D374" i="4"/>
  <c r="C374" i="4"/>
  <c r="B374" i="4"/>
  <c r="N373" i="4"/>
  <c r="K373" i="4"/>
  <c r="H373" i="4"/>
  <c r="I373" i="4" s="1"/>
  <c r="J373" i="4" s="1"/>
  <c r="G373" i="4"/>
  <c r="E373" i="4"/>
  <c r="D373" i="4"/>
  <c r="C373" i="4"/>
  <c r="B373" i="4"/>
  <c r="N372" i="4"/>
  <c r="K372" i="4"/>
  <c r="H372" i="4"/>
  <c r="I372" i="4" s="1"/>
  <c r="J372" i="4" s="1"/>
  <c r="G372" i="4"/>
  <c r="E372" i="4"/>
  <c r="D372" i="4"/>
  <c r="C372" i="4"/>
  <c r="B372" i="4"/>
  <c r="N371" i="4"/>
  <c r="K371" i="4"/>
  <c r="H371" i="4"/>
  <c r="I371" i="4" s="1"/>
  <c r="J371" i="4" s="1"/>
  <c r="G371" i="4"/>
  <c r="E371" i="4"/>
  <c r="D371" i="4"/>
  <c r="C371" i="4"/>
  <c r="B371" i="4"/>
  <c r="N370" i="4"/>
  <c r="K370" i="4"/>
  <c r="H370" i="4"/>
  <c r="I370" i="4" s="1"/>
  <c r="J370" i="4" s="1"/>
  <c r="G370" i="4"/>
  <c r="E370" i="4"/>
  <c r="D370" i="4"/>
  <c r="C370" i="4"/>
  <c r="B370" i="4"/>
  <c r="N369" i="4"/>
  <c r="K369" i="4"/>
  <c r="H369" i="4"/>
  <c r="I369" i="4" s="1"/>
  <c r="J369" i="4" s="1"/>
  <c r="G369" i="4"/>
  <c r="E369" i="4"/>
  <c r="D369" i="4"/>
  <c r="C369" i="4"/>
  <c r="B369" i="4"/>
  <c r="N368" i="4"/>
  <c r="K368" i="4"/>
  <c r="H368" i="4"/>
  <c r="I368" i="4" s="1"/>
  <c r="J368" i="4" s="1"/>
  <c r="G368" i="4"/>
  <c r="E368" i="4"/>
  <c r="D368" i="4"/>
  <c r="C368" i="4"/>
  <c r="B368" i="4"/>
  <c r="N367" i="4"/>
  <c r="K367" i="4"/>
  <c r="H367" i="4"/>
  <c r="I367" i="4" s="1"/>
  <c r="J367" i="4" s="1"/>
  <c r="G367" i="4"/>
  <c r="E367" i="4"/>
  <c r="D367" i="4"/>
  <c r="C367" i="4"/>
  <c r="B367" i="4"/>
  <c r="N366" i="4"/>
  <c r="K366" i="4"/>
  <c r="H366" i="4"/>
  <c r="I366" i="4" s="1"/>
  <c r="J366" i="4" s="1"/>
  <c r="G366" i="4"/>
  <c r="E366" i="4"/>
  <c r="D366" i="4"/>
  <c r="C366" i="4"/>
  <c r="B366" i="4"/>
  <c r="N365" i="4"/>
  <c r="K365" i="4"/>
  <c r="H365" i="4"/>
  <c r="I365" i="4" s="1"/>
  <c r="J365" i="4" s="1"/>
  <c r="G365" i="4"/>
  <c r="E365" i="4"/>
  <c r="D365" i="4"/>
  <c r="C365" i="4"/>
  <c r="B365" i="4"/>
  <c r="N364" i="4"/>
  <c r="K364" i="4"/>
  <c r="H364" i="4"/>
  <c r="I364" i="4" s="1"/>
  <c r="J364" i="4" s="1"/>
  <c r="G364" i="4"/>
  <c r="E364" i="4"/>
  <c r="D364" i="4"/>
  <c r="C364" i="4"/>
  <c r="B364" i="4"/>
  <c r="N363" i="4"/>
  <c r="K363" i="4"/>
  <c r="H363" i="4"/>
  <c r="I363" i="4" s="1"/>
  <c r="J363" i="4" s="1"/>
  <c r="G363" i="4"/>
  <c r="E363" i="4"/>
  <c r="D363" i="4"/>
  <c r="C363" i="4"/>
  <c r="B363" i="4"/>
  <c r="N362" i="4"/>
  <c r="K362" i="4"/>
  <c r="H362" i="4"/>
  <c r="I362" i="4" s="1"/>
  <c r="J362" i="4" s="1"/>
  <c r="G362" i="4"/>
  <c r="E362" i="4"/>
  <c r="D362" i="4"/>
  <c r="C362" i="4"/>
  <c r="B362" i="4"/>
  <c r="N361" i="4"/>
  <c r="K361" i="4"/>
  <c r="H361" i="4"/>
  <c r="I361" i="4" s="1"/>
  <c r="J361" i="4" s="1"/>
  <c r="G361" i="4"/>
  <c r="E361" i="4"/>
  <c r="D361" i="4"/>
  <c r="C361" i="4"/>
  <c r="B361" i="4"/>
  <c r="N360" i="4"/>
  <c r="K360" i="4"/>
  <c r="H360" i="4"/>
  <c r="I360" i="4" s="1"/>
  <c r="J360" i="4" s="1"/>
  <c r="G360" i="4"/>
  <c r="E360" i="4"/>
  <c r="D360" i="4"/>
  <c r="C360" i="4"/>
  <c r="B360" i="4"/>
  <c r="N359" i="4"/>
  <c r="K359" i="4"/>
  <c r="H359" i="4"/>
  <c r="I359" i="4" s="1"/>
  <c r="J359" i="4" s="1"/>
  <c r="G359" i="4"/>
  <c r="E359" i="4"/>
  <c r="D359" i="4"/>
  <c r="C359" i="4"/>
  <c r="B359" i="4"/>
  <c r="N358" i="4"/>
  <c r="K358" i="4"/>
  <c r="H358" i="4"/>
  <c r="I358" i="4" s="1"/>
  <c r="J358" i="4" s="1"/>
  <c r="G358" i="4"/>
  <c r="E358" i="4"/>
  <c r="D358" i="4"/>
  <c r="C358" i="4"/>
  <c r="B358" i="4"/>
  <c r="N357" i="4"/>
  <c r="K357" i="4"/>
  <c r="H357" i="4"/>
  <c r="I357" i="4" s="1"/>
  <c r="J357" i="4" s="1"/>
  <c r="G357" i="4"/>
  <c r="E357" i="4"/>
  <c r="D357" i="4"/>
  <c r="C357" i="4"/>
  <c r="B357" i="4"/>
  <c r="N356" i="4"/>
  <c r="K356" i="4"/>
  <c r="H356" i="4"/>
  <c r="I356" i="4" s="1"/>
  <c r="J356" i="4" s="1"/>
  <c r="G356" i="4"/>
  <c r="E356" i="4"/>
  <c r="D356" i="4"/>
  <c r="C356" i="4"/>
  <c r="B356" i="4"/>
  <c r="N355" i="4"/>
  <c r="K355" i="4"/>
  <c r="H355" i="4"/>
  <c r="I355" i="4" s="1"/>
  <c r="J355" i="4" s="1"/>
  <c r="G355" i="4"/>
  <c r="E355" i="4"/>
  <c r="D355" i="4"/>
  <c r="C355" i="4"/>
  <c r="B355" i="4"/>
  <c r="N354" i="4"/>
  <c r="K354" i="4"/>
  <c r="H354" i="4"/>
  <c r="I354" i="4" s="1"/>
  <c r="J354" i="4" s="1"/>
  <c r="G354" i="4"/>
  <c r="E354" i="4"/>
  <c r="D354" i="4"/>
  <c r="C354" i="4"/>
  <c r="B354" i="4"/>
  <c r="N353" i="4"/>
  <c r="K353" i="4"/>
  <c r="H353" i="4"/>
  <c r="I353" i="4" s="1"/>
  <c r="J353" i="4" s="1"/>
  <c r="G353" i="4"/>
  <c r="E353" i="4"/>
  <c r="D353" i="4"/>
  <c r="C353" i="4"/>
  <c r="B353" i="4"/>
  <c r="N352" i="4"/>
  <c r="K352" i="4"/>
  <c r="H352" i="4"/>
  <c r="I352" i="4" s="1"/>
  <c r="J352" i="4" s="1"/>
  <c r="G352" i="4"/>
  <c r="E352" i="4"/>
  <c r="D352" i="4"/>
  <c r="C352" i="4"/>
  <c r="B352" i="4"/>
  <c r="N351" i="4"/>
  <c r="K351" i="4"/>
  <c r="H351" i="4"/>
  <c r="I351" i="4" s="1"/>
  <c r="J351" i="4" s="1"/>
  <c r="G351" i="4"/>
  <c r="E351" i="4"/>
  <c r="D351" i="4"/>
  <c r="C351" i="4"/>
  <c r="B351" i="4"/>
  <c r="N350" i="4"/>
  <c r="K350" i="4"/>
  <c r="H350" i="4"/>
  <c r="I350" i="4" s="1"/>
  <c r="J350" i="4" s="1"/>
  <c r="G350" i="4"/>
  <c r="E350" i="4"/>
  <c r="D350" i="4"/>
  <c r="C350" i="4"/>
  <c r="B350" i="4"/>
  <c r="N349" i="4"/>
  <c r="K349" i="4"/>
  <c r="H349" i="4"/>
  <c r="I349" i="4" s="1"/>
  <c r="J349" i="4" s="1"/>
  <c r="G349" i="4"/>
  <c r="E349" i="4"/>
  <c r="D349" i="4"/>
  <c r="C349" i="4"/>
  <c r="B349" i="4"/>
  <c r="N348" i="4"/>
  <c r="K348" i="4"/>
  <c r="H348" i="4"/>
  <c r="I348" i="4" s="1"/>
  <c r="J348" i="4" s="1"/>
  <c r="G348" i="4"/>
  <c r="E348" i="4"/>
  <c r="D348" i="4"/>
  <c r="C348" i="4"/>
  <c r="B348" i="4"/>
  <c r="N347" i="4"/>
  <c r="K347" i="4"/>
  <c r="H347" i="4"/>
  <c r="I347" i="4" s="1"/>
  <c r="J347" i="4" s="1"/>
  <c r="G347" i="4"/>
  <c r="E347" i="4"/>
  <c r="D347" i="4"/>
  <c r="C347" i="4"/>
  <c r="B347" i="4"/>
  <c r="N346" i="4"/>
  <c r="K346" i="4"/>
  <c r="H346" i="4"/>
  <c r="I346" i="4" s="1"/>
  <c r="J346" i="4" s="1"/>
  <c r="G346" i="4"/>
  <c r="E346" i="4"/>
  <c r="D346" i="4"/>
  <c r="C346" i="4"/>
  <c r="B346" i="4"/>
  <c r="N345" i="4"/>
  <c r="M345" i="4"/>
  <c r="K345" i="4"/>
  <c r="H345" i="4"/>
  <c r="I345" i="4" s="1"/>
  <c r="J345" i="4" s="1"/>
  <c r="G345" i="4"/>
  <c r="E345" i="4"/>
  <c r="D345" i="4"/>
  <c r="C345" i="4"/>
  <c r="B345" i="4"/>
  <c r="N344" i="4"/>
  <c r="M344" i="4"/>
  <c r="K344" i="4"/>
  <c r="H344" i="4"/>
  <c r="I344" i="4" s="1"/>
  <c r="J344" i="4" s="1"/>
  <c r="G344" i="4"/>
  <c r="E344" i="4"/>
  <c r="D344" i="4"/>
  <c r="C344" i="4"/>
  <c r="B344" i="4"/>
  <c r="N343" i="4"/>
  <c r="M343" i="4"/>
  <c r="K343" i="4"/>
  <c r="H343" i="4"/>
  <c r="I343" i="4" s="1"/>
  <c r="J343" i="4" s="1"/>
  <c r="G343" i="4"/>
  <c r="E343" i="4"/>
  <c r="D343" i="4"/>
  <c r="C343" i="4"/>
  <c r="B343" i="4"/>
  <c r="N342" i="4"/>
  <c r="M342" i="4"/>
  <c r="K342" i="4"/>
  <c r="H342" i="4"/>
  <c r="I342" i="4" s="1"/>
  <c r="J342" i="4" s="1"/>
  <c r="G342" i="4"/>
  <c r="E342" i="4"/>
  <c r="D342" i="4"/>
  <c r="C342" i="4"/>
  <c r="B342" i="4"/>
  <c r="N341" i="4"/>
  <c r="M341" i="4"/>
  <c r="K341" i="4"/>
  <c r="H341" i="4"/>
  <c r="I341" i="4" s="1"/>
  <c r="J341" i="4" s="1"/>
  <c r="G341" i="4"/>
  <c r="E341" i="4"/>
  <c r="D341" i="4"/>
  <c r="C341" i="4"/>
  <c r="B341" i="4"/>
  <c r="N340" i="4"/>
  <c r="M340" i="4"/>
  <c r="K340" i="4"/>
  <c r="H340" i="4"/>
  <c r="I340" i="4" s="1"/>
  <c r="J340" i="4" s="1"/>
  <c r="G340" i="4"/>
  <c r="E340" i="4"/>
  <c r="D340" i="4"/>
  <c r="C340" i="4"/>
  <c r="B340" i="4"/>
  <c r="N339" i="4"/>
  <c r="M339" i="4"/>
  <c r="K339" i="4"/>
  <c r="H339" i="4"/>
  <c r="I339" i="4" s="1"/>
  <c r="J339" i="4" s="1"/>
  <c r="G339" i="4"/>
  <c r="E339" i="4"/>
  <c r="D339" i="4"/>
  <c r="C339" i="4"/>
  <c r="B339" i="4"/>
  <c r="N338" i="4"/>
  <c r="M338" i="4"/>
  <c r="K338" i="4"/>
  <c r="H338" i="4"/>
  <c r="I338" i="4" s="1"/>
  <c r="J338" i="4" s="1"/>
  <c r="G338" i="4"/>
  <c r="E338" i="4"/>
  <c r="D338" i="4"/>
  <c r="C338" i="4"/>
  <c r="B338" i="4"/>
  <c r="N337" i="4"/>
  <c r="M337" i="4"/>
  <c r="K337" i="4"/>
  <c r="H337" i="4"/>
  <c r="I337" i="4" s="1"/>
  <c r="J337" i="4" s="1"/>
  <c r="G337" i="4"/>
  <c r="E337" i="4"/>
  <c r="D337" i="4"/>
  <c r="C337" i="4"/>
  <c r="B337" i="4"/>
  <c r="N336" i="4"/>
  <c r="M336" i="4"/>
  <c r="K336" i="4"/>
  <c r="H336" i="4"/>
  <c r="I336" i="4" s="1"/>
  <c r="J336" i="4" s="1"/>
  <c r="G336" i="4"/>
  <c r="E336" i="4"/>
  <c r="D336" i="4"/>
  <c r="C336" i="4"/>
  <c r="B336" i="4"/>
  <c r="N335" i="4"/>
  <c r="M335" i="4"/>
  <c r="K335" i="4"/>
  <c r="H335" i="4"/>
  <c r="I335" i="4" s="1"/>
  <c r="J335" i="4" s="1"/>
  <c r="G335" i="4"/>
  <c r="E335" i="4"/>
  <c r="D335" i="4"/>
  <c r="C335" i="4"/>
  <c r="B335" i="4"/>
  <c r="N334" i="4"/>
  <c r="M334" i="4"/>
  <c r="K334" i="4"/>
  <c r="H334" i="4"/>
  <c r="I334" i="4" s="1"/>
  <c r="J334" i="4" s="1"/>
  <c r="G334" i="4"/>
  <c r="E334" i="4"/>
  <c r="D334" i="4"/>
  <c r="C334" i="4"/>
  <c r="B334" i="4"/>
  <c r="N333" i="4"/>
  <c r="M333" i="4"/>
  <c r="K333" i="4"/>
  <c r="H333" i="4"/>
  <c r="I333" i="4" s="1"/>
  <c r="J333" i="4" s="1"/>
  <c r="G333" i="4"/>
  <c r="E333" i="4"/>
  <c r="D333" i="4"/>
  <c r="C333" i="4"/>
  <c r="B333" i="4"/>
  <c r="N332" i="4"/>
  <c r="M332" i="4"/>
  <c r="K332" i="4"/>
  <c r="H332" i="4"/>
  <c r="I332" i="4" s="1"/>
  <c r="J332" i="4" s="1"/>
  <c r="G332" i="4"/>
  <c r="E332" i="4"/>
  <c r="D332" i="4"/>
  <c r="C332" i="4"/>
  <c r="B332" i="4"/>
  <c r="N331" i="4"/>
  <c r="M331" i="4"/>
  <c r="K331" i="4"/>
  <c r="H331" i="4"/>
  <c r="I331" i="4" s="1"/>
  <c r="J331" i="4" s="1"/>
  <c r="G331" i="4"/>
  <c r="E331" i="4"/>
  <c r="D331" i="4"/>
  <c r="C331" i="4"/>
  <c r="B331" i="4"/>
  <c r="N330" i="4"/>
  <c r="M330" i="4"/>
  <c r="K330" i="4"/>
  <c r="H330" i="4"/>
  <c r="I330" i="4" s="1"/>
  <c r="J330" i="4" s="1"/>
  <c r="G330" i="4"/>
  <c r="E330" i="4"/>
  <c r="D330" i="4"/>
  <c r="C330" i="4"/>
  <c r="B330" i="4"/>
  <c r="N329" i="4"/>
  <c r="M329" i="4"/>
  <c r="K329" i="4"/>
  <c r="H329" i="4"/>
  <c r="I329" i="4" s="1"/>
  <c r="J329" i="4" s="1"/>
  <c r="G329" i="4"/>
  <c r="E329" i="4"/>
  <c r="D329" i="4"/>
  <c r="C329" i="4"/>
  <c r="B329" i="4"/>
  <c r="N328" i="4"/>
  <c r="M328" i="4"/>
  <c r="K328" i="4"/>
  <c r="H328" i="4"/>
  <c r="I328" i="4" s="1"/>
  <c r="J328" i="4" s="1"/>
  <c r="G328" i="4"/>
  <c r="E328" i="4"/>
  <c r="D328" i="4"/>
  <c r="C328" i="4"/>
  <c r="B328" i="4"/>
  <c r="N327" i="4"/>
  <c r="M327" i="4"/>
  <c r="K327" i="4"/>
  <c r="H327" i="4"/>
  <c r="I327" i="4" s="1"/>
  <c r="J327" i="4" s="1"/>
  <c r="G327" i="4"/>
  <c r="E327" i="4"/>
  <c r="D327" i="4"/>
  <c r="C327" i="4"/>
  <c r="B327" i="4"/>
  <c r="N326" i="4"/>
  <c r="M326" i="4"/>
  <c r="K326" i="4"/>
  <c r="H326" i="4"/>
  <c r="I326" i="4" s="1"/>
  <c r="J326" i="4" s="1"/>
  <c r="G326" i="4"/>
  <c r="E326" i="4"/>
  <c r="D326" i="4"/>
  <c r="C326" i="4"/>
  <c r="B326" i="4"/>
  <c r="N325" i="4"/>
  <c r="M325" i="4"/>
  <c r="K325" i="4"/>
  <c r="H325" i="4"/>
  <c r="I325" i="4" s="1"/>
  <c r="J325" i="4" s="1"/>
  <c r="G325" i="4"/>
  <c r="E325" i="4"/>
  <c r="D325" i="4"/>
  <c r="C325" i="4"/>
  <c r="B325" i="4"/>
  <c r="N324" i="4"/>
  <c r="M324" i="4"/>
  <c r="K324" i="4"/>
  <c r="H324" i="4"/>
  <c r="I324" i="4" s="1"/>
  <c r="J324" i="4" s="1"/>
  <c r="G324" i="4"/>
  <c r="E324" i="4"/>
  <c r="D324" i="4"/>
  <c r="C324" i="4"/>
  <c r="B324" i="4"/>
  <c r="N323" i="4"/>
  <c r="M323" i="4"/>
  <c r="K323" i="4"/>
  <c r="H323" i="4"/>
  <c r="I323" i="4" s="1"/>
  <c r="J323" i="4" s="1"/>
  <c r="G323" i="4"/>
  <c r="E323" i="4"/>
  <c r="D323" i="4"/>
  <c r="C323" i="4"/>
  <c r="B323" i="4"/>
  <c r="N322" i="4"/>
  <c r="M322" i="4"/>
  <c r="K322" i="4"/>
  <c r="H322" i="4"/>
  <c r="I322" i="4" s="1"/>
  <c r="J322" i="4" s="1"/>
  <c r="G322" i="4"/>
  <c r="E322" i="4"/>
  <c r="D322" i="4"/>
  <c r="C322" i="4"/>
  <c r="B322" i="4"/>
  <c r="N321" i="4"/>
  <c r="M321" i="4"/>
  <c r="K321" i="4"/>
  <c r="H321" i="4"/>
  <c r="I321" i="4" s="1"/>
  <c r="J321" i="4" s="1"/>
  <c r="G321" i="4"/>
  <c r="E321" i="4"/>
  <c r="D321" i="4"/>
  <c r="C321" i="4"/>
  <c r="B321" i="4"/>
  <c r="N320" i="4"/>
  <c r="M320" i="4"/>
  <c r="K320" i="4"/>
  <c r="H320" i="4"/>
  <c r="I320" i="4" s="1"/>
  <c r="J320" i="4" s="1"/>
  <c r="G320" i="4"/>
  <c r="E320" i="4"/>
  <c r="D320" i="4"/>
  <c r="C320" i="4"/>
  <c r="B320" i="4"/>
  <c r="N319" i="4"/>
  <c r="M319" i="4"/>
  <c r="K319" i="4"/>
  <c r="H319" i="4"/>
  <c r="I319" i="4" s="1"/>
  <c r="J319" i="4" s="1"/>
  <c r="G319" i="4"/>
  <c r="E319" i="4"/>
  <c r="D319" i="4"/>
  <c r="C319" i="4"/>
  <c r="B319" i="4"/>
  <c r="N318" i="4"/>
  <c r="M318" i="4"/>
  <c r="K318" i="4"/>
  <c r="H318" i="4"/>
  <c r="I318" i="4" s="1"/>
  <c r="J318" i="4" s="1"/>
  <c r="G318" i="4"/>
  <c r="E318" i="4"/>
  <c r="D318" i="4"/>
  <c r="C318" i="4"/>
  <c r="B318" i="4"/>
  <c r="N317" i="4"/>
  <c r="M317" i="4"/>
  <c r="K317" i="4"/>
  <c r="H317" i="4"/>
  <c r="I317" i="4" s="1"/>
  <c r="J317" i="4" s="1"/>
  <c r="G317" i="4"/>
  <c r="E317" i="4"/>
  <c r="D317" i="4"/>
  <c r="C317" i="4"/>
  <c r="B317" i="4"/>
  <c r="N316" i="4"/>
  <c r="M316" i="4"/>
  <c r="K316" i="4"/>
  <c r="H316" i="4"/>
  <c r="I316" i="4" s="1"/>
  <c r="J316" i="4" s="1"/>
  <c r="G316" i="4"/>
  <c r="E316" i="4"/>
  <c r="D316" i="4"/>
  <c r="C316" i="4"/>
  <c r="B316" i="4"/>
  <c r="N315" i="4"/>
  <c r="M315" i="4"/>
  <c r="K315" i="4"/>
  <c r="H315" i="4"/>
  <c r="I315" i="4" s="1"/>
  <c r="J315" i="4" s="1"/>
  <c r="G315" i="4"/>
  <c r="E315" i="4"/>
  <c r="D315" i="4"/>
  <c r="C315" i="4"/>
  <c r="B315" i="4"/>
  <c r="N314" i="4"/>
  <c r="M314" i="4"/>
  <c r="K314" i="4"/>
  <c r="H314" i="4"/>
  <c r="I314" i="4" s="1"/>
  <c r="J314" i="4" s="1"/>
  <c r="G314" i="4"/>
  <c r="E314" i="4"/>
  <c r="D314" i="4"/>
  <c r="C314" i="4"/>
  <c r="B314" i="4"/>
  <c r="N313" i="4"/>
  <c r="M313" i="4"/>
  <c r="K313" i="4"/>
  <c r="H313" i="4"/>
  <c r="I313" i="4" s="1"/>
  <c r="J313" i="4" s="1"/>
  <c r="G313" i="4"/>
  <c r="E313" i="4"/>
  <c r="D313" i="4"/>
  <c r="C313" i="4"/>
  <c r="B313" i="4"/>
  <c r="N312" i="4"/>
  <c r="M312" i="4"/>
  <c r="K312" i="4"/>
  <c r="H312" i="4"/>
  <c r="I312" i="4" s="1"/>
  <c r="J312" i="4" s="1"/>
  <c r="G312" i="4"/>
  <c r="E312" i="4"/>
  <c r="D312" i="4"/>
  <c r="C312" i="4"/>
  <c r="B312" i="4"/>
  <c r="N311" i="4"/>
  <c r="M311" i="4"/>
  <c r="K311" i="4"/>
  <c r="H311" i="4"/>
  <c r="I311" i="4" s="1"/>
  <c r="J311" i="4" s="1"/>
  <c r="G311" i="4"/>
  <c r="E311" i="4"/>
  <c r="D311" i="4"/>
  <c r="C311" i="4"/>
  <c r="B311" i="4"/>
  <c r="K310" i="4"/>
  <c r="H310" i="4"/>
  <c r="I310" i="4" s="1"/>
  <c r="J310" i="4" s="1"/>
  <c r="G310" i="4"/>
  <c r="E310" i="4"/>
  <c r="D310" i="4"/>
  <c r="C310" i="4"/>
  <c r="B310" i="4"/>
  <c r="K309" i="4"/>
  <c r="H309" i="4"/>
  <c r="I309" i="4" s="1"/>
  <c r="J309" i="4" s="1"/>
  <c r="G309" i="4"/>
  <c r="E309" i="4"/>
  <c r="D309" i="4"/>
  <c r="C309" i="4"/>
  <c r="B309" i="4"/>
  <c r="K308" i="4"/>
  <c r="H308" i="4"/>
  <c r="I308" i="4" s="1"/>
  <c r="J308" i="4" s="1"/>
  <c r="G308" i="4"/>
  <c r="E308" i="4"/>
  <c r="D308" i="4"/>
  <c r="C308" i="4"/>
  <c r="B308" i="4"/>
  <c r="K307" i="4"/>
  <c r="H307" i="4"/>
  <c r="I307" i="4" s="1"/>
  <c r="J307" i="4" s="1"/>
  <c r="G307" i="4"/>
  <c r="E307" i="4"/>
  <c r="D307" i="4"/>
  <c r="C307" i="4"/>
  <c r="B307" i="4"/>
  <c r="K306" i="4"/>
  <c r="H306" i="4"/>
  <c r="I306" i="4" s="1"/>
  <c r="J306" i="4" s="1"/>
  <c r="G306" i="4"/>
  <c r="E306" i="4"/>
  <c r="D306" i="4"/>
  <c r="C306" i="4"/>
  <c r="B306" i="4"/>
  <c r="K305" i="4"/>
  <c r="H305" i="4"/>
  <c r="I305" i="4" s="1"/>
  <c r="J305" i="4" s="1"/>
  <c r="G305" i="4"/>
  <c r="E305" i="4"/>
  <c r="D305" i="4"/>
  <c r="C305" i="4"/>
  <c r="B305" i="4"/>
  <c r="K304" i="4"/>
  <c r="H304" i="4"/>
  <c r="I304" i="4" s="1"/>
  <c r="J304" i="4" s="1"/>
  <c r="G304" i="4"/>
  <c r="E304" i="4"/>
  <c r="D304" i="4"/>
  <c r="C304" i="4"/>
  <c r="B304" i="4"/>
  <c r="K303" i="4"/>
  <c r="H303" i="4"/>
  <c r="I303" i="4" s="1"/>
  <c r="J303" i="4" s="1"/>
  <c r="G303" i="4"/>
  <c r="E303" i="4"/>
  <c r="D303" i="4"/>
  <c r="C303" i="4"/>
  <c r="B303" i="4"/>
  <c r="K302" i="4"/>
  <c r="H302" i="4"/>
  <c r="I302" i="4" s="1"/>
  <c r="J302" i="4" s="1"/>
  <c r="G302" i="4"/>
  <c r="E302" i="4"/>
  <c r="D302" i="4"/>
  <c r="C302" i="4"/>
  <c r="B302" i="4"/>
  <c r="K301" i="4"/>
  <c r="H301" i="4"/>
  <c r="I301" i="4" s="1"/>
  <c r="J301" i="4" s="1"/>
  <c r="G301" i="4"/>
  <c r="E301" i="4"/>
  <c r="D301" i="4"/>
  <c r="C301" i="4"/>
  <c r="B301" i="4"/>
  <c r="K300" i="4"/>
  <c r="H300" i="4"/>
  <c r="I300" i="4" s="1"/>
  <c r="J300" i="4" s="1"/>
  <c r="G300" i="4"/>
  <c r="E300" i="4"/>
  <c r="D300" i="4"/>
  <c r="C300" i="4"/>
  <c r="B300" i="4"/>
  <c r="K299" i="4"/>
  <c r="H299" i="4"/>
  <c r="I299" i="4" s="1"/>
  <c r="J299" i="4" s="1"/>
  <c r="G299" i="4"/>
  <c r="E299" i="4"/>
  <c r="D299" i="4"/>
  <c r="C299" i="4"/>
  <c r="B299" i="4"/>
  <c r="K298" i="4"/>
  <c r="H298" i="4"/>
  <c r="I298" i="4" s="1"/>
  <c r="J298" i="4" s="1"/>
  <c r="G298" i="4"/>
  <c r="E298" i="4"/>
  <c r="D298" i="4"/>
  <c r="C298" i="4"/>
  <c r="B298" i="4"/>
  <c r="K297" i="4"/>
  <c r="H297" i="4"/>
  <c r="I297" i="4" s="1"/>
  <c r="J297" i="4" s="1"/>
  <c r="G297" i="4"/>
  <c r="E297" i="4"/>
  <c r="D297" i="4"/>
  <c r="C297" i="4"/>
  <c r="B297" i="4"/>
  <c r="K296" i="4"/>
  <c r="H296" i="4"/>
  <c r="I296" i="4" s="1"/>
  <c r="J296" i="4" s="1"/>
  <c r="G296" i="4"/>
  <c r="E296" i="4"/>
  <c r="D296" i="4"/>
  <c r="C296" i="4"/>
  <c r="B296" i="4"/>
  <c r="K295" i="4"/>
  <c r="H295" i="4"/>
  <c r="I295" i="4" s="1"/>
  <c r="J295" i="4" s="1"/>
  <c r="G295" i="4"/>
  <c r="E295" i="4"/>
  <c r="D295" i="4"/>
  <c r="C295" i="4"/>
  <c r="B295" i="4"/>
  <c r="K294" i="4"/>
  <c r="H294" i="4"/>
  <c r="I294" i="4" s="1"/>
  <c r="J294" i="4" s="1"/>
  <c r="G294" i="4"/>
  <c r="E294" i="4"/>
  <c r="D294" i="4"/>
  <c r="C294" i="4"/>
  <c r="B294" i="4"/>
  <c r="K293" i="4"/>
  <c r="H293" i="4"/>
  <c r="I293" i="4" s="1"/>
  <c r="J293" i="4" s="1"/>
  <c r="G293" i="4"/>
  <c r="E293" i="4"/>
  <c r="D293" i="4"/>
  <c r="C293" i="4"/>
  <c r="B293" i="4"/>
  <c r="K292" i="4"/>
  <c r="H292" i="4"/>
  <c r="I292" i="4" s="1"/>
  <c r="J292" i="4" s="1"/>
  <c r="G292" i="4"/>
  <c r="E292" i="4"/>
  <c r="D292" i="4"/>
  <c r="C292" i="4"/>
  <c r="B292" i="4"/>
  <c r="K291" i="4"/>
  <c r="H291" i="4"/>
  <c r="I291" i="4" s="1"/>
  <c r="J291" i="4" s="1"/>
  <c r="G291" i="4"/>
  <c r="E291" i="4"/>
  <c r="D291" i="4"/>
  <c r="C291" i="4"/>
  <c r="B291" i="4"/>
  <c r="K290" i="4"/>
  <c r="H290" i="4"/>
  <c r="I290" i="4" s="1"/>
  <c r="J290" i="4" s="1"/>
  <c r="G290" i="4"/>
  <c r="E290" i="4"/>
  <c r="D290" i="4"/>
  <c r="C290" i="4"/>
  <c r="B290" i="4"/>
  <c r="K289" i="4"/>
  <c r="H289" i="4"/>
  <c r="I289" i="4" s="1"/>
  <c r="J289" i="4" s="1"/>
  <c r="G289" i="4"/>
  <c r="E289" i="4"/>
  <c r="D289" i="4"/>
  <c r="C289" i="4"/>
  <c r="B289" i="4"/>
  <c r="K288" i="4"/>
  <c r="H288" i="4"/>
  <c r="I288" i="4" s="1"/>
  <c r="J288" i="4" s="1"/>
  <c r="G288" i="4"/>
  <c r="E288" i="4"/>
  <c r="D288" i="4"/>
  <c r="C288" i="4"/>
  <c r="B288" i="4"/>
  <c r="K287" i="4"/>
  <c r="H287" i="4"/>
  <c r="I287" i="4" s="1"/>
  <c r="J287" i="4" s="1"/>
  <c r="G287" i="4"/>
  <c r="E287" i="4"/>
  <c r="D287" i="4"/>
  <c r="C287" i="4"/>
  <c r="B287" i="4"/>
  <c r="K286" i="4"/>
  <c r="H286" i="4"/>
  <c r="I286" i="4" s="1"/>
  <c r="J286" i="4" s="1"/>
  <c r="G286" i="4"/>
  <c r="E286" i="4"/>
  <c r="D286" i="4"/>
  <c r="C286" i="4"/>
  <c r="B286" i="4"/>
  <c r="K285" i="4"/>
  <c r="H285" i="4"/>
  <c r="I285" i="4" s="1"/>
  <c r="J285" i="4" s="1"/>
  <c r="G285" i="4"/>
  <c r="E285" i="4"/>
  <c r="D285" i="4"/>
  <c r="C285" i="4"/>
  <c r="B285" i="4"/>
  <c r="K284" i="4"/>
  <c r="H284" i="4"/>
  <c r="I284" i="4" s="1"/>
  <c r="J284" i="4" s="1"/>
  <c r="G284" i="4"/>
  <c r="E284" i="4"/>
  <c r="D284" i="4"/>
  <c r="C284" i="4"/>
  <c r="B284" i="4"/>
  <c r="K283" i="4"/>
  <c r="H283" i="4"/>
  <c r="I283" i="4" s="1"/>
  <c r="J283" i="4" s="1"/>
  <c r="G283" i="4"/>
  <c r="E283" i="4"/>
  <c r="D283" i="4"/>
  <c r="C283" i="4"/>
  <c r="B283" i="4"/>
  <c r="K282" i="4"/>
  <c r="H282" i="4"/>
  <c r="I282" i="4" s="1"/>
  <c r="J282" i="4" s="1"/>
  <c r="G282" i="4"/>
  <c r="E282" i="4"/>
  <c r="D282" i="4"/>
  <c r="C282" i="4"/>
  <c r="B282" i="4"/>
  <c r="K281" i="4"/>
  <c r="H281" i="4"/>
  <c r="I281" i="4" s="1"/>
  <c r="J281" i="4" s="1"/>
  <c r="G281" i="4"/>
  <c r="E281" i="4"/>
  <c r="D281" i="4"/>
  <c r="C281" i="4"/>
  <c r="B281" i="4"/>
  <c r="K280" i="4"/>
  <c r="H280" i="4"/>
  <c r="I280" i="4" s="1"/>
  <c r="J280" i="4" s="1"/>
  <c r="G280" i="4"/>
  <c r="E280" i="4"/>
  <c r="D280" i="4"/>
  <c r="C280" i="4"/>
  <c r="B280" i="4"/>
  <c r="K279" i="4"/>
  <c r="H279" i="4"/>
  <c r="I279" i="4" s="1"/>
  <c r="J279" i="4" s="1"/>
  <c r="G279" i="4"/>
  <c r="E279" i="4"/>
  <c r="D279" i="4"/>
  <c r="C279" i="4"/>
  <c r="B279" i="4"/>
  <c r="K278" i="4"/>
  <c r="H278" i="4"/>
  <c r="I278" i="4" s="1"/>
  <c r="J278" i="4" s="1"/>
  <c r="G278" i="4"/>
  <c r="E278" i="4"/>
  <c r="D278" i="4"/>
  <c r="C278" i="4"/>
  <c r="B278" i="4"/>
  <c r="K277" i="4"/>
  <c r="H277" i="4"/>
  <c r="I277" i="4" s="1"/>
  <c r="J277" i="4" s="1"/>
  <c r="G277" i="4"/>
  <c r="E277" i="4"/>
  <c r="D277" i="4"/>
  <c r="C277" i="4"/>
  <c r="B277" i="4"/>
  <c r="K276" i="4"/>
  <c r="H276" i="4"/>
  <c r="I276" i="4" s="1"/>
  <c r="J276" i="4" s="1"/>
  <c r="G276" i="4"/>
  <c r="E276" i="4"/>
  <c r="D276" i="4"/>
  <c r="C276" i="4"/>
  <c r="B276" i="4"/>
  <c r="K275" i="4"/>
  <c r="H275" i="4"/>
  <c r="I275" i="4" s="1"/>
  <c r="J275" i="4" s="1"/>
  <c r="G275" i="4"/>
  <c r="E275" i="4"/>
  <c r="D275" i="4"/>
  <c r="C275" i="4"/>
  <c r="B275" i="4"/>
  <c r="K274" i="4"/>
  <c r="H274" i="4"/>
  <c r="I274" i="4" s="1"/>
  <c r="J274" i="4" s="1"/>
  <c r="G274" i="4"/>
  <c r="E274" i="4"/>
  <c r="D274" i="4"/>
  <c r="C274" i="4"/>
  <c r="B274" i="4"/>
  <c r="K273" i="4"/>
  <c r="H273" i="4"/>
  <c r="I273" i="4" s="1"/>
  <c r="J273" i="4" s="1"/>
  <c r="G273" i="4"/>
  <c r="E273" i="4"/>
  <c r="D273" i="4"/>
  <c r="C273" i="4"/>
  <c r="B273" i="4"/>
  <c r="K272" i="4"/>
  <c r="H272" i="4"/>
  <c r="I272" i="4" s="1"/>
  <c r="J272" i="4" s="1"/>
  <c r="G272" i="4"/>
  <c r="E272" i="4"/>
  <c r="D272" i="4"/>
  <c r="C272" i="4"/>
  <c r="B272" i="4"/>
  <c r="K271" i="4"/>
  <c r="H271" i="4"/>
  <c r="I271" i="4" s="1"/>
  <c r="J271" i="4" s="1"/>
  <c r="G271" i="4"/>
  <c r="E271" i="4"/>
  <c r="D271" i="4"/>
  <c r="C271" i="4"/>
  <c r="B271" i="4"/>
  <c r="K270" i="4"/>
  <c r="H270" i="4"/>
  <c r="I270" i="4" s="1"/>
  <c r="J270" i="4" s="1"/>
  <c r="G270" i="4"/>
  <c r="E270" i="4"/>
  <c r="D270" i="4"/>
  <c r="C270" i="4"/>
  <c r="B270" i="4"/>
  <c r="K269" i="4"/>
  <c r="H269" i="4"/>
  <c r="I269" i="4" s="1"/>
  <c r="J269" i="4" s="1"/>
  <c r="G269" i="4"/>
  <c r="E269" i="4"/>
  <c r="D269" i="4"/>
  <c r="C269" i="4"/>
  <c r="B269" i="4"/>
  <c r="K268" i="4"/>
  <c r="H268" i="4"/>
  <c r="I268" i="4" s="1"/>
  <c r="J268" i="4" s="1"/>
  <c r="G268" i="4"/>
  <c r="E268" i="4"/>
  <c r="D268" i="4"/>
  <c r="C268" i="4"/>
  <c r="B268" i="4"/>
  <c r="K267" i="4"/>
  <c r="H267" i="4"/>
  <c r="I267" i="4" s="1"/>
  <c r="J267" i="4" s="1"/>
  <c r="G267" i="4"/>
  <c r="E267" i="4"/>
  <c r="D267" i="4"/>
  <c r="C267" i="4"/>
  <c r="B267" i="4"/>
  <c r="K266" i="4"/>
  <c r="H266" i="4"/>
  <c r="I266" i="4" s="1"/>
  <c r="J266" i="4" s="1"/>
  <c r="G266" i="4"/>
  <c r="E266" i="4"/>
  <c r="D266" i="4"/>
  <c r="C266" i="4"/>
  <c r="B266" i="4"/>
  <c r="K265" i="4"/>
  <c r="H265" i="4"/>
  <c r="I265" i="4" s="1"/>
  <c r="J265" i="4" s="1"/>
  <c r="G265" i="4"/>
  <c r="E265" i="4"/>
  <c r="D265" i="4"/>
  <c r="C265" i="4"/>
  <c r="B265" i="4"/>
  <c r="K264" i="4"/>
  <c r="H264" i="4"/>
  <c r="I264" i="4" s="1"/>
  <c r="J264" i="4" s="1"/>
  <c r="G264" i="4"/>
  <c r="E264" i="4"/>
  <c r="D264" i="4"/>
  <c r="C264" i="4"/>
  <c r="B264" i="4"/>
  <c r="K263" i="4"/>
  <c r="H263" i="4"/>
  <c r="I263" i="4" s="1"/>
  <c r="J263" i="4" s="1"/>
  <c r="G263" i="4"/>
  <c r="E263" i="4"/>
  <c r="D263" i="4"/>
  <c r="C263" i="4"/>
  <c r="B263" i="4"/>
  <c r="K262" i="4"/>
  <c r="H262" i="4"/>
  <c r="I262" i="4" s="1"/>
  <c r="J262" i="4" s="1"/>
  <c r="G262" i="4"/>
  <c r="E262" i="4"/>
  <c r="D262" i="4"/>
  <c r="C262" i="4"/>
  <c r="B262" i="4"/>
  <c r="K261" i="4"/>
  <c r="H261" i="4"/>
  <c r="I261" i="4" s="1"/>
  <c r="J261" i="4" s="1"/>
  <c r="G261" i="4"/>
  <c r="E261" i="4"/>
  <c r="D261" i="4"/>
  <c r="C261" i="4"/>
  <c r="B261" i="4"/>
  <c r="K260" i="4"/>
  <c r="H260" i="4"/>
  <c r="I260" i="4" s="1"/>
  <c r="J260" i="4" s="1"/>
  <c r="G260" i="4"/>
  <c r="E260" i="4"/>
  <c r="D260" i="4"/>
  <c r="C260" i="4"/>
  <c r="B260" i="4"/>
  <c r="K259" i="4"/>
  <c r="H259" i="4"/>
  <c r="I259" i="4" s="1"/>
  <c r="J259" i="4" s="1"/>
  <c r="G259" i="4"/>
  <c r="E259" i="4"/>
  <c r="D259" i="4"/>
  <c r="C259" i="4"/>
  <c r="B259" i="4"/>
  <c r="K258" i="4"/>
  <c r="H258" i="4"/>
  <c r="I258" i="4" s="1"/>
  <c r="J258" i="4" s="1"/>
  <c r="G258" i="4"/>
  <c r="E258" i="4"/>
  <c r="D258" i="4"/>
  <c r="C258" i="4"/>
  <c r="B258" i="4"/>
  <c r="K257" i="4"/>
  <c r="H257" i="4"/>
  <c r="I257" i="4" s="1"/>
  <c r="J257" i="4" s="1"/>
  <c r="G257" i="4"/>
  <c r="E257" i="4"/>
  <c r="D257" i="4"/>
  <c r="C257" i="4"/>
  <c r="B257" i="4"/>
  <c r="K256" i="4"/>
  <c r="H256" i="4"/>
  <c r="I256" i="4" s="1"/>
  <c r="J256" i="4" s="1"/>
  <c r="G256" i="4"/>
  <c r="E256" i="4"/>
  <c r="D256" i="4"/>
  <c r="C256" i="4"/>
  <c r="B256" i="4"/>
  <c r="K255" i="4"/>
  <c r="H255" i="4"/>
  <c r="I255" i="4" s="1"/>
  <c r="J255" i="4" s="1"/>
  <c r="G255" i="4"/>
  <c r="E255" i="4"/>
  <c r="D255" i="4"/>
  <c r="C255" i="4"/>
  <c r="B255" i="4"/>
  <c r="K254" i="4"/>
  <c r="H254" i="4"/>
  <c r="I254" i="4" s="1"/>
  <c r="J254" i="4" s="1"/>
  <c r="G254" i="4"/>
  <c r="E254" i="4"/>
  <c r="D254" i="4"/>
  <c r="C254" i="4"/>
  <c r="B254" i="4"/>
  <c r="K253" i="4"/>
  <c r="H253" i="4"/>
  <c r="I253" i="4" s="1"/>
  <c r="J253" i="4" s="1"/>
  <c r="G253" i="4"/>
  <c r="E253" i="4"/>
  <c r="D253" i="4"/>
  <c r="C253" i="4"/>
  <c r="B253" i="4"/>
  <c r="K252" i="4"/>
  <c r="H252" i="4"/>
  <c r="I252" i="4" s="1"/>
  <c r="J252" i="4" s="1"/>
  <c r="G252" i="4"/>
  <c r="E252" i="4"/>
  <c r="D252" i="4"/>
  <c r="C252" i="4"/>
  <c r="B252" i="4"/>
  <c r="K251" i="4"/>
  <c r="H251" i="4"/>
  <c r="I251" i="4" s="1"/>
  <c r="J251" i="4" s="1"/>
  <c r="G251" i="4"/>
  <c r="E251" i="4"/>
  <c r="D251" i="4"/>
  <c r="C251" i="4"/>
  <c r="B251" i="4"/>
  <c r="K250" i="4"/>
  <c r="H250" i="4"/>
  <c r="I250" i="4" s="1"/>
  <c r="J250" i="4" s="1"/>
  <c r="G250" i="4"/>
  <c r="E250" i="4"/>
  <c r="D250" i="4"/>
  <c r="C250" i="4"/>
  <c r="B250" i="4"/>
  <c r="K249" i="4"/>
  <c r="H249" i="4"/>
  <c r="I249" i="4" s="1"/>
  <c r="J249" i="4" s="1"/>
  <c r="G249" i="4"/>
  <c r="E249" i="4"/>
  <c r="D249" i="4"/>
  <c r="C249" i="4"/>
  <c r="B249" i="4"/>
  <c r="K248" i="4"/>
  <c r="H248" i="4"/>
  <c r="I248" i="4" s="1"/>
  <c r="J248" i="4" s="1"/>
  <c r="G248" i="4"/>
  <c r="E248" i="4"/>
  <c r="D248" i="4"/>
  <c r="C248" i="4"/>
  <c r="B248" i="4"/>
  <c r="K247" i="4"/>
  <c r="H247" i="4"/>
  <c r="I247" i="4" s="1"/>
  <c r="J247" i="4" s="1"/>
  <c r="G247" i="4"/>
  <c r="E247" i="4"/>
  <c r="D247" i="4"/>
  <c r="C247" i="4"/>
  <c r="B247" i="4"/>
  <c r="K246" i="4"/>
  <c r="H246" i="4"/>
  <c r="I246" i="4" s="1"/>
  <c r="J246" i="4" s="1"/>
  <c r="G246" i="4"/>
  <c r="E246" i="4"/>
  <c r="D246" i="4"/>
  <c r="C246" i="4"/>
  <c r="B246" i="4"/>
  <c r="K245" i="4"/>
  <c r="H245" i="4"/>
  <c r="I245" i="4" s="1"/>
  <c r="J245" i="4" s="1"/>
  <c r="G245" i="4"/>
  <c r="E245" i="4"/>
  <c r="D245" i="4"/>
  <c r="C245" i="4"/>
  <c r="B245" i="4"/>
  <c r="K244" i="4"/>
  <c r="H244" i="4"/>
  <c r="I244" i="4" s="1"/>
  <c r="J244" i="4" s="1"/>
  <c r="G244" i="4"/>
  <c r="E244" i="4"/>
  <c r="D244" i="4"/>
  <c r="C244" i="4"/>
  <c r="B244" i="4"/>
  <c r="K243" i="4"/>
  <c r="H243" i="4"/>
  <c r="I243" i="4" s="1"/>
  <c r="J243" i="4" s="1"/>
  <c r="G243" i="4"/>
  <c r="E243" i="4"/>
  <c r="D243" i="4"/>
  <c r="C243" i="4"/>
  <c r="B243" i="4"/>
  <c r="K242" i="4"/>
  <c r="H242" i="4"/>
  <c r="I242" i="4" s="1"/>
  <c r="J242" i="4" s="1"/>
  <c r="G242" i="4"/>
  <c r="E242" i="4"/>
  <c r="D242" i="4"/>
  <c r="C242" i="4"/>
  <c r="B242" i="4"/>
  <c r="K241" i="4"/>
  <c r="H241" i="4"/>
  <c r="I241" i="4" s="1"/>
  <c r="J241" i="4" s="1"/>
  <c r="G241" i="4"/>
  <c r="E241" i="4"/>
  <c r="D241" i="4"/>
  <c r="C241" i="4"/>
  <c r="B241" i="4"/>
  <c r="K240" i="4"/>
  <c r="H240" i="4"/>
  <c r="I240" i="4" s="1"/>
  <c r="J240" i="4" s="1"/>
  <c r="G240" i="4"/>
  <c r="E240" i="4"/>
  <c r="D240" i="4"/>
  <c r="C240" i="4"/>
  <c r="B240" i="4"/>
  <c r="K239" i="4"/>
  <c r="H239" i="4"/>
  <c r="I239" i="4" s="1"/>
  <c r="J239" i="4" s="1"/>
  <c r="G239" i="4"/>
  <c r="E239" i="4"/>
  <c r="D239" i="4"/>
  <c r="C239" i="4"/>
  <c r="B239" i="4"/>
  <c r="K238" i="4"/>
  <c r="H238" i="4"/>
  <c r="I238" i="4" s="1"/>
  <c r="J238" i="4" s="1"/>
  <c r="G238" i="4"/>
  <c r="E238" i="4"/>
  <c r="D238" i="4"/>
  <c r="C238" i="4"/>
  <c r="B238" i="4"/>
  <c r="K237" i="4"/>
  <c r="H237" i="4"/>
  <c r="I237" i="4" s="1"/>
  <c r="J237" i="4" s="1"/>
  <c r="G237" i="4"/>
  <c r="E237" i="4"/>
  <c r="D237" i="4"/>
  <c r="C237" i="4"/>
  <c r="B237" i="4"/>
  <c r="K236" i="4"/>
  <c r="H236" i="4"/>
  <c r="I236" i="4" s="1"/>
  <c r="J236" i="4" s="1"/>
  <c r="G236" i="4"/>
  <c r="E236" i="4"/>
  <c r="D236" i="4"/>
  <c r="C236" i="4"/>
  <c r="B236" i="4"/>
  <c r="K235" i="4"/>
  <c r="H235" i="4"/>
  <c r="I235" i="4" s="1"/>
  <c r="J235" i="4" s="1"/>
  <c r="G235" i="4"/>
  <c r="E235" i="4"/>
  <c r="D235" i="4"/>
  <c r="C235" i="4"/>
  <c r="B235" i="4"/>
  <c r="K234" i="4"/>
  <c r="H234" i="4"/>
  <c r="I234" i="4" s="1"/>
  <c r="J234" i="4" s="1"/>
  <c r="G234" i="4"/>
  <c r="E234" i="4"/>
  <c r="D234" i="4"/>
  <c r="C234" i="4"/>
  <c r="B234" i="4"/>
  <c r="K233" i="4"/>
  <c r="H233" i="4"/>
  <c r="I233" i="4" s="1"/>
  <c r="J233" i="4" s="1"/>
  <c r="G233" i="4"/>
  <c r="E233" i="4"/>
  <c r="D233" i="4"/>
  <c r="C233" i="4"/>
  <c r="B233" i="4"/>
  <c r="K232" i="4"/>
  <c r="H232" i="4"/>
  <c r="I232" i="4" s="1"/>
  <c r="J232" i="4" s="1"/>
  <c r="G232" i="4"/>
  <c r="E232" i="4"/>
  <c r="D232" i="4"/>
  <c r="C232" i="4"/>
  <c r="B232" i="4"/>
  <c r="K231" i="4"/>
  <c r="H231" i="4"/>
  <c r="I231" i="4" s="1"/>
  <c r="J231" i="4" s="1"/>
  <c r="G231" i="4"/>
  <c r="E231" i="4"/>
  <c r="D231" i="4"/>
  <c r="C231" i="4"/>
  <c r="B231" i="4"/>
  <c r="K230" i="4"/>
  <c r="H230" i="4"/>
  <c r="I230" i="4" s="1"/>
  <c r="J230" i="4" s="1"/>
  <c r="G230" i="4"/>
  <c r="E230" i="4"/>
  <c r="D230" i="4"/>
  <c r="C230" i="4"/>
  <c r="B230" i="4"/>
  <c r="K229" i="4"/>
  <c r="H229" i="4"/>
  <c r="I229" i="4" s="1"/>
  <c r="J229" i="4" s="1"/>
  <c r="G229" i="4"/>
  <c r="E229" i="4"/>
  <c r="D229" i="4"/>
  <c r="C229" i="4"/>
  <c r="B229" i="4"/>
  <c r="K228" i="4"/>
  <c r="H228" i="4"/>
  <c r="I228" i="4" s="1"/>
  <c r="J228" i="4" s="1"/>
  <c r="G228" i="4"/>
  <c r="E228" i="4"/>
  <c r="D228" i="4"/>
  <c r="C228" i="4"/>
  <c r="B228" i="4"/>
  <c r="K227" i="4"/>
  <c r="H227" i="4"/>
  <c r="I227" i="4" s="1"/>
  <c r="J227" i="4" s="1"/>
  <c r="G227" i="4"/>
  <c r="E227" i="4"/>
  <c r="D227" i="4"/>
  <c r="C227" i="4"/>
  <c r="B227" i="4"/>
  <c r="K226" i="4"/>
  <c r="H226" i="4"/>
  <c r="I226" i="4" s="1"/>
  <c r="J226" i="4" s="1"/>
  <c r="G226" i="4"/>
  <c r="E226" i="4"/>
  <c r="D226" i="4"/>
  <c r="C226" i="4"/>
  <c r="B226" i="4"/>
  <c r="K225" i="4"/>
  <c r="H225" i="4"/>
  <c r="I225" i="4" s="1"/>
  <c r="J225" i="4" s="1"/>
  <c r="G225" i="4"/>
  <c r="E225" i="4"/>
  <c r="D225" i="4"/>
  <c r="C225" i="4"/>
  <c r="B225" i="4"/>
  <c r="K224" i="4"/>
  <c r="H224" i="4"/>
  <c r="I224" i="4" s="1"/>
  <c r="J224" i="4" s="1"/>
  <c r="G224" i="4"/>
  <c r="E224" i="4"/>
  <c r="D224" i="4"/>
  <c r="C224" i="4"/>
  <c r="B224" i="4"/>
  <c r="K223" i="4"/>
  <c r="H223" i="4"/>
  <c r="I223" i="4" s="1"/>
  <c r="J223" i="4" s="1"/>
  <c r="G223" i="4"/>
  <c r="E223" i="4"/>
  <c r="D223" i="4"/>
  <c r="C223" i="4"/>
  <c r="B223" i="4"/>
  <c r="K222" i="4"/>
  <c r="H222" i="4"/>
  <c r="I222" i="4" s="1"/>
  <c r="J222" i="4" s="1"/>
  <c r="G222" i="4"/>
  <c r="E222" i="4"/>
  <c r="D222" i="4"/>
  <c r="C222" i="4"/>
  <c r="B222" i="4"/>
  <c r="K221" i="4"/>
  <c r="H221" i="4"/>
  <c r="I221" i="4" s="1"/>
  <c r="J221" i="4" s="1"/>
  <c r="G221" i="4"/>
  <c r="E221" i="4"/>
  <c r="D221" i="4"/>
  <c r="C221" i="4"/>
  <c r="B221" i="4"/>
  <c r="K220" i="4"/>
  <c r="H220" i="4"/>
  <c r="I220" i="4" s="1"/>
  <c r="J220" i="4" s="1"/>
  <c r="G220" i="4"/>
  <c r="E220" i="4"/>
  <c r="D220" i="4"/>
  <c r="C220" i="4"/>
  <c r="B220" i="4"/>
  <c r="K219" i="4"/>
  <c r="H219" i="4"/>
  <c r="I219" i="4" s="1"/>
  <c r="J219" i="4" s="1"/>
  <c r="G219" i="4"/>
  <c r="E219" i="4"/>
  <c r="D219" i="4"/>
  <c r="C219" i="4"/>
  <c r="B219" i="4"/>
  <c r="K218" i="4"/>
  <c r="H218" i="4"/>
  <c r="I218" i="4" s="1"/>
  <c r="J218" i="4" s="1"/>
  <c r="G218" i="4"/>
  <c r="E218" i="4"/>
  <c r="D218" i="4"/>
  <c r="C218" i="4"/>
  <c r="B218" i="4"/>
  <c r="K217" i="4"/>
  <c r="H217" i="4"/>
  <c r="I217" i="4" s="1"/>
  <c r="J217" i="4" s="1"/>
  <c r="G217" i="4"/>
  <c r="E217" i="4"/>
  <c r="D217" i="4"/>
  <c r="C217" i="4"/>
  <c r="B217" i="4"/>
  <c r="K216" i="4"/>
  <c r="H216" i="4"/>
  <c r="I216" i="4" s="1"/>
  <c r="J216" i="4" s="1"/>
  <c r="G216" i="4"/>
  <c r="E216" i="4"/>
  <c r="D216" i="4"/>
  <c r="C216" i="4"/>
  <c r="B216" i="4"/>
  <c r="K215" i="4"/>
  <c r="H215" i="4"/>
  <c r="I215" i="4" s="1"/>
  <c r="J215" i="4" s="1"/>
  <c r="G215" i="4"/>
  <c r="E215" i="4"/>
  <c r="D215" i="4"/>
  <c r="C215" i="4"/>
  <c r="B215" i="4"/>
  <c r="K214" i="4"/>
  <c r="H214" i="4"/>
  <c r="I214" i="4" s="1"/>
  <c r="J214" i="4" s="1"/>
  <c r="G214" i="4"/>
  <c r="E214" i="4"/>
  <c r="D214" i="4"/>
  <c r="C214" i="4"/>
  <c r="B214" i="4"/>
  <c r="K213" i="4"/>
  <c r="H213" i="4"/>
  <c r="I213" i="4" s="1"/>
  <c r="J213" i="4" s="1"/>
  <c r="G213" i="4"/>
  <c r="E213" i="4"/>
  <c r="D213" i="4"/>
  <c r="C213" i="4"/>
  <c r="B213" i="4"/>
  <c r="K212" i="4"/>
  <c r="H212" i="4"/>
  <c r="I212" i="4" s="1"/>
  <c r="J212" i="4" s="1"/>
  <c r="G212" i="4"/>
  <c r="E212" i="4"/>
  <c r="D212" i="4"/>
  <c r="C212" i="4"/>
  <c r="B212" i="4"/>
  <c r="K211" i="4"/>
  <c r="H211" i="4"/>
  <c r="I211" i="4" s="1"/>
  <c r="J211" i="4" s="1"/>
  <c r="G211" i="4"/>
  <c r="E211" i="4"/>
  <c r="D211" i="4"/>
  <c r="C211" i="4"/>
  <c r="B211" i="4"/>
  <c r="K210" i="4"/>
  <c r="H210" i="4"/>
  <c r="I210" i="4" s="1"/>
  <c r="J210" i="4" s="1"/>
  <c r="G210" i="4"/>
  <c r="E210" i="4"/>
  <c r="D210" i="4"/>
  <c r="C210" i="4"/>
  <c r="B210" i="4"/>
  <c r="K209" i="4"/>
  <c r="H209" i="4"/>
  <c r="I209" i="4" s="1"/>
  <c r="J209" i="4" s="1"/>
  <c r="G209" i="4"/>
  <c r="E209" i="4"/>
  <c r="D209" i="4"/>
  <c r="C209" i="4"/>
  <c r="B209" i="4"/>
  <c r="K208" i="4"/>
  <c r="H208" i="4"/>
  <c r="I208" i="4" s="1"/>
  <c r="J208" i="4" s="1"/>
  <c r="G208" i="4"/>
  <c r="E208" i="4"/>
  <c r="D208" i="4"/>
  <c r="C208" i="4"/>
  <c r="B208" i="4"/>
  <c r="K207" i="4"/>
  <c r="H207" i="4"/>
  <c r="I207" i="4" s="1"/>
  <c r="J207" i="4" s="1"/>
  <c r="G207" i="4"/>
  <c r="E207" i="4"/>
  <c r="D207" i="4"/>
  <c r="C207" i="4"/>
  <c r="B207" i="4"/>
  <c r="K206" i="4"/>
  <c r="H206" i="4"/>
  <c r="I206" i="4" s="1"/>
  <c r="J206" i="4" s="1"/>
  <c r="G206" i="4"/>
  <c r="E206" i="4"/>
  <c r="D206" i="4"/>
  <c r="C206" i="4"/>
  <c r="B206" i="4"/>
  <c r="K205" i="4"/>
  <c r="H205" i="4"/>
  <c r="I205" i="4" s="1"/>
  <c r="J205" i="4" s="1"/>
  <c r="G205" i="4"/>
  <c r="E205" i="4"/>
  <c r="D205" i="4"/>
  <c r="C205" i="4"/>
  <c r="B205" i="4"/>
  <c r="K204" i="4"/>
  <c r="H204" i="4"/>
  <c r="I204" i="4" s="1"/>
  <c r="J204" i="4" s="1"/>
  <c r="G204" i="4"/>
  <c r="E204" i="4"/>
  <c r="D204" i="4"/>
  <c r="C204" i="4"/>
  <c r="B204" i="4"/>
  <c r="K203" i="4"/>
  <c r="H203" i="4"/>
  <c r="I203" i="4" s="1"/>
  <c r="J203" i="4" s="1"/>
  <c r="G203" i="4"/>
  <c r="E203" i="4"/>
  <c r="D203" i="4"/>
  <c r="C203" i="4"/>
  <c r="B203" i="4"/>
  <c r="K202" i="4"/>
  <c r="H202" i="4"/>
  <c r="I202" i="4" s="1"/>
  <c r="J202" i="4" s="1"/>
  <c r="G202" i="4"/>
  <c r="E202" i="4"/>
  <c r="D202" i="4"/>
  <c r="C202" i="4"/>
  <c r="B202" i="4"/>
  <c r="K201" i="4"/>
  <c r="H201" i="4"/>
  <c r="I201" i="4" s="1"/>
  <c r="J201" i="4" s="1"/>
  <c r="G201" i="4"/>
  <c r="E201" i="4"/>
  <c r="D201" i="4"/>
  <c r="C201" i="4"/>
  <c r="B201" i="4"/>
  <c r="K200" i="4"/>
  <c r="H200" i="4"/>
  <c r="I200" i="4" s="1"/>
  <c r="J200" i="4" s="1"/>
  <c r="G200" i="4"/>
  <c r="E200" i="4"/>
  <c r="D200" i="4"/>
  <c r="C200" i="4"/>
  <c r="B200" i="4"/>
  <c r="K199" i="4"/>
  <c r="H199" i="4"/>
  <c r="I199" i="4" s="1"/>
  <c r="J199" i="4" s="1"/>
  <c r="G199" i="4"/>
  <c r="E199" i="4"/>
  <c r="D199" i="4"/>
  <c r="C199" i="4"/>
  <c r="B199" i="4"/>
  <c r="K198" i="4"/>
  <c r="H198" i="4"/>
  <c r="I198" i="4" s="1"/>
  <c r="J198" i="4" s="1"/>
  <c r="G198" i="4"/>
  <c r="E198" i="4"/>
  <c r="D198" i="4"/>
  <c r="C198" i="4"/>
  <c r="B198" i="4"/>
  <c r="K197" i="4"/>
  <c r="H197" i="4"/>
  <c r="I197" i="4" s="1"/>
  <c r="J197" i="4" s="1"/>
  <c r="G197" i="4"/>
  <c r="E197" i="4"/>
  <c r="D197" i="4"/>
  <c r="C197" i="4"/>
  <c r="B197" i="4"/>
  <c r="K196" i="4"/>
  <c r="H196" i="4"/>
  <c r="I196" i="4" s="1"/>
  <c r="J196" i="4" s="1"/>
  <c r="G196" i="4"/>
  <c r="E196" i="4"/>
  <c r="D196" i="4"/>
  <c r="C196" i="4"/>
  <c r="B196" i="4"/>
  <c r="K195" i="4"/>
  <c r="H195" i="4"/>
  <c r="I195" i="4" s="1"/>
  <c r="J195" i="4" s="1"/>
  <c r="G195" i="4"/>
  <c r="E195" i="4"/>
  <c r="D195" i="4"/>
  <c r="C195" i="4"/>
  <c r="B195" i="4"/>
  <c r="K194" i="4"/>
  <c r="H194" i="4"/>
  <c r="I194" i="4" s="1"/>
  <c r="J194" i="4" s="1"/>
  <c r="G194" i="4"/>
  <c r="E194" i="4"/>
  <c r="D194" i="4"/>
  <c r="C194" i="4"/>
  <c r="B194" i="4"/>
  <c r="K193" i="4"/>
  <c r="H193" i="4"/>
  <c r="I193" i="4" s="1"/>
  <c r="J193" i="4" s="1"/>
  <c r="G193" i="4"/>
  <c r="E193" i="4"/>
  <c r="D193" i="4"/>
  <c r="C193" i="4"/>
  <c r="B193" i="4"/>
  <c r="K192" i="4"/>
  <c r="H192" i="4"/>
  <c r="I192" i="4" s="1"/>
  <c r="J192" i="4" s="1"/>
  <c r="G192" i="4"/>
  <c r="E192" i="4"/>
  <c r="D192" i="4"/>
  <c r="C192" i="4"/>
  <c r="B192" i="4"/>
  <c r="K191" i="4"/>
  <c r="H191" i="4"/>
  <c r="I191" i="4" s="1"/>
  <c r="J191" i="4" s="1"/>
  <c r="G191" i="4"/>
  <c r="E191" i="4"/>
  <c r="D191" i="4"/>
  <c r="C191" i="4"/>
  <c r="B191" i="4"/>
  <c r="K190" i="4"/>
  <c r="H190" i="4"/>
  <c r="I190" i="4" s="1"/>
  <c r="J190" i="4" s="1"/>
  <c r="G190" i="4"/>
  <c r="E190" i="4"/>
  <c r="D190" i="4"/>
  <c r="C190" i="4"/>
  <c r="B190" i="4"/>
  <c r="K189" i="4"/>
  <c r="H189" i="4"/>
  <c r="I189" i="4" s="1"/>
  <c r="J189" i="4" s="1"/>
  <c r="G189" i="4"/>
  <c r="E189" i="4"/>
  <c r="D189" i="4"/>
  <c r="C189" i="4"/>
  <c r="B189" i="4"/>
  <c r="K188" i="4"/>
  <c r="H188" i="4"/>
  <c r="I188" i="4" s="1"/>
  <c r="J188" i="4" s="1"/>
  <c r="G188" i="4"/>
  <c r="E188" i="4"/>
  <c r="D188" i="4"/>
  <c r="C188" i="4"/>
  <c r="B188" i="4"/>
  <c r="K187" i="4"/>
  <c r="H187" i="4"/>
  <c r="I187" i="4" s="1"/>
  <c r="J187" i="4" s="1"/>
  <c r="G187" i="4"/>
  <c r="E187" i="4"/>
  <c r="D187" i="4"/>
  <c r="C187" i="4"/>
  <c r="B187" i="4"/>
  <c r="K186" i="4"/>
  <c r="H186" i="4"/>
  <c r="I186" i="4" s="1"/>
  <c r="J186" i="4" s="1"/>
  <c r="G186" i="4"/>
  <c r="E186" i="4"/>
  <c r="D186" i="4"/>
  <c r="C186" i="4"/>
  <c r="B186" i="4"/>
  <c r="K185" i="4"/>
  <c r="H185" i="4"/>
  <c r="I185" i="4" s="1"/>
  <c r="J185" i="4" s="1"/>
  <c r="G185" i="4"/>
  <c r="E185" i="4"/>
  <c r="D185" i="4"/>
  <c r="C185" i="4"/>
  <c r="B185" i="4"/>
  <c r="K184" i="4"/>
  <c r="H184" i="4"/>
  <c r="I184" i="4" s="1"/>
  <c r="J184" i="4" s="1"/>
  <c r="G184" i="4"/>
  <c r="E184" i="4"/>
  <c r="D184" i="4"/>
  <c r="C184" i="4"/>
  <c r="B184" i="4"/>
  <c r="K183" i="4"/>
  <c r="H183" i="4"/>
  <c r="I183" i="4" s="1"/>
  <c r="J183" i="4" s="1"/>
  <c r="G183" i="4"/>
  <c r="E183" i="4"/>
  <c r="D183" i="4"/>
  <c r="C183" i="4"/>
  <c r="B183" i="4"/>
  <c r="K182" i="4"/>
  <c r="H182" i="4"/>
  <c r="I182" i="4" s="1"/>
  <c r="J182" i="4" s="1"/>
  <c r="G182" i="4"/>
  <c r="E182" i="4"/>
  <c r="D182" i="4"/>
  <c r="C182" i="4"/>
  <c r="B182" i="4"/>
  <c r="K181" i="4"/>
  <c r="H181" i="4"/>
  <c r="I181" i="4" s="1"/>
  <c r="J181" i="4" s="1"/>
  <c r="G181" i="4"/>
  <c r="E181" i="4"/>
  <c r="D181" i="4"/>
  <c r="C181" i="4"/>
  <c r="B181" i="4"/>
  <c r="K180" i="4"/>
  <c r="H180" i="4"/>
  <c r="I180" i="4" s="1"/>
  <c r="J180" i="4" s="1"/>
  <c r="G180" i="4"/>
  <c r="E180" i="4"/>
  <c r="D180" i="4"/>
  <c r="C180" i="4"/>
  <c r="B180" i="4"/>
  <c r="K179" i="4"/>
  <c r="H179" i="4"/>
  <c r="I179" i="4" s="1"/>
  <c r="J179" i="4" s="1"/>
  <c r="G179" i="4"/>
  <c r="E179" i="4"/>
  <c r="D179" i="4"/>
  <c r="C179" i="4"/>
  <c r="B179" i="4"/>
  <c r="K178" i="4"/>
  <c r="H178" i="4"/>
  <c r="I178" i="4" s="1"/>
  <c r="J178" i="4" s="1"/>
  <c r="G178" i="4"/>
  <c r="E178" i="4"/>
  <c r="D178" i="4"/>
  <c r="C178" i="4"/>
  <c r="B178" i="4"/>
  <c r="K177" i="4"/>
  <c r="H177" i="4"/>
  <c r="I177" i="4" s="1"/>
  <c r="J177" i="4" s="1"/>
  <c r="G177" i="4"/>
  <c r="E177" i="4"/>
  <c r="D177" i="4"/>
  <c r="C177" i="4"/>
  <c r="B177" i="4"/>
  <c r="K176" i="4"/>
  <c r="H176" i="4"/>
  <c r="I176" i="4" s="1"/>
  <c r="J176" i="4" s="1"/>
  <c r="G176" i="4"/>
  <c r="E176" i="4"/>
  <c r="D176" i="4"/>
  <c r="C176" i="4"/>
  <c r="B176" i="4"/>
  <c r="K175" i="4"/>
  <c r="H175" i="4"/>
  <c r="I175" i="4" s="1"/>
  <c r="J175" i="4" s="1"/>
  <c r="G175" i="4"/>
  <c r="E175" i="4"/>
  <c r="D175" i="4"/>
  <c r="C175" i="4"/>
  <c r="B175" i="4"/>
  <c r="K174" i="4"/>
  <c r="H174" i="4"/>
  <c r="I174" i="4" s="1"/>
  <c r="J174" i="4" s="1"/>
  <c r="G174" i="4"/>
  <c r="E174" i="4"/>
  <c r="D174" i="4"/>
  <c r="C174" i="4"/>
  <c r="B174" i="4"/>
  <c r="K173" i="4"/>
  <c r="H173" i="4"/>
  <c r="I173" i="4" s="1"/>
  <c r="J173" i="4" s="1"/>
  <c r="G173" i="4"/>
  <c r="E173" i="4"/>
  <c r="D173" i="4"/>
  <c r="C173" i="4"/>
  <c r="B173" i="4"/>
  <c r="K172" i="4"/>
  <c r="H172" i="4"/>
  <c r="I172" i="4" s="1"/>
  <c r="J172" i="4" s="1"/>
  <c r="G172" i="4"/>
  <c r="E172" i="4"/>
  <c r="D172" i="4"/>
  <c r="C172" i="4"/>
  <c r="B172" i="4"/>
  <c r="K171" i="4"/>
  <c r="H171" i="4"/>
  <c r="I171" i="4" s="1"/>
  <c r="J171" i="4" s="1"/>
  <c r="G171" i="4"/>
  <c r="E171" i="4"/>
  <c r="D171" i="4"/>
  <c r="C171" i="4"/>
  <c r="B171" i="4"/>
  <c r="K170" i="4"/>
  <c r="H170" i="4"/>
  <c r="I170" i="4" s="1"/>
  <c r="J170" i="4" s="1"/>
  <c r="G170" i="4"/>
  <c r="E170" i="4"/>
  <c r="D170" i="4"/>
  <c r="C170" i="4"/>
  <c r="B170" i="4"/>
  <c r="K169" i="4"/>
  <c r="H169" i="4"/>
  <c r="I169" i="4" s="1"/>
  <c r="J169" i="4" s="1"/>
  <c r="G169" i="4"/>
  <c r="E169" i="4"/>
  <c r="D169" i="4"/>
  <c r="C169" i="4"/>
  <c r="B169" i="4"/>
  <c r="K168" i="4"/>
  <c r="H168" i="4"/>
  <c r="I168" i="4" s="1"/>
  <c r="J168" i="4" s="1"/>
  <c r="G168" i="4"/>
  <c r="E168" i="4"/>
  <c r="D168" i="4"/>
  <c r="C168" i="4"/>
  <c r="B168" i="4"/>
  <c r="K167" i="4"/>
  <c r="H167" i="4"/>
  <c r="I167" i="4" s="1"/>
  <c r="J167" i="4" s="1"/>
  <c r="G167" i="4"/>
  <c r="E167" i="4"/>
  <c r="D167" i="4"/>
  <c r="C167" i="4"/>
  <c r="B167" i="4"/>
  <c r="K166" i="4"/>
  <c r="H166" i="4"/>
  <c r="I166" i="4" s="1"/>
  <c r="J166" i="4" s="1"/>
  <c r="G166" i="4"/>
  <c r="E166" i="4"/>
  <c r="D166" i="4"/>
  <c r="C166" i="4"/>
  <c r="B166" i="4"/>
  <c r="K165" i="4"/>
  <c r="H165" i="4"/>
  <c r="I165" i="4" s="1"/>
  <c r="J165" i="4" s="1"/>
  <c r="G165" i="4"/>
  <c r="E165" i="4"/>
  <c r="D165" i="4"/>
  <c r="C165" i="4"/>
  <c r="B165" i="4"/>
  <c r="K164" i="4"/>
  <c r="H164" i="4"/>
  <c r="I164" i="4" s="1"/>
  <c r="J164" i="4" s="1"/>
  <c r="G164" i="4"/>
  <c r="E164" i="4"/>
  <c r="D164" i="4"/>
  <c r="C164" i="4"/>
  <c r="B164" i="4"/>
  <c r="K163" i="4"/>
  <c r="H163" i="4"/>
  <c r="I163" i="4" s="1"/>
  <c r="J163" i="4" s="1"/>
  <c r="G163" i="4"/>
  <c r="E163" i="4"/>
  <c r="D163" i="4"/>
  <c r="C163" i="4"/>
  <c r="B163" i="4"/>
  <c r="K162" i="4"/>
  <c r="H162" i="4"/>
  <c r="I162" i="4" s="1"/>
  <c r="J162" i="4" s="1"/>
  <c r="G162" i="4"/>
  <c r="E162" i="4"/>
  <c r="D162" i="4"/>
  <c r="C162" i="4"/>
  <c r="B162" i="4"/>
  <c r="K161" i="4"/>
  <c r="H161" i="4"/>
  <c r="I161" i="4" s="1"/>
  <c r="J161" i="4" s="1"/>
  <c r="G161" i="4"/>
  <c r="E161" i="4"/>
  <c r="D161" i="4"/>
  <c r="C161" i="4"/>
  <c r="B161" i="4"/>
  <c r="K160" i="4"/>
  <c r="H160" i="4"/>
  <c r="I160" i="4" s="1"/>
  <c r="J160" i="4" s="1"/>
  <c r="G160" i="4"/>
  <c r="E160" i="4"/>
  <c r="D160" i="4"/>
  <c r="C160" i="4"/>
  <c r="B160" i="4"/>
  <c r="K159" i="4"/>
  <c r="H159" i="4"/>
  <c r="I159" i="4" s="1"/>
  <c r="J159" i="4" s="1"/>
  <c r="G159" i="4"/>
  <c r="E159" i="4"/>
  <c r="D159" i="4"/>
  <c r="C159" i="4"/>
  <c r="B159" i="4"/>
  <c r="K158" i="4"/>
  <c r="H158" i="4"/>
  <c r="I158" i="4" s="1"/>
  <c r="J158" i="4" s="1"/>
  <c r="G158" i="4"/>
  <c r="E158" i="4"/>
  <c r="D158" i="4"/>
  <c r="C158" i="4"/>
  <c r="B158" i="4"/>
  <c r="K157" i="4"/>
  <c r="H157" i="4"/>
  <c r="I157" i="4" s="1"/>
  <c r="J157" i="4" s="1"/>
  <c r="G157" i="4"/>
  <c r="E157" i="4"/>
  <c r="D157" i="4"/>
  <c r="C157" i="4"/>
  <c r="B157" i="4"/>
  <c r="K156" i="4"/>
  <c r="H156" i="4"/>
  <c r="I156" i="4" s="1"/>
  <c r="J156" i="4" s="1"/>
  <c r="G156" i="4"/>
  <c r="E156" i="4"/>
  <c r="D156" i="4"/>
  <c r="C156" i="4"/>
  <c r="B156" i="4"/>
  <c r="K155" i="4"/>
  <c r="H155" i="4"/>
  <c r="I155" i="4" s="1"/>
  <c r="J155" i="4" s="1"/>
  <c r="G155" i="4"/>
  <c r="E155" i="4"/>
  <c r="D155" i="4"/>
  <c r="C155" i="4"/>
  <c r="B155" i="4"/>
  <c r="K154" i="4"/>
  <c r="H154" i="4"/>
  <c r="I154" i="4" s="1"/>
  <c r="J154" i="4" s="1"/>
  <c r="G154" i="4"/>
  <c r="E154" i="4"/>
  <c r="D154" i="4"/>
  <c r="C154" i="4"/>
  <c r="B154" i="4"/>
  <c r="K153" i="4"/>
  <c r="H153" i="4"/>
  <c r="I153" i="4" s="1"/>
  <c r="J153" i="4" s="1"/>
  <c r="G153" i="4"/>
  <c r="E153" i="4"/>
  <c r="D153" i="4"/>
  <c r="C153" i="4"/>
  <c r="B153" i="4"/>
  <c r="K152" i="4"/>
  <c r="H152" i="4"/>
  <c r="I152" i="4" s="1"/>
  <c r="J152" i="4" s="1"/>
  <c r="G152" i="4"/>
  <c r="E152" i="4"/>
  <c r="D152" i="4"/>
  <c r="C152" i="4"/>
  <c r="B152" i="4"/>
  <c r="K151" i="4"/>
  <c r="H151" i="4"/>
  <c r="I151" i="4" s="1"/>
  <c r="J151" i="4" s="1"/>
  <c r="G151" i="4"/>
  <c r="E151" i="4"/>
  <c r="D151" i="4"/>
  <c r="C151" i="4"/>
  <c r="B151" i="4"/>
  <c r="K150" i="4"/>
  <c r="H150" i="4"/>
  <c r="I150" i="4" s="1"/>
  <c r="J150" i="4" s="1"/>
  <c r="G150" i="4"/>
  <c r="E150" i="4"/>
  <c r="D150" i="4"/>
  <c r="C150" i="4"/>
  <c r="B150" i="4"/>
  <c r="K149" i="4"/>
  <c r="H149" i="4"/>
  <c r="I149" i="4" s="1"/>
  <c r="J149" i="4" s="1"/>
  <c r="G149" i="4"/>
  <c r="E149" i="4"/>
  <c r="D149" i="4"/>
  <c r="C149" i="4"/>
  <c r="B149" i="4"/>
  <c r="K148" i="4"/>
  <c r="H148" i="4"/>
  <c r="I148" i="4" s="1"/>
  <c r="J148" i="4" s="1"/>
  <c r="G148" i="4"/>
  <c r="E148" i="4"/>
  <c r="D148" i="4"/>
  <c r="C148" i="4"/>
  <c r="B148" i="4"/>
  <c r="K147" i="4"/>
  <c r="H147" i="4"/>
  <c r="I147" i="4" s="1"/>
  <c r="J147" i="4" s="1"/>
  <c r="G147" i="4"/>
  <c r="E147" i="4"/>
  <c r="D147" i="4"/>
  <c r="C147" i="4"/>
  <c r="B147" i="4"/>
  <c r="K146" i="4"/>
  <c r="H146" i="4"/>
  <c r="I146" i="4" s="1"/>
  <c r="J146" i="4" s="1"/>
  <c r="G146" i="4"/>
  <c r="E146" i="4"/>
  <c r="D146" i="4"/>
  <c r="C146" i="4"/>
  <c r="B146" i="4"/>
  <c r="K145" i="4"/>
  <c r="H145" i="4"/>
  <c r="I145" i="4" s="1"/>
  <c r="J145" i="4" s="1"/>
  <c r="G145" i="4"/>
  <c r="E145" i="4"/>
  <c r="D145" i="4"/>
  <c r="C145" i="4"/>
  <c r="B145" i="4"/>
  <c r="K144" i="4"/>
  <c r="H144" i="4"/>
  <c r="I144" i="4" s="1"/>
  <c r="J144" i="4" s="1"/>
  <c r="G144" i="4"/>
  <c r="E144" i="4"/>
  <c r="D144" i="4"/>
  <c r="C144" i="4"/>
  <c r="B144" i="4"/>
  <c r="K143" i="4"/>
  <c r="H143" i="4"/>
  <c r="I143" i="4" s="1"/>
  <c r="J143" i="4" s="1"/>
  <c r="G143" i="4"/>
  <c r="E143" i="4"/>
  <c r="D143" i="4"/>
  <c r="C143" i="4"/>
  <c r="B143" i="4"/>
  <c r="K142" i="4"/>
  <c r="H142" i="4"/>
  <c r="I142" i="4" s="1"/>
  <c r="J142" i="4" s="1"/>
  <c r="G142" i="4"/>
  <c r="E142" i="4"/>
  <c r="D142" i="4"/>
  <c r="C142" i="4"/>
  <c r="B142" i="4"/>
  <c r="K141" i="4"/>
  <c r="H141" i="4"/>
  <c r="I141" i="4" s="1"/>
  <c r="J141" i="4" s="1"/>
  <c r="G141" i="4"/>
  <c r="E141" i="4"/>
  <c r="D141" i="4"/>
  <c r="C141" i="4"/>
  <c r="B141" i="4"/>
  <c r="K140" i="4"/>
  <c r="H140" i="4"/>
  <c r="I140" i="4" s="1"/>
  <c r="J140" i="4" s="1"/>
  <c r="G140" i="4"/>
  <c r="E140" i="4"/>
  <c r="D140" i="4"/>
  <c r="C140" i="4"/>
  <c r="B140" i="4"/>
  <c r="K139" i="4"/>
  <c r="H139" i="4"/>
  <c r="I139" i="4" s="1"/>
  <c r="J139" i="4" s="1"/>
  <c r="G139" i="4"/>
  <c r="E139" i="4"/>
  <c r="D139" i="4"/>
  <c r="C139" i="4"/>
  <c r="B139" i="4"/>
  <c r="K138" i="4"/>
  <c r="H138" i="4"/>
  <c r="I138" i="4" s="1"/>
  <c r="J138" i="4" s="1"/>
  <c r="G138" i="4"/>
  <c r="E138" i="4"/>
  <c r="D138" i="4"/>
  <c r="C138" i="4"/>
  <c r="B138" i="4"/>
  <c r="K137" i="4"/>
  <c r="H137" i="4"/>
  <c r="I137" i="4" s="1"/>
  <c r="J137" i="4" s="1"/>
  <c r="G137" i="4"/>
  <c r="E137" i="4"/>
  <c r="D137" i="4"/>
  <c r="C137" i="4"/>
  <c r="B137" i="4"/>
  <c r="K136" i="4"/>
  <c r="H136" i="4"/>
  <c r="I136" i="4" s="1"/>
  <c r="J136" i="4" s="1"/>
  <c r="G136" i="4"/>
  <c r="E136" i="4"/>
  <c r="D136" i="4"/>
  <c r="C136" i="4"/>
  <c r="B136" i="4"/>
  <c r="K135" i="4"/>
  <c r="H135" i="4"/>
  <c r="I135" i="4" s="1"/>
  <c r="J135" i="4" s="1"/>
  <c r="G135" i="4"/>
  <c r="E135" i="4"/>
  <c r="D135" i="4"/>
  <c r="C135" i="4"/>
  <c r="B135" i="4"/>
  <c r="K134" i="4"/>
  <c r="H134" i="4"/>
  <c r="I134" i="4" s="1"/>
  <c r="J134" i="4" s="1"/>
  <c r="G134" i="4"/>
  <c r="E134" i="4"/>
  <c r="D134" i="4"/>
  <c r="C134" i="4"/>
  <c r="B134" i="4"/>
  <c r="K133" i="4"/>
  <c r="H133" i="4"/>
  <c r="I133" i="4" s="1"/>
  <c r="J133" i="4" s="1"/>
  <c r="G133" i="4"/>
  <c r="E133" i="4"/>
  <c r="D133" i="4"/>
  <c r="C133" i="4"/>
  <c r="B133" i="4"/>
  <c r="K132" i="4"/>
  <c r="H132" i="4"/>
  <c r="I132" i="4" s="1"/>
  <c r="J132" i="4" s="1"/>
  <c r="G132" i="4"/>
  <c r="E132" i="4"/>
  <c r="D132" i="4"/>
  <c r="C132" i="4"/>
  <c r="B132" i="4"/>
  <c r="K131" i="4"/>
  <c r="H131" i="4"/>
  <c r="I131" i="4" s="1"/>
  <c r="J131" i="4" s="1"/>
  <c r="G131" i="4"/>
  <c r="E131" i="4"/>
  <c r="D131" i="4"/>
  <c r="C131" i="4"/>
  <c r="B131" i="4"/>
  <c r="K130" i="4"/>
  <c r="H130" i="4"/>
  <c r="I130" i="4" s="1"/>
  <c r="J130" i="4" s="1"/>
  <c r="G130" i="4"/>
  <c r="E130" i="4"/>
  <c r="D130" i="4"/>
  <c r="C130" i="4"/>
  <c r="B130" i="4"/>
  <c r="K129" i="4"/>
  <c r="H129" i="4"/>
  <c r="I129" i="4" s="1"/>
  <c r="J129" i="4" s="1"/>
  <c r="G129" i="4"/>
  <c r="E129" i="4"/>
  <c r="D129" i="4"/>
  <c r="C129" i="4"/>
  <c r="B129" i="4"/>
  <c r="K128" i="4"/>
  <c r="H128" i="4"/>
  <c r="I128" i="4" s="1"/>
  <c r="J128" i="4" s="1"/>
  <c r="G128" i="4"/>
  <c r="E128" i="4"/>
  <c r="D128" i="4"/>
  <c r="C128" i="4"/>
  <c r="B128" i="4"/>
  <c r="K127" i="4"/>
  <c r="H127" i="4"/>
  <c r="I127" i="4" s="1"/>
  <c r="J127" i="4" s="1"/>
  <c r="G127" i="4"/>
  <c r="E127" i="4"/>
  <c r="D127" i="4"/>
  <c r="C127" i="4"/>
  <c r="B127" i="4"/>
  <c r="K126" i="4"/>
  <c r="H126" i="4"/>
  <c r="I126" i="4" s="1"/>
  <c r="J126" i="4" s="1"/>
  <c r="G126" i="4"/>
  <c r="E126" i="4"/>
  <c r="D126" i="4"/>
  <c r="C126" i="4"/>
  <c r="B126" i="4"/>
  <c r="K125" i="4"/>
  <c r="H125" i="4"/>
  <c r="I125" i="4" s="1"/>
  <c r="J125" i="4" s="1"/>
  <c r="G125" i="4"/>
  <c r="E125" i="4"/>
  <c r="D125" i="4"/>
  <c r="C125" i="4"/>
  <c r="B125" i="4"/>
  <c r="K124" i="4"/>
  <c r="H124" i="4"/>
  <c r="I124" i="4" s="1"/>
  <c r="J124" i="4" s="1"/>
  <c r="G124" i="4"/>
  <c r="E124" i="4"/>
  <c r="D124" i="4"/>
  <c r="C124" i="4"/>
  <c r="B124" i="4"/>
  <c r="K123" i="4"/>
  <c r="H123" i="4"/>
  <c r="I123" i="4" s="1"/>
  <c r="J123" i="4" s="1"/>
  <c r="G123" i="4"/>
  <c r="E123" i="4"/>
  <c r="D123" i="4"/>
  <c r="C123" i="4"/>
  <c r="B123" i="4"/>
  <c r="K122" i="4"/>
  <c r="H122" i="4"/>
  <c r="I122" i="4" s="1"/>
  <c r="J122" i="4" s="1"/>
  <c r="G122" i="4"/>
  <c r="E122" i="4"/>
  <c r="D122" i="4"/>
  <c r="C122" i="4"/>
  <c r="B122" i="4"/>
  <c r="K121" i="4"/>
  <c r="H121" i="4"/>
  <c r="I121" i="4" s="1"/>
  <c r="J121" i="4" s="1"/>
  <c r="G121" i="4"/>
  <c r="E121" i="4"/>
  <c r="D121" i="4"/>
  <c r="C121" i="4"/>
  <c r="B121" i="4"/>
  <c r="K120" i="4"/>
  <c r="H120" i="4"/>
  <c r="I120" i="4" s="1"/>
  <c r="J120" i="4" s="1"/>
  <c r="G120" i="4"/>
  <c r="E120" i="4"/>
  <c r="D120" i="4"/>
  <c r="C120" i="4"/>
  <c r="B120" i="4"/>
  <c r="K119" i="4"/>
  <c r="H119" i="4"/>
  <c r="I119" i="4" s="1"/>
  <c r="J119" i="4" s="1"/>
  <c r="G119" i="4"/>
  <c r="E119" i="4"/>
  <c r="D119" i="4"/>
  <c r="C119" i="4"/>
  <c r="B119" i="4"/>
  <c r="K118" i="4"/>
  <c r="H118" i="4"/>
  <c r="I118" i="4" s="1"/>
  <c r="J118" i="4" s="1"/>
  <c r="G118" i="4"/>
  <c r="E118" i="4"/>
  <c r="D118" i="4"/>
  <c r="C118" i="4"/>
  <c r="B118" i="4"/>
  <c r="K117" i="4"/>
  <c r="H117" i="4"/>
  <c r="I117" i="4" s="1"/>
  <c r="J117" i="4" s="1"/>
  <c r="G117" i="4"/>
  <c r="E117" i="4"/>
  <c r="D117" i="4"/>
  <c r="C117" i="4"/>
  <c r="B117" i="4"/>
  <c r="K116" i="4"/>
  <c r="H116" i="4"/>
  <c r="I116" i="4" s="1"/>
  <c r="J116" i="4" s="1"/>
  <c r="G116" i="4"/>
  <c r="E116" i="4"/>
  <c r="D116" i="4"/>
  <c r="C116" i="4"/>
  <c r="B116" i="4"/>
  <c r="K115" i="4"/>
  <c r="H115" i="4"/>
  <c r="I115" i="4" s="1"/>
  <c r="J115" i="4" s="1"/>
  <c r="G115" i="4"/>
  <c r="E115" i="4"/>
  <c r="D115" i="4"/>
  <c r="C115" i="4"/>
  <c r="B115" i="4"/>
  <c r="K114" i="4"/>
  <c r="H114" i="4"/>
  <c r="I114" i="4" s="1"/>
  <c r="J114" i="4" s="1"/>
  <c r="G114" i="4"/>
  <c r="E114" i="4"/>
  <c r="D114" i="4"/>
  <c r="C114" i="4"/>
  <c r="B114" i="4"/>
  <c r="K113" i="4"/>
  <c r="H113" i="4"/>
  <c r="I113" i="4" s="1"/>
  <c r="J113" i="4" s="1"/>
  <c r="G113" i="4"/>
  <c r="E113" i="4"/>
  <c r="D113" i="4"/>
  <c r="C113" i="4"/>
  <c r="B113" i="4"/>
  <c r="K112" i="4"/>
  <c r="H112" i="4"/>
  <c r="I112" i="4" s="1"/>
  <c r="J112" i="4" s="1"/>
  <c r="G112" i="4"/>
  <c r="E112" i="4"/>
  <c r="D112" i="4"/>
  <c r="C112" i="4"/>
  <c r="B112" i="4"/>
  <c r="K111" i="4"/>
  <c r="H111" i="4"/>
  <c r="I111" i="4" s="1"/>
  <c r="J111" i="4" s="1"/>
  <c r="G111" i="4"/>
  <c r="E111" i="4"/>
  <c r="D111" i="4"/>
  <c r="C111" i="4"/>
  <c r="B111" i="4"/>
  <c r="K110" i="4"/>
  <c r="H110" i="4"/>
  <c r="I110" i="4" s="1"/>
  <c r="J110" i="4" s="1"/>
  <c r="G110" i="4"/>
  <c r="E110" i="4"/>
  <c r="D110" i="4"/>
  <c r="C110" i="4"/>
  <c r="B110" i="4"/>
  <c r="K109" i="4"/>
  <c r="H109" i="4"/>
  <c r="I109" i="4" s="1"/>
  <c r="J109" i="4" s="1"/>
  <c r="G109" i="4"/>
  <c r="E109" i="4"/>
  <c r="D109" i="4"/>
  <c r="C109" i="4"/>
  <c r="B109" i="4"/>
  <c r="K108" i="4"/>
  <c r="H108" i="4"/>
  <c r="I108" i="4" s="1"/>
  <c r="J108" i="4" s="1"/>
  <c r="G108" i="4"/>
  <c r="E108" i="4"/>
  <c r="D108" i="4"/>
  <c r="C108" i="4"/>
  <c r="B108" i="4"/>
  <c r="K107" i="4"/>
  <c r="H107" i="4"/>
  <c r="I107" i="4" s="1"/>
  <c r="J107" i="4" s="1"/>
  <c r="G107" i="4"/>
  <c r="E107" i="4"/>
  <c r="D107" i="4"/>
  <c r="C107" i="4"/>
  <c r="B107" i="4"/>
  <c r="K106" i="4"/>
  <c r="H106" i="4"/>
  <c r="I106" i="4" s="1"/>
  <c r="J106" i="4" s="1"/>
  <c r="G106" i="4"/>
  <c r="E106" i="4"/>
  <c r="D106" i="4"/>
  <c r="C106" i="4"/>
  <c r="B106" i="4"/>
  <c r="K105" i="4"/>
  <c r="H105" i="4"/>
  <c r="I105" i="4" s="1"/>
  <c r="J105" i="4" s="1"/>
  <c r="G105" i="4"/>
  <c r="E105" i="4"/>
  <c r="D105" i="4"/>
  <c r="C105" i="4"/>
  <c r="B105" i="4"/>
  <c r="K104" i="4"/>
  <c r="H104" i="4"/>
  <c r="I104" i="4" s="1"/>
  <c r="J104" i="4" s="1"/>
  <c r="G104" i="4"/>
  <c r="E104" i="4"/>
  <c r="D104" i="4"/>
  <c r="C104" i="4"/>
  <c r="B104" i="4"/>
  <c r="K103" i="4"/>
  <c r="H103" i="4"/>
  <c r="I103" i="4" s="1"/>
  <c r="J103" i="4" s="1"/>
  <c r="G103" i="4"/>
  <c r="E103" i="4"/>
  <c r="D103" i="4"/>
  <c r="C103" i="4"/>
  <c r="B103" i="4"/>
  <c r="K102" i="4"/>
  <c r="H102" i="4"/>
  <c r="I102" i="4" s="1"/>
  <c r="J102" i="4" s="1"/>
  <c r="G102" i="4"/>
  <c r="E102" i="4"/>
  <c r="D102" i="4"/>
  <c r="C102" i="4"/>
  <c r="B102" i="4"/>
  <c r="K101" i="4"/>
  <c r="H101" i="4"/>
  <c r="I101" i="4" s="1"/>
  <c r="J101" i="4" s="1"/>
  <c r="G101" i="4"/>
  <c r="E101" i="4"/>
  <c r="D101" i="4"/>
  <c r="C101" i="4"/>
  <c r="B101" i="4"/>
  <c r="N100" i="4"/>
  <c r="M100" i="4"/>
  <c r="K100" i="4"/>
  <c r="H100" i="4"/>
  <c r="I100" i="4" s="1"/>
  <c r="G100" i="4"/>
  <c r="E100" i="4"/>
  <c r="D100" i="4"/>
  <c r="C100" i="4"/>
  <c r="B100" i="4"/>
  <c r="N99" i="4"/>
  <c r="M99" i="4"/>
  <c r="K99" i="4"/>
  <c r="H99" i="4"/>
  <c r="I99" i="4" s="1"/>
  <c r="J99" i="4" s="1"/>
  <c r="G99" i="4"/>
  <c r="E99" i="4"/>
  <c r="D99" i="4"/>
  <c r="C99" i="4"/>
  <c r="B99" i="4"/>
  <c r="N98" i="4"/>
  <c r="M98" i="4"/>
  <c r="K98" i="4"/>
  <c r="H98" i="4"/>
  <c r="I98" i="4" s="1"/>
  <c r="G98" i="4"/>
  <c r="E98" i="4"/>
  <c r="D98" i="4"/>
  <c r="C98" i="4"/>
  <c r="B98" i="4"/>
  <c r="N97" i="4"/>
  <c r="M97" i="4"/>
  <c r="K97" i="4"/>
  <c r="H97" i="4"/>
  <c r="I97" i="4" s="1"/>
  <c r="G97" i="4"/>
  <c r="E97" i="4"/>
  <c r="D97" i="4"/>
  <c r="C97" i="4"/>
  <c r="B97" i="4"/>
  <c r="N96" i="4"/>
  <c r="M96" i="4"/>
  <c r="K96" i="4"/>
  <c r="H96" i="4"/>
  <c r="I96" i="4" s="1"/>
  <c r="J96" i="4" s="1"/>
  <c r="G96" i="4"/>
  <c r="E96" i="4"/>
  <c r="D96" i="4"/>
  <c r="C96" i="4"/>
  <c r="B96" i="4"/>
  <c r="N95" i="4"/>
  <c r="M95" i="4"/>
  <c r="K95" i="4"/>
  <c r="H95" i="4"/>
  <c r="I95" i="4" s="1"/>
  <c r="J95" i="4" s="1"/>
  <c r="G95" i="4"/>
  <c r="E95" i="4"/>
  <c r="D95" i="4"/>
  <c r="C95" i="4"/>
  <c r="B95" i="4"/>
  <c r="N94" i="4"/>
  <c r="M94" i="4"/>
  <c r="K94" i="4"/>
  <c r="H94" i="4"/>
  <c r="I94" i="4" s="1"/>
  <c r="J94" i="4" s="1"/>
  <c r="G94" i="4"/>
  <c r="E94" i="4"/>
  <c r="D94" i="4"/>
  <c r="C94" i="4"/>
  <c r="B94" i="4"/>
  <c r="N93" i="4"/>
  <c r="M93" i="4"/>
  <c r="K93" i="4"/>
  <c r="H93" i="4"/>
  <c r="I93" i="4" s="1"/>
  <c r="J93" i="4" s="1"/>
  <c r="G93" i="4"/>
  <c r="E93" i="4"/>
  <c r="D93" i="4"/>
  <c r="C93" i="4"/>
  <c r="B93" i="4"/>
  <c r="N92" i="4"/>
  <c r="M92" i="4"/>
  <c r="K92" i="4"/>
  <c r="H92" i="4"/>
  <c r="I92" i="4" s="1"/>
  <c r="J92" i="4" s="1"/>
  <c r="G92" i="4"/>
  <c r="E92" i="4"/>
  <c r="D92" i="4"/>
  <c r="C92" i="4"/>
  <c r="B92" i="4"/>
  <c r="N91" i="4"/>
  <c r="M91" i="4"/>
  <c r="K91" i="4"/>
  <c r="H91" i="4"/>
  <c r="I91" i="4" s="1"/>
  <c r="G91" i="4"/>
  <c r="E91" i="4"/>
  <c r="D91" i="4"/>
  <c r="C91" i="4"/>
  <c r="B91" i="4"/>
  <c r="N90" i="4"/>
  <c r="M90" i="4"/>
  <c r="K90" i="4"/>
  <c r="H90" i="4"/>
  <c r="I90" i="4" s="1"/>
  <c r="J90" i="4" s="1"/>
  <c r="G90" i="4"/>
  <c r="E90" i="4"/>
  <c r="D90" i="4"/>
  <c r="C90" i="4"/>
  <c r="B90" i="4"/>
  <c r="N89" i="4"/>
  <c r="M89" i="4"/>
  <c r="K89" i="4"/>
  <c r="H89" i="4"/>
  <c r="I89" i="4" s="1"/>
  <c r="G89" i="4"/>
  <c r="E89" i="4"/>
  <c r="D89" i="4"/>
  <c r="C89" i="4"/>
  <c r="B89" i="4"/>
  <c r="N88" i="4"/>
  <c r="M88" i="4"/>
  <c r="K88" i="4"/>
  <c r="H88" i="4"/>
  <c r="I88" i="4" s="1"/>
  <c r="G88" i="4"/>
  <c r="E88" i="4"/>
  <c r="D88" i="4"/>
  <c r="C88" i="4"/>
  <c r="B88" i="4"/>
  <c r="N87" i="4"/>
  <c r="M87" i="4"/>
  <c r="K87" i="4"/>
  <c r="H87" i="4"/>
  <c r="I87" i="4" s="1"/>
  <c r="G87" i="4"/>
  <c r="E87" i="4"/>
  <c r="D87" i="4"/>
  <c r="C87" i="4"/>
  <c r="B87" i="4"/>
  <c r="N86" i="4"/>
  <c r="M86" i="4"/>
  <c r="K86" i="4"/>
  <c r="H86" i="4"/>
  <c r="I86" i="4" s="1"/>
  <c r="G86" i="4"/>
  <c r="E86" i="4"/>
  <c r="D86" i="4"/>
  <c r="C86" i="4"/>
  <c r="B86" i="4"/>
  <c r="N85" i="4"/>
  <c r="M85" i="4"/>
  <c r="K85" i="4"/>
  <c r="H85" i="4"/>
  <c r="I85" i="4" s="1"/>
  <c r="J85" i="4" s="1"/>
  <c r="G85" i="4"/>
  <c r="E85" i="4"/>
  <c r="D85" i="4"/>
  <c r="C85" i="4"/>
  <c r="B85" i="4"/>
  <c r="N84" i="4"/>
  <c r="M84" i="4"/>
  <c r="K84" i="4"/>
  <c r="H84" i="4"/>
  <c r="I84" i="4" s="1"/>
  <c r="G84" i="4"/>
  <c r="E84" i="4"/>
  <c r="D84" i="4"/>
  <c r="C84" i="4"/>
  <c r="B84" i="4"/>
  <c r="N83" i="4"/>
  <c r="M83" i="4"/>
  <c r="K83" i="4"/>
  <c r="H83" i="4"/>
  <c r="I83" i="4" s="1"/>
  <c r="J83" i="4" s="1"/>
  <c r="G83" i="4"/>
  <c r="E83" i="4"/>
  <c r="D83" i="4"/>
  <c r="C83" i="4"/>
  <c r="B83" i="4"/>
  <c r="N82" i="4"/>
  <c r="M82" i="4"/>
  <c r="K82" i="4"/>
  <c r="H82" i="4"/>
  <c r="I82" i="4" s="1"/>
  <c r="J82" i="4" s="1"/>
  <c r="G82" i="4"/>
  <c r="E82" i="4"/>
  <c r="D82" i="4"/>
  <c r="C82" i="4"/>
  <c r="B82" i="4"/>
  <c r="N81" i="4"/>
  <c r="M81" i="4"/>
  <c r="K81" i="4"/>
  <c r="H81" i="4"/>
  <c r="I81" i="4" s="1"/>
  <c r="G81" i="4"/>
  <c r="E81" i="4"/>
  <c r="D81" i="4"/>
  <c r="C81" i="4"/>
  <c r="B81" i="4"/>
  <c r="N80" i="4"/>
  <c r="M80" i="4"/>
  <c r="K80" i="4"/>
  <c r="H80" i="4"/>
  <c r="I80" i="4" s="1"/>
  <c r="G80" i="4"/>
  <c r="E80" i="4"/>
  <c r="D80" i="4"/>
  <c r="C80" i="4"/>
  <c r="B80" i="4"/>
  <c r="N79" i="4"/>
  <c r="M79" i="4"/>
  <c r="K79" i="4"/>
  <c r="H79" i="4"/>
  <c r="I79" i="4" s="1"/>
  <c r="J79" i="4" s="1"/>
  <c r="G79" i="4"/>
  <c r="E79" i="4"/>
  <c r="D79" i="4"/>
  <c r="C79" i="4"/>
  <c r="B79" i="4"/>
  <c r="N78" i="4"/>
  <c r="M78" i="4"/>
  <c r="K78" i="4"/>
  <c r="H78" i="4"/>
  <c r="I78" i="4" s="1"/>
  <c r="G78" i="4"/>
  <c r="E78" i="4"/>
  <c r="D78" i="4"/>
  <c r="C78" i="4"/>
  <c r="B78" i="4"/>
  <c r="N77" i="4"/>
  <c r="M77" i="4"/>
  <c r="K77" i="4"/>
  <c r="H77" i="4"/>
  <c r="I77" i="4" s="1"/>
  <c r="G77" i="4"/>
  <c r="E77" i="4"/>
  <c r="D77" i="4"/>
  <c r="C77" i="4"/>
  <c r="B77" i="4"/>
  <c r="N76" i="4"/>
  <c r="M76" i="4"/>
  <c r="K76" i="4"/>
  <c r="H76" i="4"/>
  <c r="I76" i="4" s="1"/>
  <c r="G76" i="4"/>
  <c r="E76" i="4"/>
  <c r="D76" i="4"/>
  <c r="C76" i="4"/>
  <c r="B76" i="4"/>
  <c r="N75" i="4"/>
  <c r="M75" i="4"/>
  <c r="K75" i="4"/>
  <c r="H75" i="4"/>
  <c r="I75" i="4" s="1"/>
  <c r="J75" i="4" s="1"/>
  <c r="G75" i="4"/>
  <c r="E75" i="4"/>
  <c r="D75" i="4"/>
  <c r="C75" i="4"/>
  <c r="B75" i="4"/>
  <c r="N74" i="4"/>
  <c r="M74" i="4"/>
  <c r="K74" i="4"/>
  <c r="H74" i="4"/>
  <c r="I74" i="4" s="1"/>
  <c r="G74" i="4"/>
  <c r="E74" i="4"/>
  <c r="D74" i="4"/>
  <c r="C74" i="4"/>
  <c r="B74" i="4"/>
  <c r="N73" i="4"/>
  <c r="M73" i="4"/>
  <c r="K73" i="4"/>
  <c r="H73" i="4"/>
  <c r="I73" i="4" s="1"/>
  <c r="J73" i="4" s="1"/>
  <c r="G73" i="4"/>
  <c r="E73" i="4"/>
  <c r="D73" i="4"/>
  <c r="C73" i="4"/>
  <c r="B73" i="4"/>
  <c r="N72" i="4"/>
  <c r="M72" i="4"/>
  <c r="K72" i="4"/>
  <c r="H72" i="4"/>
  <c r="I72" i="4" s="1"/>
  <c r="J72" i="4" s="1"/>
  <c r="G72" i="4"/>
  <c r="E72" i="4"/>
  <c r="D72" i="4"/>
  <c r="C72" i="4"/>
  <c r="B72" i="4"/>
  <c r="N71" i="4"/>
  <c r="M71" i="4"/>
  <c r="K71" i="4"/>
  <c r="H71" i="4"/>
  <c r="I71" i="4" s="1"/>
  <c r="G71" i="4"/>
  <c r="E71" i="4"/>
  <c r="D71" i="4"/>
  <c r="C71" i="4"/>
  <c r="B71" i="4"/>
  <c r="N70" i="4"/>
  <c r="M70" i="4"/>
  <c r="K70" i="4"/>
  <c r="H70" i="4"/>
  <c r="I70" i="4" s="1"/>
  <c r="G70" i="4"/>
  <c r="E70" i="4"/>
  <c r="D70" i="4"/>
  <c r="C70" i="4"/>
  <c r="B70" i="4"/>
  <c r="N69" i="4"/>
  <c r="M69" i="4"/>
  <c r="K69" i="4"/>
  <c r="H69" i="4"/>
  <c r="I69" i="4" s="1"/>
  <c r="G69" i="4"/>
  <c r="E69" i="4"/>
  <c r="D69" i="4"/>
  <c r="C69" i="4"/>
  <c r="B69" i="4"/>
  <c r="N68" i="4"/>
  <c r="M68" i="4"/>
  <c r="K68" i="4"/>
  <c r="H68" i="4"/>
  <c r="I68" i="4" s="1"/>
  <c r="G68" i="4"/>
  <c r="E68" i="4"/>
  <c r="D68" i="4"/>
  <c r="C68" i="4"/>
  <c r="B68" i="4"/>
  <c r="N67" i="4"/>
  <c r="M67" i="4"/>
  <c r="K67" i="4"/>
  <c r="H67" i="4"/>
  <c r="I67" i="4" s="1"/>
  <c r="G67" i="4"/>
  <c r="E67" i="4"/>
  <c r="D67" i="4"/>
  <c r="C67" i="4"/>
  <c r="B67" i="4"/>
  <c r="N66" i="4"/>
  <c r="M66" i="4"/>
  <c r="K66" i="4"/>
  <c r="H66" i="4"/>
  <c r="I66" i="4" s="1"/>
  <c r="G66" i="4"/>
  <c r="E66" i="4"/>
  <c r="D66" i="4"/>
  <c r="C66" i="4"/>
  <c r="B66" i="4"/>
  <c r="N65" i="4"/>
  <c r="M65" i="4"/>
  <c r="K65" i="4"/>
  <c r="H65" i="4"/>
  <c r="I65" i="4" s="1"/>
  <c r="G65" i="4"/>
  <c r="E65" i="4"/>
  <c r="D65" i="4"/>
  <c r="C65" i="4"/>
  <c r="B65" i="4"/>
  <c r="N64" i="4"/>
  <c r="M64" i="4"/>
  <c r="K64" i="4"/>
  <c r="H64" i="4"/>
  <c r="I64" i="4" s="1"/>
  <c r="G64" i="4"/>
  <c r="E64" i="4"/>
  <c r="D64" i="4"/>
  <c r="C64" i="4"/>
  <c r="B64" i="4"/>
  <c r="N63" i="4"/>
  <c r="M63" i="4"/>
  <c r="K63" i="4"/>
  <c r="H63" i="4"/>
  <c r="I63" i="4" s="1"/>
  <c r="G63" i="4"/>
  <c r="E63" i="4"/>
  <c r="D63" i="4"/>
  <c r="C63" i="4"/>
  <c r="B63" i="4"/>
  <c r="N62" i="4"/>
  <c r="M62" i="4"/>
  <c r="K62" i="4"/>
  <c r="H62" i="4"/>
  <c r="I62" i="4" s="1"/>
  <c r="G62" i="4"/>
  <c r="E62" i="4"/>
  <c r="D62" i="4"/>
  <c r="C62" i="4"/>
  <c r="B62" i="4"/>
  <c r="N61" i="4"/>
  <c r="M61" i="4"/>
  <c r="K61" i="4"/>
  <c r="H61" i="4"/>
  <c r="I61" i="4" s="1"/>
  <c r="G61" i="4"/>
  <c r="E61" i="4"/>
  <c r="D61" i="4"/>
  <c r="C61" i="4"/>
  <c r="B61" i="4"/>
  <c r="N60" i="4"/>
  <c r="M60" i="4"/>
  <c r="K60" i="4"/>
  <c r="H60" i="4"/>
  <c r="I60" i="4" s="1"/>
  <c r="G60" i="4"/>
  <c r="E60" i="4"/>
  <c r="D60" i="4"/>
  <c r="C60" i="4"/>
  <c r="B60" i="4"/>
  <c r="N59" i="4"/>
  <c r="M59" i="4"/>
  <c r="K59" i="4"/>
  <c r="H59" i="4"/>
  <c r="I59" i="4" s="1"/>
  <c r="G59" i="4"/>
  <c r="E59" i="4"/>
  <c r="D59" i="4"/>
  <c r="C59" i="4"/>
  <c r="B59" i="4"/>
  <c r="N58" i="4"/>
  <c r="M58" i="4"/>
  <c r="K58" i="4"/>
  <c r="H58" i="4"/>
  <c r="I58" i="4" s="1"/>
  <c r="G58" i="4"/>
  <c r="E58" i="4"/>
  <c r="D58" i="4"/>
  <c r="C58" i="4"/>
  <c r="B58" i="4"/>
  <c r="N57" i="4"/>
  <c r="M57" i="4"/>
  <c r="K57" i="4"/>
  <c r="H57" i="4"/>
  <c r="I57" i="4" s="1"/>
  <c r="G57" i="4"/>
  <c r="E57" i="4"/>
  <c r="D57" i="4"/>
  <c r="C57" i="4"/>
  <c r="B57" i="4"/>
  <c r="N56" i="4"/>
  <c r="M56" i="4"/>
  <c r="K56" i="4"/>
  <c r="H56" i="4"/>
  <c r="I56" i="4" s="1"/>
  <c r="G56" i="4"/>
  <c r="E56" i="4"/>
  <c r="D56" i="4"/>
  <c r="C56" i="4"/>
  <c r="B56" i="4"/>
  <c r="N55" i="4"/>
  <c r="M55" i="4"/>
  <c r="K55" i="4"/>
  <c r="H55" i="4"/>
  <c r="I55" i="4" s="1"/>
  <c r="G55" i="4"/>
  <c r="E55" i="4"/>
  <c r="D55" i="4"/>
  <c r="C55" i="4"/>
  <c r="B55" i="4"/>
  <c r="N54" i="4"/>
  <c r="M54" i="4"/>
  <c r="K54" i="4"/>
  <c r="H54" i="4"/>
  <c r="I54" i="4" s="1"/>
  <c r="G54" i="4"/>
  <c r="E54" i="4"/>
  <c r="D54" i="4"/>
  <c r="C54" i="4"/>
  <c r="B54" i="4"/>
  <c r="N53" i="4"/>
  <c r="M53" i="4"/>
  <c r="K53" i="4"/>
  <c r="H53" i="4"/>
  <c r="I53" i="4" s="1"/>
  <c r="G53" i="4"/>
  <c r="E53" i="4"/>
  <c r="D53" i="4"/>
  <c r="C53" i="4"/>
  <c r="B53" i="4"/>
  <c r="N52" i="4"/>
  <c r="M52" i="4"/>
  <c r="K52" i="4"/>
  <c r="H52" i="4"/>
  <c r="I52" i="4" s="1"/>
  <c r="G52" i="4"/>
  <c r="E52" i="4"/>
  <c r="D52" i="4"/>
  <c r="C52" i="4"/>
  <c r="B52" i="4"/>
  <c r="N51" i="4"/>
  <c r="M51" i="4"/>
  <c r="K51" i="4"/>
  <c r="H51" i="4"/>
  <c r="I51" i="4" s="1"/>
  <c r="G51" i="4"/>
  <c r="E51" i="4"/>
  <c r="D51" i="4"/>
  <c r="C51" i="4"/>
  <c r="B51" i="4"/>
  <c r="N50" i="4"/>
  <c r="M50" i="4"/>
  <c r="K50" i="4"/>
  <c r="H50" i="4"/>
  <c r="I50" i="4" s="1"/>
  <c r="G50" i="4"/>
  <c r="E50" i="4"/>
  <c r="D50" i="4"/>
  <c r="C50" i="4"/>
  <c r="B50" i="4"/>
  <c r="N49" i="4"/>
  <c r="M49" i="4"/>
  <c r="K49" i="4"/>
  <c r="H49" i="4"/>
  <c r="I49" i="4" s="1"/>
  <c r="G49" i="4"/>
  <c r="E49" i="4"/>
  <c r="D49" i="4"/>
  <c r="C49" i="4"/>
  <c r="B49" i="4"/>
  <c r="N48" i="4"/>
  <c r="M48" i="4"/>
  <c r="K48" i="4"/>
  <c r="H48" i="4"/>
  <c r="I48" i="4" s="1"/>
  <c r="G48" i="4"/>
  <c r="E48" i="4"/>
  <c r="D48" i="4"/>
  <c r="C48" i="4"/>
  <c r="B48" i="4"/>
  <c r="N47" i="4"/>
  <c r="M47" i="4"/>
  <c r="K47" i="4"/>
  <c r="H47" i="4"/>
  <c r="I47" i="4" s="1"/>
  <c r="G47" i="4"/>
  <c r="E47" i="4"/>
  <c r="D47" i="4"/>
  <c r="C47" i="4"/>
  <c r="B47" i="4"/>
  <c r="N46" i="4"/>
  <c r="M46" i="4"/>
  <c r="K46" i="4"/>
  <c r="H46" i="4"/>
  <c r="I46" i="4" s="1"/>
  <c r="G46" i="4"/>
  <c r="E46" i="4"/>
  <c r="D46" i="4"/>
  <c r="C46" i="4"/>
  <c r="B46" i="4"/>
  <c r="N45" i="4"/>
  <c r="M45" i="4"/>
  <c r="K45" i="4"/>
  <c r="H45" i="4"/>
  <c r="I45" i="4" s="1"/>
  <c r="G45" i="4"/>
  <c r="E45" i="4"/>
  <c r="D45" i="4"/>
  <c r="C45" i="4"/>
  <c r="B45" i="4"/>
  <c r="N44" i="4"/>
  <c r="M44" i="4"/>
  <c r="K44" i="4"/>
  <c r="H44" i="4"/>
  <c r="I44" i="4" s="1"/>
  <c r="G44" i="4"/>
  <c r="E44" i="4"/>
  <c r="D44" i="4"/>
  <c r="C44" i="4"/>
  <c r="B44" i="4"/>
  <c r="N43" i="4"/>
  <c r="M43" i="4"/>
  <c r="K43" i="4"/>
  <c r="H43" i="4"/>
  <c r="I43" i="4" s="1"/>
  <c r="G43" i="4"/>
  <c r="E43" i="4"/>
  <c r="D43" i="4"/>
  <c r="C43" i="4"/>
  <c r="B43" i="4"/>
  <c r="N42" i="4"/>
  <c r="M42" i="4"/>
  <c r="K42" i="4"/>
  <c r="H42" i="4"/>
  <c r="I42" i="4" s="1"/>
  <c r="G42" i="4"/>
  <c r="E42" i="4"/>
  <c r="D42" i="4"/>
  <c r="C42" i="4"/>
  <c r="B42" i="4"/>
  <c r="N41" i="4"/>
  <c r="M41" i="4"/>
  <c r="K41" i="4"/>
  <c r="H41" i="4"/>
  <c r="I41" i="4" s="1"/>
  <c r="G41" i="4"/>
  <c r="E41" i="4"/>
  <c r="D41" i="4"/>
  <c r="C41" i="4"/>
  <c r="B41" i="4"/>
  <c r="N40" i="4"/>
  <c r="M40" i="4"/>
  <c r="K40" i="4"/>
  <c r="H40" i="4"/>
  <c r="I40" i="4" s="1"/>
  <c r="G40" i="4"/>
  <c r="E40" i="4"/>
  <c r="D40" i="4"/>
  <c r="C40" i="4"/>
  <c r="B40" i="4"/>
  <c r="N39" i="4"/>
  <c r="M39" i="4"/>
  <c r="K39" i="4"/>
  <c r="H39" i="4"/>
  <c r="I39" i="4" s="1"/>
  <c r="G39" i="4"/>
  <c r="E39" i="4"/>
  <c r="D39" i="4"/>
  <c r="C39" i="4"/>
  <c r="B39" i="4"/>
  <c r="N38" i="4"/>
  <c r="M38" i="4"/>
  <c r="K38" i="4"/>
  <c r="H38" i="4"/>
  <c r="I38" i="4" s="1"/>
  <c r="G38" i="4"/>
  <c r="E38" i="4"/>
  <c r="D38" i="4"/>
  <c r="C38" i="4"/>
  <c r="B38" i="4"/>
  <c r="N37" i="4"/>
  <c r="M37" i="4"/>
  <c r="K37" i="4"/>
  <c r="H37" i="4"/>
  <c r="I37" i="4" s="1"/>
  <c r="G37" i="4"/>
  <c r="E37" i="4"/>
  <c r="D37" i="4"/>
  <c r="C37" i="4"/>
  <c r="B37" i="4"/>
  <c r="N36" i="4"/>
  <c r="M36" i="4"/>
  <c r="K36" i="4"/>
  <c r="H36" i="4"/>
  <c r="I36" i="4" s="1"/>
  <c r="G36" i="4"/>
  <c r="E36" i="4"/>
  <c r="D36" i="4"/>
  <c r="C36" i="4"/>
  <c r="B36" i="4"/>
  <c r="N35" i="4"/>
  <c r="M35" i="4"/>
  <c r="K35" i="4"/>
  <c r="H35" i="4"/>
  <c r="I35" i="4" s="1"/>
  <c r="G35" i="4"/>
  <c r="E35" i="4"/>
  <c r="D35" i="4"/>
  <c r="C35" i="4"/>
  <c r="B35" i="4"/>
  <c r="N34" i="4"/>
  <c r="M34" i="4"/>
  <c r="K34" i="4"/>
  <c r="H34" i="4"/>
  <c r="I34" i="4" s="1"/>
  <c r="G34" i="4"/>
  <c r="E34" i="4"/>
  <c r="D34" i="4"/>
  <c r="C34" i="4"/>
  <c r="B34" i="4"/>
  <c r="N33" i="4"/>
  <c r="M33" i="4"/>
  <c r="K33" i="4"/>
  <c r="H33" i="4"/>
  <c r="I33" i="4" s="1"/>
  <c r="J33" i="4" s="1"/>
  <c r="G33" i="4"/>
  <c r="E33" i="4"/>
  <c r="D33" i="4"/>
  <c r="C33" i="4"/>
  <c r="B33" i="4"/>
  <c r="N32" i="4"/>
  <c r="M32" i="4"/>
  <c r="K32" i="4"/>
  <c r="H32" i="4"/>
  <c r="I32" i="4" s="1"/>
  <c r="G32" i="4"/>
  <c r="E32" i="4"/>
  <c r="D32" i="4"/>
  <c r="C32" i="4"/>
  <c r="B32" i="4"/>
  <c r="N31" i="4"/>
  <c r="M31" i="4"/>
  <c r="K31" i="4"/>
  <c r="H31" i="4"/>
  <c r="I31" i="4" s="1"/>
  <c r="G31" i="4"/>
  <c r="E31" i="4"/>
  <c r="D31" i="4"/>
  <c r="C31" i="4"/>
  <c r="B31" i="4"/>
  <c r="N30" i="4"/>
  <c r="M30" i="4"/>
  <c r="K30" i="4"/>
  <c r="H30" i="4"/>
  <c r="I30" i="4" s="1"/>
  <c r="G30" i="4"/>
  <c r="E30" i="4"/>
  <c r="D30" i="4"/>
  <c r="C30" i="4"/>
  <c r="B30" i="4"/>
  <c r="N29" i="4"/>
  <c r="M29" i="4"/>
  <c r="K29" i="4"/>
  <c r="H29" i="4"/>
  <c r="I29" i="4" s="1"/>
  <c r="G29" i="4"/>
  <c r="E29" i="4"/>
  <c r="D29" i="4"/>
  <c r="C29" i="4"/>
  <c r="B29" i="4"/>
  <c r="N28" i="4"/>
  <c r="M28" i="4"/>
  <c r="K28" i="4"/>
  <c r="H28" i="4"/>
  <c r="I28" i="4" s="1"/>
  <c r="G28" i="4"/>
  <c r="E28" i="4"/>
  <c r="D28" i="4"/>
  <c r="C28" i="4"/>
  <c r="B28" i="4"/>
  <c r="N27" i="4"/>
  <c r="M27" i="4"/>
  <c r="K27" i="4"/>
  <c r="H27" i="4"/>
  <c r="I27" i="4" s="1"/>
  <c r="G27" i="4"/>
  <c r="E27" i="4"/>
  <c r="D27" i="4"/>
  <c r="C27" i="4"/>
  <c r="B27" i="4"/>
  <c r="N26" i="4"/>
  <c r="M26" i="4"/>
  <c r="K26" i="4"/>
  <c r="H26" i="4"/>
  <c r="I26" i="4" s="1"/>
  <c r="G26" i="4"/>
  <c r="E26" i="4"/>
  <c r="D26" i="4"/>
  <c r="C26" i="4"/>
  <c r="B26" i="4"/>
  <c r="N25" i="4"/>
  <c r="M25" i="4"/>
  <c r="K25" i="4"/>
  <c r="H25" i="4"/>
  <c r="I25" i="4" s="1"/>
  <c r="G25" i="4"/>
  <c r="E25" i="4"/>
  <c r="D25" i="4"/>
  <c r="C25" i="4"/>
  <c r="B25" i="4"/>
  <c r="N24" i="4"/>
  <c r="M24" i="4"/>
  <c r="K24" i="4"/>
  <c r="H24" i="4"/>
  <c r="I24" i="4" s="1"/>
  <c r="J24" i="4" s="1"/>
  <c r="G24" i="4"/>
  <c r="E24" i="4"/>
  <c r="D24" i="4"/>
  <c r="C24" i="4"/>
  <c r="B24" i="4"/>
  <c r="N23" i="4"/>
  <c r="M23" i="4"/>
  <c r="K23" i="4"/>
  <c r="H23" i="4"/>
  <c r="I23" i="4" s="1"/>
  <c r="G23" i="4"/>
  <c r="E23" i="4"/>
  <c r="D23" i="4"/>
  <c r="C23" i="4"/>
  <c r="B23" i="4"/>
  <c r="N22" i="4"/>
  <c r="M22" i="4"/>
  <c r="K22" i="4"/>
  <c r="H22" i="4"/>
  <c r="I22" i="4" s="1"/>
  <c r="G22" i="4"/>
  <c r="E22" i="4"/>
  <c r="D22" i="4"/>
  <c r="C22" i="4"/>
  <c r="B22" i="4"/>
  <c r="N21" i="4"/>
  <c r="M21" i="4"/>
  <c r="K21" i="4"/>
  <c r="H21" i="4"/>
  <c r="I21" i="4" s="1"/>
  <c r="G21" i="4"/>
  <c r="E21" i="4"/>
  <c r="D21" i="4"/>
  <c r="C21" i="4"/>
  <c r="B21" i="4"/>
  <c r="N20" i="4"/>
  <c r="M20" i="4"/>
  <c r="K20" i="4"/>
  <c r="H20" i="4"/>
  <c r="I20" i="4" s="1"/>
  <c r="G20" i="4"/>
  <c r="E20" i="4"/>
  <c r="D20" i="4"/>
  <c r="C20" i="4"/>
  <c r="B20" i="4"/>
  <c r="N19" i="4"/>
  <c r="M19" i="4"/>
  <c r="K19" i="4"/>
  <c r="H19" i="4"/>
  <c r="I19" i="4" s="1"/>
  <c r="G19" i="4"/>
  <c r="E19" i="4"/>
  <c r="D19" i="4"/>
  <c r="C19" i="4"/>
  <c r="B19" i="4"/>
  <c r="N18" i="4"/>
  <c r="M18" i="4"/>
  <c r="K18" i="4"/>
  <c r="H18" i="4"/>
  <c r="I18" i="4" s="1"/>
  <c r="G18" i="4"/>
  <c r="E18" i="4"/>
  <c r="D18" i="4"/>
  <c r="C18" i="4"/>
  <c r="B18" i="4"/>
  <c r="N17" i="4"/>
  <c r="M17" i="4"/>
  <c r="K17" i="4"/>
  <c r="H17" i="4"/>
  <c r="I17" i="4" s="1"/>
  <c r="G17" i="4"/>
  <c r="E17" i="4"/>
  <c r="D17" i="4"/>
  <c r="C17" i="4"/>
  <c r="B17" i="4"/>
  <c r="N16" i="4"/>
  <c r="M16" i="4"/>
  <c r="K16" i="4"/>
  <c r="H16" i="4"/>
  <c r="I16" i="4" s="1"/>
  <c r="J16" i="4" s="1"/>
  <c r="G16" i="4"/>
  <c r="E16" i="4"/>
  <c r="D16" i="4"/>
  <c r="C16" i="4"/>
  <c r="B16" i="4"/>
  <c r="N15" i="4"/>
  <c r="M15" i="4"/>
  <c r="K15" i="4"/>
  <c r="H15" i="4"/>
  <c r="I15" i="4" s="1"/>
  <c r="G15" i="4"/>
  <c r="E15" i="4"/>
  <c r="D15" i="4"/>
  <c r="C15" i="4"/>
  <c r="B15" i="4"/>
  <c r="N14" i="4"/>
  <c r="M14" i="4"/>
  <c r="K14" i="4"/>
  <c r="H14" i="4"/>
  <c r="I14" i="4" s="1"/>
  <c r="G14" i="4"/>
  <c r="E14" i="4"/>
  <c r="D14" i="4"/>
  <c r="C14" i="4"/>
  <c r="B14" i="4"/>
  <c r="N13" i="4"/>
  <c r="M13" i="4"/>
  <c r="K13" i="4"/>
  <c r="H13" i="4"/>
  <c r="I13" i="4" s="1"/>
  <c r="G13" i="4"/>
  <c r="E13" i="4"/>
  <c r="D13" i="4"/>
  <c r="C13" i="4"/>
  <c r="B13" i="4"/>
  <c r="N12" i="4"/>
  <c r="M12" i="4"/>
  <c r="K12" i="4"/>
  <c r="H12" i="4"/>
  <c r="I12" i="4" s="1"/>
  <c r="J12" i="4" s="1"/>
  <c r="G12" i="4"/>
  <c r="E12" i="4"/>
  <c r="D12" i="4"/>
  <c r="C12" i="4"/>
  <c r="B12" i="4"/>
  <c r="N11" i="4"/>
  <c r="M11" i="4"/>
  <c r="K11" i="4"/>
  <c r="H11" i="4"/>
  <c r="I11" i="4" s="1"/>
  <c r="G11" i="4"/>
  <c r="E11" i="4"/>
  <c r="D11" i="4"/>
  <c r="C11" i="4"/>
  <c r="B11" i="4"/>
  <c r="G518" i="3"/>
  <c r="DM516" i="3"/>
  <c r="DL516" i="3"/>
  <c r="DK516" i="3"/>
  <c r="DJ516" i="3"/>
  <c r="DI516" i="3"/>
  <c r="DH516" i="3"/>
  <c r="DG516" i="3"/>
  <c r="DF516" i="3"/>
  <c r="DE516" i="3"/>
  <c r="J106" i="14" s="1"/>
  <c r="G87" i="17" s="1"/>
  <c r="DD516" i="3"/>
  <c r="DC516" i="3"/>
  <c r="DB516" i="3"/>
  <c r="DA516" i="3"/>
  <c r="CZ516" i="3"/>
  <c r="CY516" i="3"/>
  <c r="CX516" i="3"/>
  <c r="CW516" i="3"/>
  <c r="CV516" i="3"/>
  <c r="CU516" i="3"/>
  <c r="J90" i="14" s="1"/>
  <c r="CT516" i="3"/>
  <c r="CS516" i="3"/>
  <c r="CR516" i="3"/>
  <c r="CQ516" i="3"/>
  <c r="J86" i="14" s="1"/>
  <c r="CP516" i="3"/>
  <c r="CO516" i="3"/>
  <c r="CN516" i="3"/>
  <c r="CM516" i="3"/>
  <c r="CL516" i="3"/>
  <c r="CK516" i="3"/>
  <c r="CJ516" i="3"/>
  <c r="CI516" i="3"/>
  <c r="CH516" i="3"/>
  <c r="CG516" i="3"/>
  <c r="CF516" i="3"/>
  <c r="CE516" i="3"/>
  <c r="CD516" i="3"/>
  <c r="I130" i="7" s="1"/>
  <c r="CC516" i="3"/>
  <c r="I129" i="7" s="1"/>
  <c r="CB516" i="3"/>
  <c r="I128" i="7" s="1"/>
  <c r="CA516" i="3"/>
  <c r="I127" i="7" s="1"/>
  <c r="BZ516" i="3"/>
  <c r="I126" i="7" s="1"/>
  <c r="BY516" i="3"/>
  <c r="I125" i="7" s="1"/>
  <c r="BX516" i="3"/>
  <c r="I124" i="7" s="1"/>
  <c r="BH516" i="3"/>
  <c r="BG516" i="3"/>
  <c r="BF516" i="3"/>
  <c r="BE516" i="3"/>
  <c r="BD516" i="3"/>
  <c r="BC516" i="3"/>
  <c r="BB516" i="3"/>
  <c r="BA516" i="3"/>
  <c r="AZ516" i="3"/>
  <c r="AY516" i="3"/>
  <c r="I99" i="7" s="1"/>
  <c r="I99" i="23" s="1"/>
  <c r="AX516" i="3"/>
  <c r="I98" i="7" s="1"/>
  <c r="AW516" i="3"/>
  <c r="I97" i="7" s="1"/>
  <c r="I97" i="23" s="1"/>
  <c r="AT516" i="3"/>
  <c r="AS516" i="3"/>
  <c r="I93" i="7" s="1"/>
  <c r="I93" i="23" s="1"/>
  <c r="AR516" i="3"/>
  <c r="I92" i="7" s="1"/>
  <c r="I92" i="23" s="1"/>
  <c r="AQ516" i="3"/>
  <c r="I91" i="7" s="1"/>
  <c r="I91" i="23" s="1"/>
  <c r="AO516" i="3"/>
  <c r="I89" i="7" s="1"/>
  <c r="AG516" i="3"/>
  <c r="AF516" i="3"/>
  <c r="AE516" i="3"/>
  <c r="AD516" i="3"/>
  <c r="AC516" i="3"/>
  <c r="AB516" i="3"/>
  <c r="AA516" i="3"/>
  <c r="Z516" i="3"/>
  <c r="Y516" i="3"/>
  <c r="X516" i="3"/>
  <c r="W516" i="3"/>
  <c r="V516" i="3"/>
  <c r="U516" i="3"/>
  <c r="T516" i="3"/>
  <c r="S516" i="3"/>
  <c r="R516" i="3"/>
  <c r="Q516" i="3"/>
  <c r="P516" i="3"/>
  <c r="M516" i="3"/>
  <c r="C93" i="19" s="1"/>
  <c r="L516" i="3"/>
  <c r="C91" i="19" s="1"/>
  <c r="K516" i="3"/>
  <c r="C89" i="19" s="1"/>
  <c r="G516" i="3"/>
  <c r="BW515" i="3"/>
  <c r="DN515" i="3" s="1"/>
  <c r="I515" i="3"/>
  <c r="BW514" i="3"/>
  <c r="DN514" i="3" s="1"/>
  <c r="I514" i="3"/>
  <c r="BW513" i="3"/>
  <c r="DN513" i="3" s="1"/>
  <c r="I513" i="3"/>
  <c r="BW512" i="3"/>
  <c r="DN512" i="3" s="1"/>
  <c r="I512" i="3"/>
  <c r="BW511" i="3"/>
  <c r="I511" i="3"/>
  <c r="BW510" i="3"/>
  <c r="DN510" i="3" s="1"/>
  <c r="I510" i="3"/>
  <c r="BW509" i="3"/>
  <c r="DN509" i="3" s="1"/>
  <c r="I509" i="3"/>
  <c r="BW508" i="3"/>
  <c r="DN508" i="3" s="1"/>
  <c r="I508" i="3"/>
  <c r="BW507" i="3"/>
  <c r="I507" i="3"/>
  <c r="BW506" i="3"/>
  <c r="I506" i="3"/>
  <c r="BW505" i="3"/>
  <c r="DN505" i="3" s="1"/>
  <c r="I505" i="3"/>
  <c r="BW504" i="3"/>
  <c r="DN504" i="3" s="1"/>
  <c r="I504" i="3"/>
  <c r="BW503" i="3"/>
  <c r="DN503" i="3" s="1"/>
  <c r="I503" i="3"/>
  <c r="BW502" i="3"/>
  <c r="I502" i="3"/>
  <c r="BW501" i="3"/>
  <c r="DN501" i="3" s="1"/>
  <c r="I501" i="3"/>
  <c r="BW500" i="3"/>
  <c r="DN500" i="3" s="1"/>
  <c r="I500" i="3"/>
  <c r="BW499" i="3"/>
  <c r="I499" i="3"/>
  <c r="BW498" i="3"/>
  <c r="DN498" i="3" s="1"/>
  <c r="I498" i="3"/>
  <c r="BW497" i="3"/>
  <c r="DN497" i="3" s="1"/>
  <c r="I497" i="3"/>
  <c r="BW496" i="3"/>
  <c r="DN496" i="3" s="1"/>
  <c r="I496" i="3"/>
  <c r="BW495" i="3"/>
  <c r="DN495" i="3" s="1"/>
  <c r="I495" i="3"/>
  <c r="BW494" i="3"/>
  <c r="I494" i="3"/>
  <c r="BW493" i="3"/>
  <c r="DN493" i="3" s="1"/>
  <c r="I493" i="3"/>
  <c r="BW492" i="3"/>
  <c r="I492" i="3"/>
  <c r="BW491" i="3"/>
  <c r="DN491" i="3" s="1"/>
  <c r="I491" i="3"/>
  <c r="BW490" i="3"/>
  <c r="DN490" i="3" s="1"/>
  <c r="I490" i="3"/>
  <c r="BW489" i="3"/>
  <c r="DN489" i="3" s="1"/>
  <c r="I489" i="3"/>
  <c r="BW488" i="3"/>
  <c r="DN488" i="3" s="1"/>
  <c r="I488" i="3"/>
  <c r="BW487" i="3"/>
  <c r="I487" i="3"/>
  <c r="BW486" i="3"/>
  <c r="I486" i="3"/>
  <c r="BW485" i="3"/>
  <c r="DN485" i="3" s="1"/>
  <c r="I485" i="3"/>
  <c r="BW484" i="3"/>
  <c r="I484" i="3"/>
  <c r="BW483" i="3"/>
  <c r="DN483" i="3" s="1"/>
  <c r="I483" i="3"/>
  <c r="BW482" i="3"/>
  <c r="I482" i="3"/>
  <c r="BW481" i="3"/>
  <c r="DN481" i="3" s="1"/>
  <c r="I481" i="3"/>
  <c r="BW480" i="3"/>
  <c r="DN480" i="3" s="1"/>
  <c r="I480" i="3"/>
  <c r="BW479" i="3"/>
  <c r="DN479" i="3" s="1"/>
  <c r="I479" i="3"/>
  <c r="BW478" i="3"/>
  <c r="DN478" i="3" s="1"/>
  <c r="I478" i="3"/>
  <c r="BW477" i="3"/>
  <c r="DN477" i="3" s="1"/>
  <c r="I477" i="3"/>
  <c r="BW476" i="3"/>
  <c r="I476" i="3"/>
  <c r="BW475" i="3"/>
  <c r="DN475" i="3" s="1"/>
  <c r="I475" i="3"/>
  <c r="BW474" i="3"/>
  <c r="DN474" i="3" s="1"/>
  <c r="I474" i="3"/>
  <c r="BW473" i="3"/>
  <c r="DN473" i="3" s="1"/>
  <c r="I473" i="3"/>
  <c r="BW472" i="3"/>
  <c r="DN472" i="3" s="1"/>
  <c r="I472" i="3"/>
  <c r="BW471" i="3"/>
  <c r="DN471" i="3" s="1"/>
  <c r="I471" i="3"/>
  <c r="BW470" i="3"/>
  <c r="DN470" i="3" s="1"/>
  <c r="I470" i="3"/>
  <c r="BW469" i="3"/>
  <c r="DN469" i="3" s="1"/>
  <c r="I469" i="3"/>
  <c r="BW468" i="3"/>
  <c r="DN468" i="3" s="1"/>
  <c r="I468" i="3"/>
  <c r="BW467" i="3"/>
  <c r="DN467" i="3" s="1"/>
  <c r="I467" i="3"/>
  <c r="BW466" i="3"/>
  <c r="DN466" i="3" s="1"/>
  <c r="I466" i="3"/>
  <c r="BW465" i="3"/>
  <c r="DN465" i="3" s="1"/>
  <c r="I465" i="3"/>
  <c r="BW464" i="3"/>
  <c r="DN464" i="3" s="1"/>
  <c r="I464" i="3"/>
  <c r="BW463" i="3"/>
  <c r="I463" i="3"/>
  <c r="BW462" i="3"/>
  <c r="I462" i="3"/>
  <c r="BW461" i="3"/>
  <c r="DN461" i="3" s="1"/>
  <c r="I461" i="3"/>
  <c r="BW460" i="3"/>
  <c r="I460" i="3"/>
  <c r="BW459" i="3"/>
  <c r="DN459" i="3" s="1"/>
  <c r="I459" i="3"/>
  <c r="BW458" i="3"/>
  <c r="I458" i="3"/>
  <c r="BW457" i="3"/>
  <c r="DN457" i="3" s="1"/>
  <c r="I457" i="3"/>
  <c r="BW456" i="3"/>
  <c r="DN456" i="3" s="1"/>
  <c r="I456" i="3"/>
  <c r="BW455" i="3"/>
  <c r="DN455" i="3" s="1"/>
  <c r="I455" i="3"/>
  <c r="BW454" i="3"/>
  <c r="DN454" i="3" s="1"/>
  <c r="I454" i="3"/>
  <c r="BW453" i="3"/>
  <c r="DN453" i="3" s="1"/>
  <c r="I453" i="3"/>
  <c r="BW452" i="3"/>
  <c r="DN452" i="3" s="1"/>
  <c r="I452" i="3"/>
  <c r="BW451" i="3"/>
  <c r="DN451" i="3" s="1"/>
  <c r="I451" i="3"/>
  <c r="BW450" i="3"/>
  <c r="DN450" i="3" s="1"/>
  <c r="I450" i="3"/>
  <c r="BW449" i="3"/>
  <c r="DN449" i="3" s="1"/>
  <c r="I449" i="3"/>
  <c r="BW448" i="3"/>
  <c r="I448" i="3"/>
  <c r="BW447" i="3"/>
  <c r="DN447" i="3" s="1"/>
  <c r="I447" i="3"/>
  <c r="BW446" i="3"/>
  <c r="I446" i="3"/>
  <c r="BW445" i="3"/>
  <c r="DN445" i="3" s="1"/>
  <c r="I445" i="3"/>
  <c r="BW444" i="3"/>
  <c r="DN444" i="3" s="1"/>
  <c r="I444" i="3"/>
  <c r="BW443" i="3"/>
  <c r="I443" i="3"/>
  <c r="BW442" i="3"/>
  <c r="DN442" i="3" s="1"/>
  <c r="I442" i="3"/>
  <c r="BW441" i="3"/>
  <c r="DN441" i="3" s="1"/>
  <c r="I441" i="3"/>
  <c r="BW440" i="3"/>
  <c r="DN440" i="3" s="1"/>
  <c r="I440" i="3"/>
  <c r="BW439" i="3"/>
  <c r="DN439" i="3" s="1"/>
  <c r="I439" i="3"/>
  <c r="BW438" i="3"/>
  <c r="I438" i="3"/>
  <c r="BW437" i="3"/>
  <c r="DN437" i="3" s="1"/>
  <c r="I437" i="3"/>
  <c r="BW436" i="3"/>
  <c r="DN436" i="3" s="1"/>
  <c r="I436" i="3"/>
  <c r="BW435" i="3"/>
  <c r="DN435" i="3" s="1"/>
  <c r="I435" i="3"/>
  <c r="BW434" i="3"/>
  <c r="DN434" i="3" s="1"/>
  <c r="I434" i="3"/>
  <c r="BW433" i="3"/>
  <c r="DN433" i="3" s="1"/>
  <c r="I433" i="3"/>
  <c r="BW432" i="3"/>
  <c r="DN432" i="3" s="1"/>
  <c r="I432" i="3"/>
  <c r="BW431" i="3"/>
  <c r="I431" i="3"/>
  <c r="BW430" i="3"/>
  <c r="DN430" i="3" s="1"/>
  <c r="I430" i="3"/>
  <c r="BW429" i="3"/>
  <c r="DN429" i="3" s="1"/>
  <c r="I429" i="3"/>
  <c r="BW428" i="3"/>
  <c r="DN428" i="3" s="1"/>
  <c r="I428" i="3"/>
  <c r="BW427" i="3"/>
  <c r="DN427" i="3" s="1"/>
  <c r="I427" i="3"/>
  <c r="BW426" i="3"/>
  <c r="DN426" i="3" s="1"/>
  <c r="I426" i="3"/>
  <c r="BW425" i="3"/>
  <c r="DN425" i="3" s="1"/>
  <c r="I425" i="3"/>
  <c r="BW424" i="3"/>
  <c r="DN424" i="3" s="1"/>
  <c r="I424" i="3"/>
  <c r="BW423" i="3"/>
  <c r="DN423" i="3" s="1"/>
  <c r="I423" i="3"/>
  <c r="BW422" i="3"/>
  <c r="DN422" i="3" s="1"/>
  <c r="I422" i="3"/>
  <c r="BW421" i="3"/>
  <c r="DN421" i="3" s="1"/>
  <c r="I421" i="3"/>
  <c r="BW420" i="3"/>
  <c r="I420" i="3"/>
  <c r="BW419" i="3"/>
  <c r="I419" i="3"/>
  <c r="BW418" i="3"/>
  <c r="DN418" i="3" s="1"/>
  <c r="I418" i="3"/>
  <c r="BW417" i="3"/>
  <c r="DN417" i="3" s="1"/>
  <c r="I417" i="3"/>
  <c r="BW416" i="3"/>
  <c r="DN416" i="3" s="1"/>
  <c r="I416" i="3"/>
  <c r="BW415" i="3"/>
  <c r="DN415" i="3" s="1"/>
  <c r="I415" i="3"/>
  <c r="BW414" i="3"/>
  <c r="DN414" i="3" s="1"/>
  <c r="I414" i="3"/>
  <c r="BW413" i="3"/>
  <c r="DN413" i="3" s="1"/>
  <c r="I413" i="3"/>
  <c r="BW412" i="3"/>
  <c r="I412" i="3"/>
  <c r="BW411" i="3"/>
  <c r="I411" i="3"/>
  <c r="BW410" i="3"/>
  <c r="DN410" i="3" s="1"/>
  <c r="I410" i="3"/>
  <c r="BW409" i="3"/>
  <c r="DN409" i="3" s="1"/>
  <c r="I409" i="3"/>
  <c r="BW408" i="3"/>
  <c r="DN408" i="3" s="1"/>
  <c r="I408" i="3"/>
  <c r="BW407" i="3"/>
  <c r="DN407" i="3" s="1"/>
  <c r="I407" i="3"/>
  <c r="BW406" i="3"/>
  <c r="DN406" i="3" s="1"/>
  <c r="I406" i="3"/>
  <c r="BW405" i="3"/>
  <c r="I405" i="3"/>
  <c r="BW404" i="3"/>
  <c r="DN404" i="3" s="1"/>
  <c r="I404" i="3"/>
  <c r="BW403" i="3"/>
  <c r="DN403" i="3" s="1"/>
  <c r="I403" i="3"/>
  <c r="BW402" i="3"/>
  <c r="DN402" i="3" s="1"/>
  <c r="I402" i="3"/>
  <c r="BW401" i="3"/>
  <c r="DN401" i="3" s="1"/>
  <c r="I401" i="3"/>
  <c r="BW400" i="3"/>
  <c r="DN400" i="3" s="1"/>
  <c r="I400" i="3"/>
  <c r="BW399" i="3"/>
  <c r="DN399" i="3" s="1"/>
  <c r="I399" i="3"/>
  <c r="BW398" i="3"/>
  <c r="DN398" i="3" s="1"/>
  <c r="I398" i="3"/>
  <c r="BW397" i="3"/>
  <c r="DN397" i="3" s="1"/>
  <c r="I397" i="3"/>
  <c r="BW396" i="3"/>
  <c r="DN396" i="3" s="1"/>
  <c r="I396" i="3"/>
  <c r="BW395" i="3"/>
  <c r="DN395" i="3" s="1"/>
  <c r="I395" i="3"/>
  <c r="BW394" i="3"/>
  <c r="DN394" i="3" s="1"/>
  <c r="I394" i="3"/>
  <c r="BW393" i="3"/>
  <c r="DN393" i="3" s="1"/>
  <c r="I393" i="3"/>
  <c r="BW392" i="3"/>
  <c r="DN392" i="3" s="1"/>
  <c r="I392" i="3"/>
  <c r="BW391" i="3"/>
  <c r="DN391" i="3" s="1"/>
  <c r="I391" i="3"/>
  <c r="BW390" i="3"/>
  <c r="DN390" i="3" s="1"/>
  <c r="I390" i="3"/>
  <c r="BW389" i="3"/>
  <c r="DN389" i="3" s="1"/>
  <c r="I389" i="3"/>
  <c r="BW388" i="3"/>
  <c r="DN388" i="3" s="1"/>
  <c r="I388" i="3"/>
  <c r="BW387" i="3"/>
  <c r="DN387" i="3" s="1"/>
  <c r="I387" i="3"/>
  <c r="BW386" i="3"/>
  <c r="DN386" i="3" s="1"/>
  <c r="I386" i="3"/>
  <c r="BW385" i="3"/>
  <c r="DN385" i="3" s="1"/>
  <c r="I385" i="3"/>
  <c r="BW384" i="3"/>
  <c r="DN384" i="3" s="1"/>
  <c r="I384" i="3"/>
  <c r="BW383" i="3"/>
  <c r="DN383" i="3" s="1"/>
  <c r="I383" i="3"/>
  <c r="BW382" i="3"/>
  <c r="DN382" i="3" s="1"/>
  <c r="I382" i="3"/>
  <c r="BW381" i="3"/>
  <c r="DN381" i="3" s="1"/>
  <c r="I381" i="3"/>
  <c r="BW380" i="3"/>
  <c r="DN380" i="3" s="1"/>
  <c r="I380" i="3"/>
  <c r="BW379" i="3"/>
  <c r="DN379" i="3" s="1"/>
  <c r="I379" i="3"/>
  <c r="BW378" i="3"/>
  <c r="DN378" i="3" s="1"/>
  <c r="I378" i="3"/>
  <c r="BW377" i="3"/>
  <c r="I377" i="3"/>
  <c r="BW376" i="3"/>
  <c r="DN376" i="3" s="1"/>
  <c r="I376" i="3"/>
  <c r="BW375" i="3"/>
  <c r="DN375" i="3" s="1"/>
  <c r="I375" i="3"/>
  <c r="BW374" i="3"/>
  <c r="DN374" i="3" s="1"/>
  <c r="I374" i="3"/>
  <c r="BW373" i="3"/>
  <c r="DN373" i="3" s="1"/>
  <c r="I373" i="3"/>
  <c r="BW372" i="3"/>
  <c r="DN372" i="3" s="1"/>
  <c r="I372" i="3"/>
  <c r="BW371" i="3"/>
  <c r="I371" i="3"/>
  <c r="BW370" i="3"/>
  <c r="DN370" i="3" s="1"/>
  <c r="I370" i="3"/>
  <c r="BW369" i="3"/>
  <c r="DN369" i="3" s="1"/>
  <c r="I369" i="3"/>
  <c r="BW368" i="3"/>
  <c r="DN368" i="3" s="1"/>
  <c r="I368" i="3"/>
  <c r="BW367" i="3"/>
  <c r="I367" i="3"/>
  <c r="BW366" i="3"/>
  <c r="DN366" i="3" s="1"/>
  <c r="I366" i="3"/>
  <c r="BW365" i="3"/>
  <c r="DN365" i="3" s="1"/>
  <c r="I365" i="3"/>
  <c r="BW364" i="3"/>
  <c r="DN364" i="3" s="1"/>
  <c r="I364" i="3"/>
  <c r="BW363" i="3"/>
  <c r="DN363" i="3" s="1"/>
  <c r="I363" i="3"/>
  <c r="BW362" i="3"/>
  <c r="DN362" i="3" s="1"/>
  <c r="I362" i="3"/>
  <c r="BW361" i="3"/>
  <c r="DN361" i="3" s="1"/>
  <c r="I361" i="3"/>
  <c r="BW360" i="3"/>
  <c r="DN360" i="3" s="1"/>
  <c r="I360" i="3"/>
  <c r="BW359" i="3"/>
  <c r="DN359" i="3" s="1"/>
  <c r="I359" i="3"/>
  <c r="BW358" i="3"/>
  <c r="DN358" i="3" s="1"/>
  <c r="I358" i="3"/>
  <c r="BW357" i="3"/>
  <c r="DN357" i="3" s="1"/>
  <c r="I357" i="3"/>
  <c r="BW356" i="3"/>
  <c r="DN356" i="3" s="1"/>
  <c r="I356" i="3"/>
  <c r="BW355" i="3"/>
  <c r="DN355" i="3" s="1"/>
  <c r="I355" i="3"/>
  <c r="BW354" i="3"/>
  <c r="DN354" i="3" s="1"/>
  <c r="I354" i="3"/>
  <c r="BW353" i="3"/>
  <c r="DN353" i="3" s="1"/>
  <c r="I353" i="3"/>
  <c r="BW352" i="3"/>
  <c r="DN352" i="3" s="1"/>
  <c r="I352" i="3"/>
  <c r="BW351" i="3"/>
  <c r="DN351" i="3" s="1"/>
  <c r="I351" i="3"/>
  <c r="BW350" i="3"/>
  <c r="DN350" i="3" s="1"/>
  <c r="I350" i="3"/>
  <c r="BW349" i="3"/>
  <c r="I349" i="3"/>
  <c r="BW348" i="3"/>
  <c r="DN348" i="3" s="1"/>
  <c r="I348" i="3"/>
  <c r="BW347" i="3"/>
  <c r="I347" i="3"/>
  <c r="BW346" i="3"/>
  <c r="DN346" i="3" s="1"/>
  <c r="I346" i="3"/>
  <c r="BW345" i="3"/>
  <c r="I345" i="3"/>
  <c r="BW344" i="3"/>
  <c r="I344" i="3"/>
  <c r="BW343" i="3"/>
  <c r="DN343" i="3" s="1"/>
  <c r="I343" i="3"/>
  <c r="BW342" i="3"/>
  <c r="DN342" i="3" s="1"/>
  <c r="I342" i="3"/>
  <c r="BW341" i="3"/>
  <c r="I341" i="3"/>
  <c r="BW340" i="3"/>
  <c r="DN340" i="3" s="1"/>
  <c r="I340" i="3"/>
  <c r="BW339" i="3"/>
  <c r="I339" i="3"/>
  <c r="BW338" i="3"/>
  <c r="DN338" i="3" s="1"/>
  <c r="I338" i="3"/>
  <c r="BW337" i="3"/>
  <c r="I337" i="3"/>
  <c r="BW336" i="3"/>
  <c r="DN336" i="3" s="1"/>
  <c r="I336" i="3"/>
  <c r="BW335" i="3"/>
  <c r="DN335" i="3" s="1"/>
  <c r="I335" i="3"/>
  <c r="BW334" i="3"/>
  <c r="DN334" i="3" s="1"/>
  <c r="I334" i="3"/>
  <c r="BW333" i="3"/>
  <c r="DN333" i="3" s="1"/>
  <c r="I333" i="3"/>
  <c r="BW332" i="3"/>
  <c r="DN332" i="3" s="1"/>
  <c r="I332" i="3"/>
  <c r="BW331" i="3"/>
  <c r="I331" i="3"/>
  <c r="BW330" i="3"/>
  <c r="DN330" i="3" s="1"/>
  <c r="I330" i="3"/>
  <c r="BW329" i="3"/>
  <c r="DN329" i="3" s="1"/>
  <c r="I329" i="3"/>
  <c r="BW328" i="3"/>
  <c r="DN328" i="3" s="1"/>
  <c r="I328" i="3"/>
  <c r="BW327" i="3"/>
  <c r="DN327" i="3" s="1"/>
  <c r="I327" i="3"/>
  <c r="BW326" i="3"/>
  <c r="DN326" i="3" s="1"/>
  <c r="I326" i="3"/>
  <c r="BW325" i="3"/>
  <c r="DN325" i="3" s="1"/>
  <c r="I325" i="3"/>
  <c r="BW324" i="3"/>
  <c r="DN324" i="3" s="1"/>
  <c r="I324" i="3"/>
  <c r="BW323" i="3"/>
  <c r="DN323" i="3" s="1"/>
  <c r="I323" i="3"/>
  <c r="BW322" i="3"/>
  <c r="DN322" i="3" s="1"/>
  <c r="I322" i="3"/>
  <c r="BW321" i="3"/>
  <c r="DN321" i="3" s="1"/>
  <c r="I321" i="3"/>
  <c r="BW320" i="3"/>
  <c r="DN320" i="3" s="1"/>
  <c r="I320" i="3"/>
  <c r="BW319" i="3"/>
  <c r="I319" i="3"/>
  <c r="BW318" i="3"/>
  <c r="DN318" i="3" s="1"/>
  <c r="I318" i="3"/>
  <c r="BW317" i="3"/>
  <c r="I317" i="3"/>
  <c r="BW316" i="3"/>
  <c r="DN316" i="3" s="1"/>
  <c r="I316" i="3"/>
  <c r="BW315" i="3"/>
  <c r="I315" i="3"/>
  <c r="BW314" i="3"/>
  <c r="DN314" i="3" s="1"/>
  <c r="I314" i="3"/>
  <c r="BW313" i="3"/>
  <c r="DN313" i="3" s="1"/>
  <c r="I313" i="3"/>
  <c r="BW312" i="3"/>
  <c r="I312" i="3"/>
  <c r="BW311" i="3"/>
  <c r="DN311" i="3" s="1"/>
  <c r="I311" i="3"/>
  <c r="BW310" i="3"/>
  <c r="DN310" i="3" s="1"/>
  <c r="I310" i="3"/>
  <c r="BW309" i="3"/>
  <c r="DN309" i="3" s="1"/>
  <c r="I309" i="3"/>
  <c r="BW308" i="3"/>
  <c r="DN308" i="3" s="1"/>
  <c r="I308" i="3"/>
  <c r="BW307" i="3"/>
  <c r="I307" i="3"/>
  <c r="BW306" i="3"/>
  <c r="DN306" i="3" s="1"/>
  <c r="I306" i="3"/>
  <c r="BW305" i="3"/>
  <c r="DN305" i="3" s="1"/>
  <c r="I305" i="3"/>
  <c r="BW304" i="3"/>
  <c r="DN304" i="3" s="1"/>
  <c r="I304" i="3"/>
  <c r="BW303" i="3"/>
  <c r="DN303" i="3" s="1"/>
  <c r="I303" i="3"/>
  <c r="BW302" i="3"/>
  <c r="DN302" i="3" s="1"/>
  <c r="I302" i="3"/>
  <c r="BW301" i="3"/>
  <c r="DN301" i="3" s="1"/>
  <c r="I301" i="3"/>
  <c r="BW300" i="3"/>
  <c r="DN300" i="3" s="1"/>
  <c r="I300" i="3"/>
  <c r="BW299" i="3"/>
  <c r="DN299" i="3" s="1"/>
  <c r="I299" i="3"/>
  <c r="BW298" i="3"/>
  <c r="DN298" i="3" s="1"/>
  <c r="I298" i="3"/>
  <c r="BW297" i="3"/>
  <c r="DN297" i="3" s="1"/>
  <c r="I297" i="3"/>
  <c r="BW296" i="3"/>
  <c r="DN296" i="3" s="1"/>
  <c r="I296" i="3"/>
  <c r="BW295" i="3"/>
  <c r="DN295" i="3" s="1"/>
  <c r="I295" i="3"/>
  <c r="BW294" i="3"/>
  <c r="DN294" i="3" s="1"/>
  <c r="I294" i="3"/>
  <c r="BW293" i="3"/>
  <c r="DN293" i="3" s="1"/>
  <c r="I293" i="3"/>
  <c r="BW292" i="3"/>
  <c r="DN292" i="3" s="1"/>
  <c r="I292" i="3"/>
  <c r="BW291" i="3"/>
  <c r="I291" i="3"/>
  <c r="BW290" i="3"/>
  <c r="DN290" i="3" s="1"/>
  <c r="I290" i="3"/>
  <c r="BW289" i="3"/>
  <c r="DN289" i="3" s="1"/>
  <c r="I289" i="3"/>
  <c r="BW288" i="3"/>
  <c r="DN288" i="3" s="1"/>
  <c r="I288" i="3"/>
  <c r="BW287" i="3"/>
  <c r="DN287" i="3" s="1"/>
  <c r="I287" i="3"/>
  <c r="BW286" i="3"/>
  <c r="DN286" i="3" s="1"/>
  <c r="I286" i="3"/>
  <c r="BW285" i="3"/>
  <c r="DN285" i="3" s="1"/>
  <c r="I285" i="3"/>
  <c r="BW284" i="3"/>
  <c r="DN284" i="3" s="1"/>
  <c r="I284" i="3"/>
  <c r="BW283" i="3"/>
  <c r="DN283" i="3" s="1"/>
  <c r="I283" i="3"/>
  <c r="BW282" i="3"/>
  <c r="DN282" i="3" s="1"/>
  <c r="I282" i="3"/>
  <c r="BW281" i="3"/>
  <c r="DN281" i="3" s="1"/>
  <c r="I281" i="3"/>
  <c r="BW280" i="3"/>
  <c r="DN280" i="3" s="1"/>
  <c r="I280" i="3"/>
  <c r="BW279" i="3"/>
  <c r="DN279" i="3" s="1"/>
  <c r="I279" i="3"/>
  <c r="BW278" i="3"/>
  <c r="DN278" i="3" s="1"/>
  <c r="I278" i="3"/>
  <c r="BW277" i="3"/>
  <c r="DN277" i="3" s="1"/>
  <c r="I277" i="3"/>
  <c r="BW276" i="3"/>
  <c r="DN276" i="3" s="1"/>
  <c r="I276" i="3"/>
  <c r="BW275" i="3"/>
  <c r="DN275" i="3" s="1"/>
  <c r="I275" i="3"/>
  <c r="BW274" i="3"/>
  <c r="DN274" i="3" s="1"/>
  <c r="I274" i="3"/>
  <c r="BW273" i="3"/>
  <c r="DN273" i="3" s="1"/>
  <c r="I273" i="3"/>
  <c r="BW272" i="3"/>
  <c r="DN272" i="3" s="1"/>
  <c r="I272" i="3"/>
  <c r="BW271" i="3"/>
  <c r="DN271" i="3" s="1"/>
  <c r="I271" i="3"/>
  <c r="BW270" i="3"/>
  <c r="DN270" i="3" s="1"/>
  <c r="I270" i="3"/>
  <c r="BW269" i="3"/>
  <c r="DN269" i="3" s="1"/>
  <c r="I269" i="3"/>
  <c r="BW268" i="3"/>
  <c r="DN268" i="3" s="1"/>
  <c r="I268" i="3"/>
  <c r="BW267" i="3"/>
  <c r="DN267" i="3" s="1"/>
  <c r="I267" i="3"/>
  <c r="BW266" i="3"/>
  <c r="DN266" i="3" s="1"/>
  <c r="I266" i="3"/>
  <c r="BW265" i="3"/>
  <c r="DN265" i="3" s="1"/>
  <c r="I265" i="3"/>
  <c r="BW264" i="3"/>
  <c r="DN264" i="3" s="1"/>
  <c r="I264" i="3"/>
  <c r="BW263" i="3"/>
  <c r="DN263" i="3" s="1"/>
  <c r="I263" i="3"/>
  <c r="BW262" i="3"/>
  <c r="DN262" i="3" s="1"/>
  <c r="I262" i="3"/>
  <c r="BW261" i="3"/>
  <c r="DN261" i="3" s="1"/>
  <c r="I261" i="3"/>
  <c r="BW260" i="3"/>
  <c r="DN260" i="3" s="1"/>
  <c r="I260" i="3"/>
  <c r="BW259" i="3"/>
  <c r="DN259" i="3" s="1"/>
  <c r="I259" i="3"/>
  <c r="BW258" i="3"/>
  <c r="DN258" i="3" s="1"/>
  <c r="I258" i="3"/>
  <c r="BW257" i="3"/>
  <c r="DN257" i="3" s="1"/>
  <c r="I257" i="3"/>
  <c r="BW256" i="3"/>
  <c r="DN256" i="3" s="1"/>
  <c r="I256" i="3"/>
  <c r="BW255" i="3"/>
  <c r="DN255" i="3" s="1"/>
  <c r="I255" i="3"/>
  <c r="BW254" i="3"/>
  <c r="DN254" i="3" s="1"/>
  <c r="I254" i="3"/>
  <c r="BW253" i="3"/>
  <c r="DN253" i="3" s="1"/>
  <c r="I253" i="3"/>
  <c r="BW252" i="3"/>
  <c r="DN252" i="3" s="1"/>
  <c r="I252" i="3"/>
  <c r="BW251" i="3"/>
  <c r="DN251" i="3" s="1"/>
  <c r="I251" i="3"/>
  <c r="BW250" i="3"/>
  <c r="DN250" i="3" s="1"/>
  <c r="I250" i="3"/>
  <c r="BW249" i="3"/>
  <c r="DN249" i="3" s="1"/>
  <c r="I249" i="3"/>
  <c r="BW248" i="3"/>
  <c r="DN248" i="3" s="1"/>
  <c r="I248" i="3"/>
  <c r="BW247" i="3"/>
  <c r="DN247" i="3" s="1"/>
  <c r="I247" i="3"/>
  <c r="BW246" i="3"/>
  <c r="DN246" i="3" s="1"/>
  <c r="I246" i="3"/>
  <c r="BW245" i="3"/>
  <c r="DN245" i="3" s="1"/>
  <c r="I245" i="3"/>
  <c r="BW244" i="3"/>
  <c r="DN244" i="3" s="1"/>
  <c r="I244" i="3"/>
  <c r="BW243" i="3"/>
  <c r="DN243" i="3" s="1"/>
  <c r="I243" i="3"/>
  <c r="BW242" i="3"/>
  <c r="DN242" i="3" s="1"/>
  <c r="I242" i="3"/>
  <c r="BW241" i="3"/>
  <c r="DN241" i="3" s="1"/>
  <c r="I241" i="3"/>
  <c r="BW240" i="3"/>
  <c r="DN240" i="3" s="1"/>
  <c r="I240" i="3"/>
  <c r="BW239" i="3"/>
  <c r="DN239" i="3" s="1"/>
  <c r="I239" i="3"/>
  <c r="BW238" i="3"/>
  <c r="DN238" i="3" s="1"/>
  <c r="I238" i="3"/>
  <c r="BW237" i="3"/>
  <c r="DN237" i="3" s="1"/>
  <c r="I237" i="3"/>
  <c r="BW236" i="3"/>
  <c r="DN236" i="3" s="1"/>
  <c r="I236" i="3"/>
  <c r="BW235" i="3"/>
  <c r="DN235" i="3" s="1"/>
  <c r="I235" i="3"/>
  <c r="BW234" i="3"/>
  <c r="DN234" i="3" s="1"/>
  <c r="I234" i="3"/>
  <c r="BW233" i="3"/>
  <c r="DN233" i="3" s="1"/>
  <c r="I233" i="3"/>
  <c r="BW232" i="3"/>
  <c r="DN232" i="3" s="1"/>
  <c r="I232" i="3"/>
  <c r="BW231" i="3"/>
  <c r="DN231" i="3" s="1"/>
  <c r="I231" i="3"/>
  <c r="BW230" i="3"/>
  <c r="DN230" i="3" s="1"/>
  <c r="I230" i="3"/>
  <c r="BW229" i="3"/>
  <c r="DN229" i="3" s="1"/>
  <c r="I229" i="3"/>
  <c r="BW228" i="3"/>
  <c r="DN228" i="3" s="1"/>
  <c r="I228" i="3"/>
  <c r="BW227" i="3"/>
  <c r="DN227" i="3" s="1"/>
  <c r="I227" i="3"/>
  <c r="BW226" i="3"/>
  <c r="DN226" i="3" s="1"/>
  <c r="I226" i="3"/>
  <c r="BW225" i="3"/>
  <c r="DN225" i="3" s="1"/>
  <c r="I225" i="3"/>
  <c r="BW224" i="3"/>
  <c r="DN224" i="3" s="1"/>
  <c r="I224" i="3"/>
  <c r="BW223" i="3"/>
  <c r="DN223" i="3" s="1"/>
  <c r="I223" i="3"/>
  <c r="BW222" i="3"/>
  <c r="DN222" i="3" s="1"/>
  <c r="I222" i="3"/>
  <c r="BW221" i="3"/>
  <c r="DN221" i="3" s="1"/>
  <c r="I221" i="3"/>
  <c r="BW220" i="3"/>
  <c r="DN220" i="3" s="1"/>
  <c r="I220" i="3"/>
  <c r="BW219" i="3"/>
  <c r="DN219" i="3" s="1"/>
  <c r="I219" i="3"/>
  <c r="BW218" i="3"/>
  <c r="DN218" i="3" s="1"/>
  <c r="I218" i="3"/>
  <c r="BW217" i="3"/>
  <c r="DN217" i="3" s="1"/>
  <c r="I217" i="3"/>
  <c r="BW216" i="3"/>
  <c r="DN216" i="3" s="1"/>
  <c r="I216" i="3"/>
  <c r="BW215" i="3"/>
  <c r="DN215" i="3" s="1"/>
  <c r="I215" i="3"/>
  <c r="BW214" i="3"/>
  <c r="DN214" i="3" s="1"/>
  <c r="I214" i="3"/>
  <c r="BW213" i="3"/>
  <c r="DN213" i="3" s="1"/>
  <c r="I213" i="3"/>
  <c r="BW212" i="3"/>
  <c r="DN212" i="3" s="1"/>
  <c r="I212" i="3"/>
  <c r="BW211" i="3"/>
  <c r="DN211" i="3" s="1"/>
  <c r="I211" i="3"/>
  <c r="BW210" i="3"/>
  <c r="DN210" i="3" s="1"/>
  <c r="I210" i="3"/>
  <c r="BW209" i="3"/>
  <c r="DN209" i="3" s="1"/>
  <c r="I209" i="3"/>
  <c r="BW208" i="3"/>
  <c r="DN208" i="3" s="1"/>
  <c r="I208" i="3"/>
  <c r="BW207" i="3"/>
  <c r="DN207" i="3" s="1"/>
  <c r="I207" i="3"/>
  <c r="BW206" i="3"/>
  <c r="DN206" i="3" s="1"/>
  <c r="I206" i="3"/>
  <c r="BW205" i="3"/>
  <c r="DN205" i="3" s="1"/>
  <c r="I205" i="3"/>
  <c r="BW204" i="3"/>
  <c r="DN204" i="3" s="1"/>
  <c r="I204" i="3"/>
  <c r="BW203" i="3"/>
  <c r="DN203" i="3" s="1"/>
  <c r="I203" i="3"/>
  <c r="BW202" i="3"/>
  <c r="DN202" i="3" s="1"/>
  <c r="I202" i="3"/>
  <c r="BW201" i="3"/>
  <c r="DN201" i="3" s="1"/>
  <c r="I201" i="3"/>
  <c r="BW200" i="3"/>
  <c r="DN200" i="3" s="1"/>
  <c r="I200" i="3"/>
  <c r="BW199" i="3"/>
  <c r="DN199" i="3" s="1"/>
  <c r="I199" i="3"/>
  <c r="BW198" i="3"/>
  <c r="DN198" i="3" s="1"/>
  <c r="I198" i="3"/>
  <c r="BW197" i="3"/>
  <c r="DN197" i="3" s="1"/>
  <c r="I197" i="3"/>
  <c r="BW196" i="3"/>
  <c r="DN196" i="3" s="1"/>
  <c r="I196" i="3"/>
  <c r="BW195" i="3"/>
  <c r="DN195" i="3" s="1"/>
  <c r="I195" i="3"/>
  <c r="BW194" i="3"/>
  <c r="DN194" i="3" s="1"/>
  <c r="I194" i="3"/>
  <c r="BW193" i="3"/>
  <c r="DN193" i="3" s="1"/>
  <c r="I193" i="3"/>
  <c r="BW192" i="3"/>
  <c r="DN192" i="3" s="1"/>
  <c r="I192" i="3"/>
  <c r="BW191" i="3"/>
  <c r="DN191" i="3" s="1"/>
  <c r="I191" i="3"/>
  <c r="BW190" i="3"/>
  <c r="DN190" i="3" s="1"/>
  <c r="I190" i="3"/>
  <c r="BW189" i="3"/>
  <c r="DN189" i="3" s="1"/>
  <c r="I189" i="3"/>
  <c r="BW188" i="3"/>
  <c r="DN188" i="3" s="1"/>
  <c r="I188" i="3"/>
  <c r="BW187" i="3"/>
  <c r="DN187" i="3" s="1"/>
  <c r="I187" i="3"/>
  <c r="BW186" i="3"/>
  <c r="DN186" i="3" s="1"/>
  <c r="I186" i="3"/>
  <c r="BW185" i="3"/>
  <c r="DN185" i="3" s="1"/>
  <c r="I185" i="3"/>
  <c r="BW184" i="3"/>
  <c r="DN184" i="3" s="1"/>
  <c r="I184" i="3"/>
  <c r="BW183" i="3"/>
  <c r="DN183" i="3" s="1"/>
  <c r="I183" i="3"/>
  <c r="BW182" i="3"/>
  <c r="DN182" i="3" s="1"/>
  <c r="I182" i="3"/>
  <c r="BW181" i="3"/>
  <c r="DN181" i="3" s="1"/>
  <c r="I181" i="3"/>
  <c r="BW180" i="3"/>
  <c r="DN180" i="3" s="1"/>
  <c r="I180" i="3"/>
  <c r="BW179" i="3"/>
  <c r="DN179" i="3" s="1"/>
  <c r="I179" i="3"/>
  <c r="BW178" i="3"/>
  <c r="DN178" i="3" s="1"/>
  <c r="I178" i="3"/>
  <c r="BW177" i="3"/>
  <c r="DN177" i="3" s="1"/>
  <c r="I177" i="3"/>
  <c r="BW176" i="3"/>
  <c r="DN176" i="3" s="1"/>
  <c r="I176" i="3"/>
  <c r="BW175" i="3"/>
  <c r="DN175" i="3" s="1"/>
  <c r="I175" i="3"/>
  <c r="BW174" i="3"/>
  <c r="DN174" i="3" s="1"/>
  <c r="I174" i="3"/>
  <c r="BW173" i="3"/>
  <c r="DN173" i="3" s="1"/>
  <c r="I173" i="3"/>
  <c r="BW172" i="3"/>
  <c r="DN172" i="3" s="1"/>
  <c r="I172" i="3"/>
  <c r="BW171" i="3"/>
  <c r="DN171" i="3" s="1"/>
  <c r="I171" i="3"/>
  <c r="BW170" i="3"/>
  <c r="DN170" i="3" s="1"/>
  <c r="I170" i="3"/>
  <c r="BW169" i="3"/>
  <c r="DN169" i="3" s="1"/>
  <c r="I169" i="3"/>
  <c r="BW168" i="3"/>
  <c r="DN168" i="3" s="1"/>
  <c r="I168" i="3"/>
  <c r="BW167" i="3"/>
  <c r="DN167" i="3" s="1"/>
  <c r="I167" i="3"/>
  <c r="BW166" i="3"/>
  <c r="DN166" i="3" s="1"/>
  <c r="I166" i="3"/>
  <c r="BW165" i="3"/>
  <c r="DN165" i="3" s="1"/>
  <c r="I165" i="3"/>
  <c r="BW164" i="3"/>
  <c r="DN164" i="3" s="1"/>
  <c r="I164" i="3"/>
  <c r="BW163" i="3"/>
  <c r="DN163" i="3" s="1"/>
  <c r="I163" i="3"/>
  <c r="BW162" i="3"/>
  <c r="DN162" i="3" s="1"/>
  <c r="I162" i="3"/>
  <c r="BW161" i="3"/>
  <c r="DN161" i="3" s="1"/>
  <c r="I161" i="3"/>
  <c r="BW160" i="3"/>
  <c r="DN160" i="3" s="1"/>
  <c r="I160" i="3"/>
  <c r="BW159" i="3"/>
  <c r="DN159" i="3" s="1"/>
  <c r="I159" i="3"/>
  <c r="BW158" i="3"/>
  <c r="DN158" i="3" s="1"/>
  <c r="I158" i="3"/>
  <c r="BW157" i="3"/>
  <c r="DN157" i="3" s="1"/>
  <c r="I157" i="3"/>
  <c r="BW156" i="3"/>
  <c r="DN156" i="3" s="1"/>
  <c r="I156" i="3"/>
  <c r="BW155" i="3"/>
  <c r="DN155" i="3" s="1"/>
  <c r="I155" i="3"/>
  <c r="BW154" i="3"/>
  <c r="DN154" i="3" s="1"/>
  <c r="I154" i="3"/>
  <c r="BW153" i="3"/>
  <c r="DN153" i="3" s="1"/>
  <c r="I153" i="3"/>
  <c r="BW152" i="3"/>
  <c r="DN152" i="3" s="1"/>
  <c r="I152" i="3"/>
  <c r="BW151" i="3"/>
  <c r="DN151" i="3" s="1"/>
  <c r="I151" i="3"/>
  <c r="BW150" i="3"/>
  <c r="DN150" i="3" s="1"/>
  <c r="I150" i="3"/>
  <c r="BW149" i="3"/>
  <c r="DN149" i="3" s="1"/>
  <c r="I149" i="3"/>
  <c r="BW148" i="3"/>
  <c r="DN148" i="3" s="1"/>
  <c r="I148" i="3"/>
  <c r="BW147" i="3"/>
  <c r="DN147" i="3" s="1"/>
  <c r="I147" i="3"/>
  <c r="BW146" i="3"/>
  <c r="DN146" i="3" s="1"/>
  <c r="I146" i="3"/>
  <c r="BW145" i="3"/>
  <c r="DN145" i="3" s="1"/>
  <c r="I145" i="3"/>
  <c r="BW144" i="3"/>
  <c r="DN144" i="3" s="1"/>
  <c r="I144" i="3"/>
  <c r="BW143" i="3"/>
  <c r="DN143" i="3" s="1"/>
  <c r="I143" i="3"/>
  <c r="BW142" i="3"/>
  <c r="DN142" i="3" s="1"/>
  <c r="I142" i="3"/>
  <c r="BW141" i="3"/>
  <c r="DN141" i="3" s="1"/>
  <c r="I141" i="3"/>
  <c r="BW140" i="3"/>
  <c r="DN140" i="3" s="1"/>
  <c r="I140" i="3"/>
  <c r="BW139" i="3"/>
  <c r="DN139" i="3" s="1"/>
  <c r="I139" i="3"/>
  <c r="BW138" i="3"/>
  <c r="I138" i="3"/>
  <c r="BW137" i="3"/>
  <c r="DN137" i="3" s="1"/>
  <c r="I137" i="3"/>
  <c r="BW136" i="3"/>
  <c r="DN136" i="3" s="1"/>
  <c r="I136" i="3"/>
  <c r="BW135" i="3"/>
  <c r="DN135" i="3" s="1"/>
  <c r="I135" i="3"/>
  <c r="BW134" i="3"/>
  <c r="DN134" i="3" s="1"/>
  <c r="I134" i="3"/>
  <c r="BW133" i="3"/>
  <c r="DN133" i="3" s="1"/>
  <c r="I133" i="3"/>
  <c r="BW132" i="3"/>
  <c r="DN132" i="3" s="1"/>
  <c r="I132" i="3"/>
  <c r="BW131" i="3"/>
  <c r="DN131" i="3" s="1"/>
  <c r="I131" i="3"/>
  <c r="BW130" i="3"/>
  <c r="DN130" i="3" s="1"/>
  <c r="I130" i="3"/>
  <c r="BW129" i="3"/>
  <c r="DN129" i="3" s="1"/>
  <c r="I129" i="3"/>
  <c r="BW128" i="3"/>
  <c r="DN128" i="3" s="1"/>
  <c r="I128" i="3"/>
  <c r="BW127" i="3"/>
  <c r="DN127" i="3" s="1"/>
  <c r="I127" i="3"/>
  <c r="BW126" i="3"/>
  <c r="DN126" i="3" s="1"/>
  <c r="I126" i="3"/>
  <c r="BW125" i="3"/>
  <c r="DN125" i="3" s="1"/>
  <c r="I125" i="3"/>
  <c r="BW124" i="3"/>
  <c r="DN124" i="3" s="1"/>
  <c r="I124" i="3"/>
  <c r="BW123" i="3"/>
  <c r="DN123" i="3" s="1"/>
  <c r="I123" i="3"/>
  <c r="BW122" i="3"/>
  <c r="DN122" i="3" s="1"/>
  <c r="I122" i="3"/>
  <c r="BW121" i="3"/>
  <c r="DN121" i="3" s="1"/>
  <c r="I121" i="3"/>
  <c r="BW120" i="3"/>
  <c r="DN120" i="3" s="1"/>
  <c r="I120" i="3"/>
  <c r="BW119" i="3"/>
  <c r="DN119" i="3" s="1"/>
  <c r="I119" i="3"/>
  <c r="BW118" i="3"/>
  <c r="DN118" i="3" s="1"/>
  <c r="I118" i="3"/>
  <c r="BW117" i="3"/>
  <c r="DN117" i="3" s="1"/>
  <c r="I117" i="3"/>
  <c r="BW116" i="3"/>
  <c r="DN116" i="3" s="1"/>
  <c r="I116" i="3"/>
  <c r="BW115" i="3"/>
  <c r="DN115" i="3" s="1"/>
  <c r="I115" i="3"/>
  <c r="BW114" i="3"/>
  <c r="DN114" i="3" s="1"/>
  <c r="I114" i="3"/>
  <c r="BW113" i="3"/>
  <c r="DN113" i="3" s="1"/>
  <c r="I113" i="3"/>
  <c r="BW112" i="3"/>
  <c r="DN112" i="3" s="1"/>
  <c r="I112" i="3"/>
  <c r="BW111" i="3"/>
  <c r="DN111" i="3" s="1"/>
  <c r="I111" i="3"/>
  <c r="BW110" i="3"/>
  <c r="DN110" i="3" s="1"/>
  <c r="I110" i="3"/>
  <c r="BW109" i="3"/>
  <c r="DN109" i="3" s="1"/>
  <c r="I109" i="3"/>
  <c r="BW108" i="3"/>
  <c r="DN108" i="3" s="1"/>
  <c r="I108" i="3"/>
  <c r="BW107" i="3"/>
  <c r="DN107" i="3" s="1"/>
  <c r="I107" i="3"/>
  <c r="BW106" i="3"/>
  <c r="DN106" i="3" s="1"/>
  <c r="I106" i="3"/>
  <c r="BW105" i="3"/>
  <c r="DN105" i="3" s="1"/>
  <c r="I105" i="3"/>
  <c r="BW104" i="3"/>
  <c r="DN104" i="3" s="1"/>
  <c r="I104" i="3"/>
  <c r="BW103" i="3"/>
  <c r="DN103" i="3" s="1"/>
  <c r="I103" i="3"/>
  <c r="BW102" i="3"/>
  <c r="DN102" i="3" s="1"/>
  <c r="I102" i="3"/>
  <c r="BW101" i="3"/>
  <c r="DN101" i="3" s="1"/>
  <c r="I101" i="3"/>
  <c r="BW100" i="3"/>
  <c r="DN100" i="3" s="1"/>
  <c r="I100" i="3"/>
  <c r="BW99" i="3"/>
  <c r="DN99" i="3" s="1"/>
  <c r="I99" i="3"/>
  <c r="BW98" i="3"/>
  <c r="DN98" i="3" s="1"/>
  <c r="I98" i="3"/>
  <c r="BW97" i="3"/>
  <c r="DN97" i="3" s="1"/>
  <c r="I97" i="3"/>
  <c r="BW96" i="3"/>
  <c r="DN96" i="3" s="1"/>
  <c r="I96" i="3"/>
  <c r="BW95" i="3"/>
  <c r="DN95" i="3" s="1"/>
  <c r="I95" i="3"/>
  <c r="BW94" i="3"/>
  <c r="DN94" i="3" s="1"/>
  <c r="I94" i="3"/>
  <c r="BW93" i="3"/>
  <c r="DN93" i="3" s="1"/>
  <c r="I93" i="3"/>
  <c r="BW92" i="3"/>
  <c r="DN92" i="3" s="1"/>
  <c r="I92" i="3"/>
  <c r="BW91" i="3"/>
  <c r="DN91" i="3" s="1"/>
  <c r="I91" i="3"/>
  <c r="BW90" i="3"/>
  <c r="DN90" i="3" s="1"/>
  <c r="I90" i="3"/>
  <c r="BW89" i="3"/>
  <c r="DN89" i="3" s="1"/>
  <c r="I89" i="3"/>
  <c r="BW88" i="3"/>
  <c r="DN88" i="3" s="1"/>
  <c r="I88" i="3"/>
  <c r="BW87" i="3"/>
  <c r="DN87" i="3" s="1"/>
  <c r="I87" i="3"/>
  <c r="BW86" i="3"/>
  <c r="DN86" i="3" s="1"/>
  <c r="I86" i="3"/>
  <c r="BW85" i="3"/>
  <c r="DN85" i="3" s="1"/>
  <c r="I85" i="3"/>
  <c r="BW84" i="3"/>
  <c r="DN84" i="3" s="1"/>
  <c r="I84" i="3"/>
  <c r="BW83" i="3"/>
  <c r="DN83" i="3" s="1"/>
  <c r="I83" i="3"/>
  <c r="BW82" i="3"/>
  <c r="DN82" i="3" s="1"/>
  <c r="I82" i="3"/>
  <c r="BW81" i="3"/>
  <c r="DN81" i="3" s="1"/>
  <c r="I81" i="3"/>
  <c r="BW80" i="3"/>
  <c r="DN80" i="3" s="1"/>
  <c r="I80" i="3"/>
  <c r="BW79" i="3"/>
  <c r="DN79" i="3" s="1"/>
  <c r="I79" i="3"/>
  <c r="BW78" i="3"/>
  <c r="DN78" i="3" s="1"/>
  <c r="I78" i="3"/>
  <c r="BW77" i="3"/>
  <c r="DN77" i="3" s="1"/>
  <c r="I77" i="3"/>
  <c r="BW76" i="3"/>
  <c r="DN76" i="3" s="1"/>
  <c r="I76" i="3"/>
  <c r="BW75" i="3"/>
  <c r="DN75" i="3" s="1"/>
  <c r="I75" i="3"/>
  <c r="BW74" i="3"/>
  <c r="DN74" i="3" s="1"/>
  <c r="I74" i="3"/>
  <c r="BW73" i="3"/>
  <c r="DN73" i="3" s="1"/>
  <c r="I73" i="3"/>
  <c r="BW72" i="3"/>
  <c r="I72" i="3"/>
  <c r="BW71" i="3"/>
  <c r="DN71" i="3" s="1"/>
  <c r="I71" i="3"/>
  <c r="BW70" i="3"/>
  <c r="DN70" i="3" s="1"/>
  <c r="I70" i="3"/>
  <c r="BW69" i="3"/>
  <c r="I69" i="3"/>
  <c r="BW68" i="3"/>
  <c r="DN68" i="3" s="1"/>
  <c r="I68" i="3"/>
  <c r="BW67" i="3"/>
  <c r="DN67" i="3" s="1"/>
  <c r="I67" i="3"/>
  <c r="BW66" i="3"/>
  <c r="DN66" i="3" s="1"/>
  <c r="I66" i="3"/>
  <c r="BW65" i="3"/>
  <c r="I65" i="3"/>
  <c r="BW64" i="3"/>
  <c r="I64" i="3"/>
  <c r="BW63" i="3"/>
  <c r="DN63" i="3" s="1"/>
  <c r="I63" i="3"/>
  <c r="BW62" i="3"/>
  <c r="DN62" i="3" s="1"/>
  <c r="I62" i="3"/>
  <c r="BW61" i="3"/>
  <c r="DN61" i="3" s="1"/>
  <c r="I61" i="3"/>
  <c r="BW60" i="3"/>
  <c r="I60" i="3"/>
  <c r="BW59" i="3"/>
  <c r="I59" i="3"/>
  <c r="BW58" i="3"/>
  <c r="DN58" i="3" s="1"/>
  <c r="I58" i="3"/>
  <c r="BW57" i="3"/>
  <c r="I57" i="3"/>
  <c r="BW56" i="3"/>
  <c r="DN56" i="3" s="1"/>
  <c r="I56" i="3"/>
  <c r="BW55" i="3"/>
  <c r="I55" i="3"/>
  <c r="BW54" i="3"/>
  <c r="DN54" i="3" s="1"/>
  <c r="I54" i="3"/>
  <c r="BW53" i="3"/>
  <c r="I53" i="3"/>
  <c r="BW52" i="3"/>
  <c r="DN52" i="3" s="1"/>
  <c r="I52" i="3"/>
  <c r="BW51" i="3"/>
  <c r="DN51" i="3" s="1"/>
  <c r="J51" i="3" s="1"/>
  <c r="I51" i="3"/>
  <c r="BW50" i="3"/>
  <c r="I50" i="3"/>
  <c r="BW49" i="3"/>
  <c r="DN49" i="3" s="1"/>
  <c r="I49" i="3"/>
  <c r="BW48" i="3"/>
  <c r="DN48" i="3" s="1"/>
  <c r="I48" i="3"/>
  <c r="BW47" i="3"/>
  <c r="DN47" i="3" s="1"/>
  <c r="I47" i="3"/>
  <c r="BW46" i="3"/>
  <c r="DN46" i="3" s="1"/>
  <c r="I46" i="3"/>
  <c r="BW45" i="3"/>
  <c r="DN45" i="3" s="1"/>
  <c r="I45" i="3"/>
  <c r="BW44" i="3"/>
  <c r="DN44" i="3" s="1"/>
  <c r="I44" i="3"/>
  <c r="BW43" i="3"/>
  <c r="DN43" i="3" s="1"/>
  <c r="I43" i="3"/>
  <c r="BW42" i="3"/>
  <c r="DN42" i="3" s="1"/>
  <c r="I42" i="3"/>
  <c r="BW41" i="3"/>
  <c r="DN41" i="3" s="1"/>
  <c r="I41" i="3"/>
  <c r="BW40" i="3"/>
  <c r="DN40" i="3" s="1"/>
  <c r="I40" i="3"/>
  <c r="BW39" i="3"/>
  <c r="DN39" i="3" s="1"/>
  <c r="I39" i="3"/>
  <c r="BW38" i="3"/>
  <c r="DN38" i="3" s="1"/>
  <c r="I38" i="3"/>
  <c r="BW37" i="3"/>
  <c r="DN37" i="3" s="1"/>
  <c r="I37" i="3"/>
  <c r="BW36" i="3"/>
  <c r="DN36" i="3" s="1"/>
  <c r="I36" i="3"/>
  <c r="BW35" i="3"/>
  <c r="DN35" i="3" s="1"/>
  <c r="I35" i="3"/>
  <c r="BW34" i="3"/>
  <c r="DN34" i="3" s="1"/>
  <c r="I34" i="3"/>
  <c r="BW33" i="3"/>
  <c r="DN33" i="3" s="1"/>
  <c r="I33" i="3"/>
  <c r="BW32" i="3"/>
  <c r="DN32" i="3" s="1"/>
  <c r="I32" i="3"/>
  <c r="BW31" i="3"/>
  <c r="DN31" i="3" s="1"/>
  <c r="I31" i="3"/>
  <c r="BW30" i="3"/>
  <c r="DN30" i="3" s="1"/>
  <c r="I30" i="3"/>
  <c r="BW29" i="3"/>
  <c r="DN29" i="3" s="1"/>
  <c r="I29" i="3"/>
  <c r="BW28" i="3"/>
  <c r="DN28" i="3" s="1"/>
  <c r="I28" i="3"/>
  <c r="BW27" i="3"/>
  <c r="DN27" i="3" s="1"/>
  <c r="I27" i="3"/>
  <c r="BW26" i="3"/>
  <c r="DN26" i="3" s="1"/>
  <c r="I26" i="3"/>
  <c r="BW25" i="3"/>
  <c r="DN25" i="3" s="1"/>
  <c r="I25" i="3"/>
  <c r="BW24" i="3"/>
  <c r="DN24" i="3" s="1"/>
  <c r="I24" i="3"/>
  <c r="BW23" i="3"/>
  <c r="DN23" i="3" s="1"/>
  <c r="I23" i="3"/>
  <c r="BW22" i="3"/>
  <c r="DN22" i="3" s="1"/>
  <c r="I22" i="3"/>
  <c r="BW21" i="3"/>
  <c r="DN21" i="3" s="1"/>
  <c r="I21" i="3"/>
  <c r="BW20" i="3"/>
  <c r="DN20" i="3" s="1"/>
  <c r="I20" i="3"/>
  <c r="BW19" i="3"/>
  <c r="DN19" i="3" s="1"/>
  <c r="I19" i="3"/>
  <c r="BW18" i="3"/>
  <c r="DN18" i="3" s="1"/>
  <c r="I18" i="3"/>
  <c r="BW17" i="3"/>
  <c r="I17" i="3"/>
  <c r="BW16" i="3"/>
  <c r="DN16" i="3" s="1"/>
  <c r="I16" i="3"/>
  <c r="A16" i="3"/>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BO516" i="2"/>
  <c r="BN516" i="2"/>
  <c r="BM516" i="2"/>
  <c r="BL516" i="2"/>
  <c r="BK516" i="2"/>
  <c r="BJ516" i="2"/>
  <c r="BI516" i="2"/>
  <c r="BG516" i="2"/>
  <c r="BF516" i="2"/>
  <c r="BE516" i="2"/>
  <c r="BD516" i="2"/>
  <c r="BC516" i="2"/>
  <c r="BB516" i="2"/>
  <c r="BA516" i="2"/>
  <c r="AZ516" i="2"/>
  <c r="AY516" i="2"/>
  <c r="AX516" i="2"/>
  <c r="AW516" i="2"/>
  <c r="AV516" i="2"/>
  <c r="AU516" i="2"/>
  <c r="AT516" i="2"/>
  <c r="AS516" i="2"/>
  <c r="AR516" i="2"/>
  <c r="AQ516" i="2"/>
  <c r="AP516" i="2"/>
  <c r="AO516" i="2"/>
  <c r="AN516" i="2"/>
  <c r="AM516" i="2"/>
  <c r="AL516" i="2"/>
  <c r="AK516" i="2"/>
  <c r="AJ516" i="2"/>
  <c r="AI516" i="2"/>
  <c r="AH516" i="2"/>
  <c r="AG516" i="2"/>
  <c r="AF516" i="2"/>
  <c r="AE516" i="2"/>
  <c r="AD516" i="2"/>
  <c r="AC516" i="2"/>
  <c r="I22" i="7" s="1"/>
  <c r="I22" i="23" s="1"/>
  <c r="AB516" i="2"/>
  <c r="AA516" i="2"/>
  <c r="Z516" i="2"/>
  <c r="Y516" i="2"/>
  <c r="X516" i="2"/>
  <c r="W516" i="2"/>
  <c r="V516" i="2"/>
  <c r="I15" i="7" s="1"/>
  <c r="I15" i="23" s="1"/>
  <c r="U516" i="2"/>
  <c r="I14" i="7" s="1"/>
  <c r="I14" i="23" s="1"/>
  <c r="T516" i="2"/>
  <c r="I13" i="7" s="1"/>
  <c r="I13" i="23" s="1"/>
  <c r="R516" i="2"/>
  <c r="Q516" i="2"/>
  <c r="P516" i="2"/>
  <c r="M516" i="2"/>
  <c r="D93" i="19" s="1"/>
  <c r="L516" i="2"/>
  <c r="D91" i="19" s="1"/>
  <c r="K516" i="2"/>
  <c r="D89" i="19" s="1"/>
  <c r="G516" i="2"/>
  <c r="BP515" i="2"/>
  <c r="J515" i="2" s="1"/>
  <c r="S515" i="2"/>
  <c r="I515" i="2"/>
  <c r="BP514" i="2"/>
  <c r="J514" i="2" s="1"/>
  <c r="S514" i="2"/>
  <c r="I514" i="2"/>
  <c r="BP513" i="2"/>
  <c r="J513" i="2" s="1"/>
  <c r="S513" i="2"/>
  <c r="I513" i="2"/>
  <c r="BP512" i="2"/>
  <c r="J512" i="2" s="1"/>
  <c r="S512" i="2"/>
  <c r="I512" i="2"/>
  <c r="BP511" i="2"/>
  <c r="J511" i="2" s="1"/>
  <c r="S511" i="2"/>
  <c r="I511" i="2"/>
  <c r="BP510" i="2"/>
  <c r="J510" i="2" s="1"/>
  <c r="S510" i="2"/>
  <c r="I510" i="2"/>
  <c r="BP509" i="2"/>
  <c r="J509" i="2" s="1"/>
  <c r="S509" i="2"/>
  <c r="I509" i="2"/>
  <c r="BP508" i="2"/>
  <c r="J508" i="2" s="1"/>
  <c r="S508" i="2"/>
  <c r="I508" i="2"/>
  <c r="BP507" i="2"/>
  <c r="J507" i="2" s="1"/>
  <c r="S507" i="2"/>
  <c r="I507" i="2"/>
  <c r="BP506" i="2"/>
  <c r="J506" i="2" s="1"/>
  <c r="S506" i="2"/>
  <c r="I506" i="2"/>
  <c r="BP505" i="2"/>
  <c r="J505" i="2" s="1"/>
  <c r="S505" i="2"/>
  <c r="I505" i="2"/>
  <c r="BP504" i="2"/>
  <c r="J504" i="2" s="1"/>
  <c r="S504" i="2"/>
  <c r="I504" i="2"/>
  <c r="BP503" i="2"/>
  <c r="J503" i="2" s="1"/>
  <c r="S503" i="2"/>
  <c r="I503" i="2"/>
  <c r="BP502" i="2"/>
  <c r="J502" i="2" s="1"/>
  <c r="S502" i="2"/>
  <c r="I502" i="2"/>
  <c r="BP501" i="2"/>
  <c r="J501" i="2" s="1"/>
  <c r="S501" i="2"/>
  <c r="I501" i="2"/>
  <c r="BP500" i="2"/>
  <c r="J500" i="2" s="1"/>
  <c r="S500" i="2"/>
  <c r="I500" i="2"/>
  <c r="BP499" i="2"/>
  <c r="J499" i="2" s="1"/>
  <c r="S499" i="2"/>
  <c r="I499" i="2"/>
  <c r="BP498" i="2"/>
  <c r="J498" i="2" s="1"/>
  <c r="S498" i="2"/>
  <c r="I498" i="2"/>
  <c r="BP497" i="2"/>
  <c r="J497" i="2" s="1"/>
  <c r="S497" i="2"/>
  <c r="I497" i="2"/>
  <c r="BP496" i="2"/>
  <c r="J496" i="2" s="1"/>
  <c r="S496" i="2"/>
  <c r="I496" i="2"/>
  <c r="BP495" i="2"/>
  <c r="J495" i="2" s="1"/>
  <c r="S495" i="2"/>
  <c r="I495" i="2"/>
  <c r="BP494" i="2"/>
  <c r="J494" i="2" s="1"/>
  <c r="S494" i="2"/>
  <c r="I494" i="2"/>
  <c r="BP493" i="2"/>
  <c r="J493" i="2" s="1"/>
  <c r="S493" i="2"/>
  <c r="I493" i="2"/>
  <c r="BP492" i="2"/>
  <c r="J492" i="2" s="1"/>
  <c r="S492" i="2"/>
  <c r="I492" i="2"/>
  <c r="BP491" i="2"/>
  <c r="J491" i="2" s="1"/>
  <c r="S491" i="2"/>
  <c r="I491" i="2"/>
  <c r="BP490" i="2"/>
  <c r="J490" i="2" s="1"/>
  <c r="S490" i="2"/>
  <c r="I490" i="2"/>
  <c r="BP489" i="2"/>
  <c r="J489" i="2" s="1"/>
  <c r="S489" i="2"/>
  <c r="I489" i="2"/>
  <c r="BP488" i="2"/>
  <c r="J488" i="2" s="1"/>
  <c r="S488" i="2"/>
  <c r="I488" i="2"/>
  <c r="BP487" i="2"/>
  <c r="J487" i="2" s="1"/>
  <c r="S487" i="2"/>
  <c r="I487" i="2"/>
  <c r="BP486" i="2"/>
  <c r="J486" i="2" s="1"/>
  <c r="S486" i="2"/>
  <c r="I486" i="2"/>
  <c r="BP485" i="2"/>
  <c r="J485" i="2" s="1"/>
  <c r="S485" i="2"/>
  <c r="I485" i="2"/>
  <c r="BP484" i="2"/>
  <c r="J484" i="2" s="1"/>
  <c r="S484" i="2"/>
  <c r="I484" i="2"/>
  <c r="BP483" i="2"/>
  <c r="J483" i="2" s="1"/>
  <c r="S483" i="2"/>
  <c r="I483" i="2"/>
  <c r="BP482" i="2"/>
  <c r="J482" i="2" s="1"/>
  <c r="S482" i="2"/>
  <c r="I482" i="2"/>
  <c r="BP481" i="2"/>
  <c r="J481" i="2" s="1"/>
  <c r="S481" i="2"/>
  <c r="I481" i="2"/>
  <c r="BP480" i="2"/>
  <c r="J480" i="2" s="1"/>
  <c r="S480" i="2"/>
  <c r="I480" i="2"/>
  <c r="BP479" i="2"/>
  <c r="J479" i="2" s="1"/>
  <c r="S479" i="2"/>
  <c r="I479" i="2"/>
  <c r="BP478" i="2"/>
  <c r="J478" i="2" s="1"/>
  <c r="S478" i="2"/>
  <c r="I478" i="2"/>
  <c r="BP477" i="2"/>
  <c r="J477" i="2" s="1"/>
  <c r="S477" i="2"/>
  <c r="I477" i="2"/>
  <c r="BP476" i="2"/>
  <c r="J476" i="2" s="1"/>
  <c r="S476" i="2"/>
  <c r="I476" i="2"/>
  <c r="BP475" i="2"/>
  <c r="J475" i="2" s="1"/>
  <c r="S475" i="2"/>
  <c r="I475" i="2"/>
  <c r="BP474" i="2"/>
  <c r="J474" i="2" s="1"/>
  <c r="S474" i="2"/>
  <c r="I474" i="2"/>
  <c r="BP473" i="2"/>
  <c r="J473" i="2" s="1"/>
  <c r="S473" i="2"/>
  <c r="I473" i="2"/>
  <c r="BP472" i="2"/>
  <c r="J472" i="2" s="1"/>
  <c r="S472" i="2"/>
  <c r="I472" i="2"/>
  <c r="BP471" i="2"/>
  <c r="J471" i="2" s="1"/>
  <c r="S471" i="2"/>
  <c r="I471" i="2"/>
  <c r="BP470" i="2"/>
  <c r="J470" i="2" s="1"/>
  <c r="S470" i="2"/>
  <c r="I470" i="2"/>
  <c r="BP469" i="2"/>
  <c r="J469" i="2" s="1"/>
  <c r="S469" i="2"/>
  <c r="I469" i="2"/>
  <c r="BP468" i="2"/>
  <c r="J468" i="2" s="1"/>
  <c r="S468" i="2"/>
  <c r="I468" i="2"/>
  <c r="BP467" i="2"/>
  <c r="J467" i="2" s="1"/>
  <c r="S467" i="2"/>
  <c r="I467" i="2"/>
  <c r="BP466" i="2"/>
  <c r="J466" i="2" s="1"/>
  <c r="S466" i="2"/>
  <c r="I466" i="2"/>
  <c r="BP465" i="2"/>
  <c r="J465" i="2" s="1"/>
  <c r="S465" i="2"/>
  <c r="I465" i="2"/>
  <c r="BP464" i="2"/>
  <c r="J464" i="2" s="1"/>
  <c r="S464" i="2"/>
  <c r="I464" i="2"/>
  <c r="BP463" i="2"/>
  <c r="J463" i="2" s="1"/>
  <c r="S463" i="2"/>
  <c r="I463" i="2"/>
  <c r="BP462" i="2"/>
  <c r="J462" i="2" s="1"/>
  <c r="S462" i="2"/>
  <c r="I462" i="2"/>
  <c r="BP461" i="2"/>
  <c r="J461" i="2" s="1"/>
  <c r="S461" i="2"/>
  <c r="I461" i="2"/>
  <c r="BP460" i="2"/>
  <c r="J460" i="2" s="1"/>
  <c r="S460" i="2"/>
  <c r="I460" i="2"/>
  <c r="BP459" i="2"/>
  <c r="J459" i="2" s="1"/>
  <c r="S459" i="2"/>
  <c r="I459" i="2"/>
  <c r="BP458" i="2"/>
  <c r="J458" i="2" s="1"/>
  <c r="S458" i="2"/>
  <c r="I458" i="2"/>
  <c r="BP457" i="2"/>
  <c r="J457" i="2" s="1"/>
  <c r="S457" i="2"/>
  <c r="I457" i="2"/>
  <c r="BP456" i="2"/>
  <c r="J456" i="2" s="1"/>
  <c r="S456" i="2"/>
  <c r="I456" i="2"/>
  <c r="BP455" i="2"/>
  <c r="J455" i="2" s="1"/>
  <c r="S455" i="2"/>
  <c r="I455" i="2"/>
  <c r="BP454" i="2"/>
  <c r="J454" i="2" s="1"/>
  <c r="S454" i="2"/>
  <c r="I454" i="2"/>
  <c r="BP453" i="2"/>
  <c r="J453" i="2" s="1"/>
  <c r="S453" i="2"/>
  <c r="I453" i="2"/>
  <c r="BP452" i="2"/>
  <c r="J452" i="2" s="1"/>
  <c r="S452" i="2"/>
  <c r="I452" i="2"/>
  <c r="BP451" i="2"/>
  <c r="J451" i="2" s="1"/>
  <c r="S451" i="2"/>
  <c r="I451" i="2"/>
  <c r="BP450" i="2"/>
  <c r="J450" i="2" s="1"/>
  <c r="S450" i="2"/>
  <c r="I450" i="2"/>
  <c r="BP449" i="2"/>
  <c r="J449" i="2" s="1"/>
  <c r="S449" i="2"/>
  <c r="I449" i="2"/>
  <c r="BP448" i="2"/>
  <c r="J448" i="2" s="1"/>
  <c r="S448" i="2"/>
  <c r="I448" i="2"/>
  <c r="BP447" i="2"/>
  <c r="J447" i="2" s="1"/>
  <c r="S447" i="2"/>
  <c r="I447" i="2"/>
  <c r="BP446" i="2"/>
  <c r="J446" i="2" s="1"/>
  <c r="S446" i="2"/>
  <c r="I446" i="2"/>
  <c r="BP445" i="2"/>
  <c r="J445" i="2" s="1"/>
  <c r="S445" i="2"/>
  <c r="I445" i="2"/>
  <c r="BP444" i="2"/>
  <c r="J444" i="2" s="1"/>
  <c r="S444" i="2"/>
  <c r="I444" i="2"/>
  <c r="BP443" i="2"/>
  <c r="J443" i="2" s="1"/>
  <c r="S443" i="2"/>
  <c r="I443" i="2"/>
  <c r="BP442" i="2"/>
  <c r="J442" i="2" s="1"/>
  <c r="S442" i="2"/>
  <c r="I442" i="2"/>
  <c r="BP441" i="2"/>
  <c r="J441" i="2" s="1"/>
  <c r="S441" i="2"/>
  <c r="I441" i="2"/>
  <c r="BP440" i="2"/>
  <c r="J440" i="2" s="1"/>
  <c r="S440" i="2"/>
  <c r="I440" i="2"/>
  <c r="BP439" i="2"/>
  <c r="J439" i="2" s="1"/>
  <c r="S439" i="2"/>
  <c r="I439" i="2"/>
  <c r="BP438" i="2"/>
  <c r="J438" i="2" s="1"/>
  <c r="S438" i="2"/>
  <c r="I438" i="2"/>
  <c r="BP437" i="2"/>
  <c r="J437" i="2" s="1"/>
  <c r="S437" i="2"/>
  <c r="I437" i="2"/>
  <c r="BP436" i="2"/>
  <c r="J436" i="2" s="1"/>
  <c r="S436" i="2"/>
  <c r="I436" i="2"/>
  <c r="BP435" i="2"/>
  <c r="J435" i="2" s="1"/>
  <c r="S435" i="2"/>
  <c r="I435" i="2"/>
  <c r="BP434" i="2"/>
  <c r="J434" i="2" s="1"/>
  <c r="S434" i="2"/>
  <c r="I434" i="2"/>
  <c r="BP433" i="2"/>
  <c r="J433" i="2" s="1"/>
  <c r="S433" i="2"/>
  <c r="I433" i="2"/>
  <c r="BP432" i="2"/>
  <c r="J432" i="2" s="1"/>
  <c r="S432" i="2"/>
  <c r="I432" i="2"/>
  <c r="BP431" i="2"/>
  <c r="J431" i="2" s="1"/>
  <c r="S431" i="2"/>
  <c r="I431" i="2"/>
  <c r="BP430" i="2"/>
  <c r="J430" i="2" s="1"/>
  <c r="S430" i="2"/>
  <c r="I430" i="2"/>
  <c r="BP429" i="2"/>
  <c r="J429" i="2" s="1"/>
  <c r="S429" i="2"/>
  <c r="I429" i="2"/>
  <c r="BP428" i="2"/>
  <c r="J428" i="2" s="1"/>
  <c r="S428" i="2"/>
  <c r="I428" i="2"/>
  <c r="BP427" i="2"/>
  <c r="J427" i="2" s="1"/>
  <c r="S427" i="2"/>
  <c r="I427" i="2"/>
  <c r="BP426" i="2"/>
  <c r="J426" i="2" s="1"/>
  <c r="S426" i="2"/>
  <c r="I426" i="2"/>
  <c r="BP425" i="2"/>
  <c r="J425" i="2" s="1"/>
  <c r="S425" i="2"/>
  <c r="I425" i="2"/>
  <c r="BP424" i="2"/>
  <c r="J424" i="2" s="1"/>
  <c r="S424" i="2"/>
  <c r="I424" i="2"/>
  <c r="BP423" i="2"/>
  <c r="J423" i="2" s="1"/>
  <c r="S423" i="2"/>
  <c r="I423" i="2"/>
  <c r="BP422" i="2"/>
  <c r="J422" i="2" s="1"/>
  <c r="S422" i="2"/>
  <c r="I422" i="2"/>
  <c r="BP421" i="2"/>
  <c r="J421" i="2" s="1"/>
  <c r="S421" i="2"/>
  <c r="I421" i="2"/>
  <c r="BP420" i="2"/>
  <c r="J420" i="2" s="1"/>
  <c r="S420" i="2"/>
  <c r="I420" i="2"/>
  <c r="BP419" i="2"/>
  <c r="J419" i="2" s="1"/>
  <c r="S419" i="2"/>
  <c r="I419" i="2"/>
  <c r="BP418" i="2"/>
  <c r="J418" i="2" s="1"/>
  <c r="S418" i="2"/>
  <c r="I418" i="2"/>
  <c r="BP417" i="2"/>
  <c r="J417" i="2" s="1"/>
  <c r="S417" i="2"/>
  <c r="I417" i="2"/>
  <c r="BP416" i="2"/>
  <c r="J416" i="2" s="1"/>
  <c r="S416" i="2"/>
  <c r="I416" i="2"/>
  <c r="BP415" i="2"/>
  <c r="J415" i="2" s="1"/>
  <c r="S415" i="2"/>
  <c r="I415" i="2"/>
  <c r="BP414" i="2"/>
  <c r="J414" i="2" s="1"/>
  <c r="S414" i="2"/>
  <c r="I414" i="2"/>
  <c r="BP413" i="2"/>
  <c r="J413" i="2" s="1"/>
  <c r="S413" i="2"/>
  <c r="I413" i="2"/>
  <c r="BP412" i="2"/>
  <c r="J412" i="2" s="1"/>
  <c r="S412" i="2"/>
  <c r="I412" i="2"/>
  <c r="BP411" i="2"/>
  <c r="J411" i="2" s="1"/>
  <c r="S411" i="2"/>
  <c r="I411" i="2"/>
  <c r="BP410" i="2"/>
  <c r="J410" i="2" s="1"/>
  <c r="S410" i="2"/>
  <c r="I410" i="2"/>
  <c r="BP409" i="2"/>
  <c r="J409" i="2" s="1"/>
  <c r="S409" i="2"/>
  <c r="I409" i="2"/>
  <c r="BP408" i="2"/>
  <c r="J408" i="2" s="1"/>
  <c r="S408" i="2"/>
  <c r="I408" i="2"/>
  <c r="BP407" i="2"/>
  <c r="J407" i="2" s="1"/>
  <c r="S407" i="2"/>
  <c r="I407" i="2"/>
  <c r="BP406" i="2"/>
  <c r="J406" i="2" s="1"/>
  <c r="S406" i="2"/>
  <c r="I406" i="2"/>
  <c r="BP405" i="2"/>
  <c r="J405" i="2" s="1"/>
  <c r="S405" i="2"/>
  <c r="I405" i="2"/>
  <c r="BP404" i="2"/>
  <c r="J404" i="2" s="1"/>
  <c r="S404" i="2"/>
  <c r="I404" i="2"/>
  <c r="BP403" i="2"/>
  <c r="J403" i="2" s="1"/>
  <c r="S403" i="2"/>
  <c r="I403" i="2"/>
  <c r="BP402" i="2"/>
  <c r="J402" i="2" s="1"/>
  <c r="S402" i="2"/>
  <c r="I402" i="2"/>
  <c r="BP401" i="2"/>
  <c r="J401" i="2" s="1"/>
  <c r="S401" i="2"/>
  <c r="I401" i="2"/>
  <c r="BP400" i="2"/>
  <c r="J400" i="2" s="1"/>
  <c r="S400" i="2"/>
  <c r="I400" i="2"/>
  <c r="BP399" i="2"/>
  <c r="J399" i="2" s="1"/>
  <c r="S399" i="2"/>
  <c r="I399" i="2"/>
  <c r="BP398" i="2"/>
  <c r="J398" i="2" s="1"/>
  <c r="S398" i="2"/>
  <c r="I398" i="2"/>
  <c r="BP397" i="2"/>
  <c r="J397" i="2" s="1"/>
  <c r="S397" i="2"/>
  <c r="I397" i="2"/>
  <c r="BP396" i="2"/>
  <c r="J396" i="2" s="1"/>
  <c r="S396" i="2"/>
  <c r="I396" i="2"/>
  <c r="BP395" i="2"/>
  <c r="J395" i="2" s="1"/>
  <c r="S395" i="2"/>
  <c r="I395" i="2"/>
  <c r="BP394" i="2"/>
  <c r="J394" i="2" s="1"/>
  <c r="S394" i="2"/>
  <c r="I394" i="2"/>
  <c r="BP393" i="2"/>
  <c r="J393" i="2" s="1"/>
  <c r="S393" i="2"/>
  <c r="I393" i="2"/>
  <c r="BP392" i="2"/>
  <c r="J392" i="2" s="1"/>
  <c r="S392" i="2"/>
  <c r="I392" i="2"/>
  <c r="BP391" i="2"/>
  <c r="J391" i="2" s="1"/>
  <c r="S391" i="2"/>
  <c r="I391" i="2"/>
  <c r="BP390" i="2"/>
  <c r="J390" i="2" s="1"/>
  <c r="S390" i="2"/>
  <c r="I390" i="2"/>
  <c r="BP389" i="2"/>
  <c r="J389" i="2" s="1"/>
  <c r="S389" i="2"/>
  <c r="I389" i="2"/>
  <c r="BP388" i="2"/>
  <c r="J388" i="2" s="1"/>
  <c r="S388" i="2"/>
  <c r="I388" i="2"/>
  <c r="BP387" i="2"/>
  <c r="J387" i="2" s="1"/>
  <c r="S387" i="2"/>
  <c r="I387" i="2"/>
  <c r="BP386" i="2"/>
  <c r="J386" i="2" s="1"/>
  <c r="S386" i="2"/>
  <c r="I386" i="2"/>
  <c r="BP385" i="2"/>
  <c r="J385" i="2" s="1"/>
  <c r="S385" i="2"/>
  <c r="I385" i="2"/>
  <c r="BP384" i="2"/>
  <c r="J384" i="2" s="1"/>
  <c r="S384" i="2"/>
  <c r="I384" i="2"/>
  <c r="BP383" i="2"/>
  <c r="J383" i="2" s="1"/>
  <c r="S383" i="2"/>
  <c r="I383" i="2"/>
  <c r="BP382" i="2"/>
  <c r="J382" i="2" s="1"/>
  <c r="S382" i="2"/>
  <c r="I382" i="2"/>
  <c r="BP381" i="2"/>
  <c r="J381" i="2" s="1"/>
  <c r="S381" i="2"/>
  <c r="I381" i="2"/>
  <c r="BP380" i="2"/>
  <c r="J380" i="2" s="1"/>
  <c r="S380" i="2"/>
  <c r="I380" i="2"/>
  <c r="BP379" i="2"/>
  <c r="J379" i="2" s="1"/>
  <c r="S379" i="2"/>
  <c r="I379" i="2"/>
  <c r="BP378" i="2"/>
  <c r="J378" i="2" s="1"/>
  <c r="S378" i="2"/>
  <c r="I378" i="2"/>
  <c r="BP377" i="2"/>
  <c r="J377" i="2" s="1"/>
  <c r="S377" i="2"/>
  <c r="I377" i="2"/>
  <c r="BP376" i="2"/>
  <c r="J376" i="2" s="1"/>
  <c r="S376" i="2"/>
  <c r="I376" i="2"/>
  <c r="BP375" i="2"/>
  <c r="J375" i="2" s="1"/>
  <c r="S375" i="2"/>
  <c r="I375" i="2"/>
  <c r="BP374" i="2"/>
  <c r="J374" i="2" s="1"/>
  <c r="S374" i="2"/>
  <c r="I374" i="2"/>
  <c r="BP373" i="2"/>
  <c r="J373" i="2" s="1"/>
  <c r="S373" i="2"/>
  <c r="I373" i="2"/>
  <c r="BP372" i="2"/>
  <c r="J372" i="2" s="1"/>
  <c r="S372" i="2"/>
  <c r="I372" i="2"/>
  <c r="BP371" i="2"/>
  <c r="J371" i="2" s="1"/>
  <c r="S371" i="2"/>
  <c r="I371" i="2"/>
  <c r="BP370" i="2"/>
  <c r="J370" i="2" s="1"/>
  <c r="S370" i="2"/>
  <c r="I370" i="2"/>
  <c r="BP369" i="2"/>
  <c r="J369" i="2" s="1"/>
  <c r="S369" i="2"/>
  <c r="I369" i="2"/>
  <c r="BP368" i="2"/>
  <c r="J368" i="2" s="1"/>
  <c r="S368" i="2"/>
  <c r="I368" i="2"/>
  <c r="BP367" i="2"/>
  <c r="J367" i="2" s="1"/>
  <c r="S367" i="2"/>
  <c r="I367" i="2"/>
  <c r="BP366" i="2"/>
  <c r="J366" i="2" s="1"/>
  <c r="S366" i="2"/>
  <c r="I366" i="2"/>
  <c r="BP365" i="2"/>
  <c r="J365" i="2" s="1"/>
  <c r="S365" i="2"/>
  <c r="I365" i="2"/>
  <c r="BP364" i="2"/>
  <c r="J364" i="2" s="1"/>
  <c r="S364" i="2"/>
  <c r="I364" i="2"/>
  <c r="BP363" i="2"/>
  <c r="J363" i="2" s="1"/>
  <c r="S363" i="2"/>
  <c r="I363" i="2"/>
  <c r="BP362" i="2"/>
  <c r="J362" i="2" s="1"/>
  <c r="S362" i="2"/>
  <c r="I362" i="2"/>
  <c r="BP361" i="2"/>
  <c r="J361" i="2" s="1"/>
  <c r="S361" i="2"/>
  <c r="I361" i="2"/>
  <c r="BP360" i="2"/>
  <c r="J360" i="2" s="1"/>
  <c r="S360" i="2"/>
  <c r="I360" i="2"/>
  <c r="BP359" i="2"/>
  <c r="J359" i="2" s="1"/>
  <c r="S359" i="2"/>
  <c r="I359" i="2"/>
  <c r="BP358" i="2"/>
  <c r="J358" i="2" s="1"/>
  <c r="S358" i="2"/>
  <c r="I358" i="2"/>
  <c r="BP357" i="2"/>
  <c r="J357" i="2" s="1"/>
  <c r="S357" i="2"/>
  <c r="I357" i="2"/>
  <c r="BP356" i="2"/>
  <c r="J356" i="2" s="1"/>
  <c r="S356" i="2"/>
  <c r="I356" i="2"/>
  <c r="BP355" i="2"/>
  <c r="J355" i="2" s="1"/>
  <c r="S355" i="2"/>
  <c r="I355" i="2"/>
  <c r="BP354" i="2"/>
  <c r="J354" i="2" s="1"/>
  <c r="S354" i="2"/>
  <c r="I354" i="2"/>
  <c r="BP353" i="2"/>
  <c r="J353" i="2" s="1"/>
  <c r="S353" i="2"/>
  <c r="I353" i="2"/>
  <c r="BP352" i="2"/>
  <c r="J352" i="2" s="1"/>
  <c r="S352" i="2"/>
  <c r="I352" i="2"/>
  <c r="BP351" i="2"/>
  <c r="J351" i="2" s="1"/>
  <c r="S351" i="2"/>
  <c r="I351" i="2"/>
  <c r="BP350" i="2"/>
  <c r="J350" i="2" s="1"/>
  <c r="S350" i="2"/>
  <c r="I350" i="2"/>
  <c r="BP349" i="2"/>
  <c r="J349" i="2" s="1"/>
  <c r="S349" i="2"/>
  <c r="I349" i="2"/>
  <c r="BP348" i="2"/>
  <c r="J348" i="2" s="1"/>
  <c r="S348" i="2"/>
  <c r="I348" i="2"/>
  <c r="BP347" i="2"/>
  <c r="J347" i="2" s="1"/>
  <c r="S347" i="2"/>
  <c r="I347" i="2"/>
  <c r="BP346" i="2"/>
  <c r="J346" i="2" s="1"/>
  <c r="S346" i="2"/>
  <c r="I346" i="2"/>
  <c r="BP345" i="2"/>
  <c r="J345" i="2" s="1"/>
  <c r="S345" i="2"/>
  <c r="I345" i="2"/>
  <c r="BP344" i="2"/>
  <c r="J344" i="2" s="1"/>
  <c r="S344" i="2"/>
  <c r="I344" i="2"/>
  <c r="BP343" i="2"/>
  <c r="J343" i="2" s="1"/>
  <c r="S343" i="2"/>
  <c r="I343" i="2"/>
  <c r="BP342" i="2"/>
  <c r="J342" i="2" s="1"/>
  <c r="S342" i="2"/>
  <c r="I342" i="2"/>
  <c r="BP341" i="2"/>
  <c r="J341" i="2" s="1"/>
  <c r="S341" i="2"/>
  <c r="I341" i="2"/>
  <c r="BP340" i="2"/>
  <c r="J340" i="2" s="1"/>
  <c r="S340" i="2"/>
  <c r="I340" i="2"/>
  <c r="BP339" i="2"/>
  <c r="J339" i="2" s="1"/>
  <c r="S339" i="2"/>
  <c r="I339" i="2"/>
  <c r="BP338" i="2"/>
  <c r="J338" i="2" s="1"/>
  <c r="S338" i="2"/>
  <c r="I338" i="2"/>
  <c r="BP337" i="2"/>
  <c r="J337" i="2" s="1"/>
  <c r="S337" i="2"/>
  <c r="I337" i="2"/>
  <c r="BP336" i="2"/>
  <c r="J336" i="2" s="1"/>
  <c r="S336" i="2"/>
  <c r="I336" i="2"/>
  <c r="BP335" i="2"/>
  <c r="J335" i="2" s="1"/>
  <c r="S335" i="2"/>
  <c r="I335" i="2"/>
  <c r="BP334" i="2"/>
  <c r="J334" i="2" s="1"/>
  <c r="S334" i="2"/>
  <c r="I334" i="2"/>
  <c r="BP333" i="2"/>
  <c r="J333" i="2" s="1"/>
  <c r="S333" i="2"/>
  <c r="I333" i="2"/>
  <c r="BP332" i="2"/>
  <c r="J332" i="2" s="1"/>
  <c r="S332" i="2"/>
  <c r="I332" i="2"/>
  <c r="BP331" i="2"/>
  <c r="J331" i="2" s="1"/>
  <c r="S331" i="2"/>
  <c r="I331" i="2"/>
  <c r="BP330" i="2"/>
  <c r="J330" i="2" s="1"/>
  <c r="S330" i="2"/>
  <c r="I330" i="2"/>
  <c r="BP329" i="2"/>
  <c r="J329" i="2" s="1"/>
  <c r="S329" i="2"/>
  <c r="I329" i="2"/>
  <c r="BP328" i="2"/>
  <c r="J328" i="2" s="1"/>
  <c r="S328" i="2"/>
  <c r="I328" i="2"/>
  <c r="BP327" i="2"/>
  <c r="J327" i="2" s="1"/>
  <c r="S327" i="2"/>
  <c r="I327" i="2"/>
  <c r="BP326" i="2"/>
  <c r="J326" i="2" s="1"/>
  <c r="S326" i="2"/>
  <c r="I326" i="2"/>
  <c r="BP325" i="2"/>
  <c r="J325" i="2" s="1"/>
  <c r="S325" i="2"/>
  <c r="I325" i="2"/>
  <c r="BP324" i="2"/>
  <c r="J324" i="2" s="1"/>
  <c r="S324" i="2"/>
  <c r="I324" i="2"/>
  <c r="BP323" i="2"/>
  <c r="J323" i="2" s="1"/>
  <c r="S323" i="2"/>
  <c r="I323" i="2"/>
  <c r="BP322" i="2"/>
  <c r="J322" i="2" s="1"/>
  <c r="S322" i="2"/>
  <c r="I322" i="2"/>
  <c r="BP321" i="2"/>
  <c r="J321" i="2" s="1"/>
  <c r="S321" i="2"/>
  <c r="I321" i="2"/>
  <c r="BP320" i="2"/>
  <c r="J320" i="2" s="1"/>
  <c r="S320" i="2"/>
  <c r="I320" i="2"/>
  <c r="BP319" i="2"/>
  <c r="J319" i="2" s="1"/>
  <c r="S319" i="2"/>
  <c r="I319" i="2"/>
  <c r="BP318" i="2"/>
  <c r="J318" i="2" s="1"/>
  <c r="S318" i="2"/>
  <c r="I318" i="2"/>
  <c r="BP317" i="2"/>
  <c r="J317" i="2" s="1"/>
  <c r="S317" i="2"/>
  <c r="I317" i="2"/>
  <c r="BP316" i="2"/>
  <c r="J316" i="2" s="1"/>
  <c r="S316" i="2"/>
  <c r="I316" i="2"/>
  <c r="BP315" i="2"/>
  <c r="J315" i="2" s="1"/>
  <c r="S315" i="2"/>
  <c r="I315" i="2"/>
  <c r="BP314" i="2"/>
  <c r="J314" i="2" s="1"/>
  <c r="S314" i="2"/>
  <c r="I314" i="2"/>
  <c r="BP313" i="2"/>
  <c r="J313" i="2" s="1"/>
  <c r="S313" i="2"/>
  <c r="I313" i="2"/>
  <c r="BP312" i="2"/>
  <c r="J312" i="2" s="1"/>
  <c r="S312" i="2"/>
  <c r="I312" i="2"/>
  <c r="BP311" i="2"/>
  <c r="J311" i="2" s="1"/>
  <c r="S311" i="2"/>
  <c r="I311" i="2"/>
  <c r="BP310" i="2"/>
  <c r="J310" i="2" s="1"/>
  <c r="S310" i="2"/>
  <c r="I310" i="2"/>
  <c r="BP309" i="2"/>
  <c r="J309" i="2" s="1"/>
  <c r="S309" i="2"/>
  <c r="I309" i="2"/>
  <c r="BP308" i="2"/>
  <c r="J308" i="2" s="1"/>
  <c r="S308" i="2"/>
  <c r="I308" i="2"/>
  <c r="BP307" i="2"/>
  <c r="J307" i="2" s="1"/>
  <c r="S307" i="2"/>
  <c r="I307" i="2"/>
  <c r="BP306" i="2"/>
  <c r="J306" i="2" s="1"/>
  <c r="S306" i="2"/>
  <c r="I306" i="2"/>
  <c r="BP305" i="2"/>
  <c r="J305" i="2" s="1"/>
  <c r="S305" i="2"/>
  <c r="I305" i="2"/>
  <c r="BP304" i="2"/>
  <c r="J304" i="2" s="1"/>
  <c r="S304" i="2"/>
  <c r="I304" i="2"/>
  <c r="BP303" i="2"/>
  <c r="J303" i="2" s="1"/>
  <c r="S303" i="2"/>
  <c r="I303" i="2"/>
  <c r="BP302" i="2"/>
  <c r="J302" i="2" s="1"/>
  <c r="S302" i="2"/>
  <c r="I302" i="2"/>
  <c r="BP301" i="2"/>
  <c r="J301" i="2" s="1"/>
  <c r="S301" i="2"/>
  <c r="I301" i="2"/>
  <c r="BP300" i="2"/>
  <c r="J300" i="2" s="1"/>
  <c r="S300" i="2"/>
  <c r="I300" i="2"/>
  <c r="BP299" i="2"/>
  <c r="J299" i="2" s="1"/>
  <c r="S299" i="2"/>
  <c r="I299" i="2"/>
  <c r="BP298" i="2"/>
  <c r="J298" i="2" s="1"/>
  <c r="S298" i="2"/>
  <c r="I298" i="2"/>
  <c r="BP297" i="2"/>
  <c r="J297" i="2" s="1"/>
  <c r="S297" i="2"/>
  <c r="I297" i="2"/>
  <c r="BP296" i="2"/>
  <c r="J296" i="2" s="1"/>
  <c r="S296" i="2"/>
  <c r="I296" i="2"/>
  <c r="BP295" i="2"/>
  <c r="J295" i="2" s="1"/>
  <c r="S295" i="2"/>
  <c r="I295" i="2"/>
  <c r="BP294" i="2"/>
  <c r="J294" i="2" s="1"/>
  <c r="S294" i="2"/>
  <c r="I294" i="2"/>
  <c r="BP293" i="2"/>
  <c r="J293" i="2" s="1"/>
  <c r="S293" i="2"/>
  <c r="I293" i="2"/>
  <c r="BP292" i="2"/>
  <c r="J292" i="2" s="1"/>
  <c r="S292" i="2"/>
  <c r="I292" i="2"/>
  <c r="BP291" i="2"/>
  <c r="J291" i="2" s="1"/>
  <c r="S291" i="2"/>
  <c r="I291" i="2"/>
  <c r="BP290" i="2"/>
  <c r="J290" i="2" s="1"/>
  <c r="S290" i="2"/>
  <c r="I290" i="2"/>
  <c r="BP289" i="2"/>
  <c r="J289" i="2" s="1"/>
  <c r="S289" i="2"/>
  <c r="I289" i="2"/>
  <c r="BP288" i="2"/>
  <c r="J288" i="2" s="1"/>
  <c r="S288" i="2"/>
  <c r="I288" i="2"/>
  <c r="BP287" i="2"/>
  <c r="J287" i="2" s="1"/>
  <c r="S287" i="2"/>
  <c r="I287" i="2"/>
  <c r="BP286" i="2"/>
  <c r="J286" i="2" s="1"/>
  <c r="S286" i="2"/>
  <c r="I286" i="2"/>
  <c r="BP285" i="2"/>
  <c r="J285" i="2" s="1"/>
  <c r="S285" i="2"/>
  <c r="I285" i="2"/>
  <c r="BP284" i="2"/>
  <c r="J284" i="2" s="1"/>
  <c r="S284" i="2"/>
  <c r="I284" i="2"/>
  <c r="BP283" i="2"/>
  <c r="J283" i="2" s="1"/>
  <c r="S283" i="2"/>
  <c r="I283" i="2"/>
  <c r="BP282" i="2"/>
  <c r="J282" i="2" s="1"/>
  <c r="S282" i="2"/>
  <c r="I282" i="2"/>
  <c r="BP281" i="2"/>
  <c r="J281" i="2" s="1"/>
  <c r="S281" i="2"/>
  <c r="I281" i="2"/>
  <c r="BP280" i="2"/>
  <c r="J280" i="2" s="1"/>
  <c r="S280" i="2"/>
  <c r="I280" i="2"/>
  <c r="BP279" i="2"/>
  <c r="J279" i="2" s="1"/>
  <c r="S279" i="2"/>
  <c r="I279" i="2"/>
  <c r="BP278" i="2"/>
  <c r="J278" i="2" s="1"/>
  <c r="S278" i="2"/>
  <c r="I278" i="2"/>
  <c r="BP277" i="2"/>
  <c r="J277" i="2" s="1"/>
  <c r="S277" i="2"/>
  <c r="I277" i="2"/>
  <c r="BP276" i="2"/>
  <c r="J276" i="2" s="1"/>
  <c r="S276" i="2"/>
  <c r="I276" i="2"/>
  <c r="BP275" i="2"/>
  <c r="J275" i="2" s="1"/>
  <c r="S275" i="2"/>
  <c r="I275" i="2"/>
  <c r="BP274" i="2"/>
  <c r="J274" i="2" s="1"/>
  <c r="S274" i="2"/>
  <c r="I274" i="2"/>
  <c r="BP273" i="2"/>
  <c r="J273" i="2" s="1"/>
  <c r="S273" i="2"/>
  <c r="I273" i="2"/>
  <c r="BP272" i="2"/>
  <c r="J272" i="2" s="1"/>
  <c r="S272" i="2"/>
  <c r="I272" i="2"/>
  <c r="BP271" i="2"/>
  <c r="J271" i="2" s="1"/>
  <c r="S271" i="2"/>
  <c r="I271" i="2"/>
  <c r="BP270" i="2"/>
  <c r="J270" i="2" s="1"/>
  <c r="S270" i="2"/>
  <c r="I270" i="2"/>
  <c r="BP269" i="2"/>
  <c r="J269" i="2" s="1"/>
  <c r="S269" i="2"/>
  <c r="I269" i="2"/>
  <c r="BP268" i="2"/>
  <c r="J268" i="2" s="1"/>
  <c r="S268" i="2"/>
  <c r="I268" i="2"/>
  <c r="BP267" i="2"/>
  <c r="J267" i="2" s="1"/>
  <c r="S267" i="2"/>
  <c r="I267" i="2"/>
  <c r="BP266" i="2"/>
  <c r="J266" i="2" s="1"/>
  <c r="S266" i="2"/>
  <c r="I266" i="2"/>
  <c r="BP265" i="2"/>
  <c r="J265" i="2" s="1"/>
  <c r="S265" i="2"/>
  <c r="I265" i="2"/>
  <c r="BP264" i="2"/>
  <c r="J264" i="2" s="1"/>
  <c r="S264" i="2"/>
  <c r="I264" i="2"/>
  <c r="BP263" i="2"/>
  <c r="J263" i="2" s="1"/>
  <c r="S263" i="2"/>
  <c r="I263" i="2"/>
  <c r="BP262" i="2"/>
  <c r="J262" i="2" s="1"/>
  <c r="S262" i="2"/>
  <c r="I262" i="2"/>
  <c r="BP261" i="2"/>
  <c r="J261" i="2" s="1"/>
  <c r="S261" i="2"/>
  <c r="I261" i="2"/>
  <c r="BP260" i="2"/>
  <c r="J260" i="2" s="1"/>
  <c r="S260" i="2"/>
  <c r="I260" i="2"/>
  <c r="BP259" i="2"/>
  <c r="J259" i="2" s="1"/>
  <c r="S259" i="2"/>
  <c r="I259" i="2"/>
  <c r="BP258" i="2"/>
  <c r="J258" i="2" s="1"/>
  <c r="S258" i="2"/>
  <c r="I258" i="2"/>
  <c r="BP257" i="2"/>
  <c r="J257" i="2" s="1"/>
  <c r="S257" i="2"/>
  <c r="I257" i="2"/>
  <c r="BP256" i="2"/>
  <c r="J256" i="2" s="1"/>
  <c r="S256" i="2"/>
  <c r="I256" i="2"/>
  <c r="BP255" i="2"/>
  <c r="J255" i="2" s="1"/>
  <c r="S255" i="2"/>
  <c r="I255" i="2"/>
  <c r="BP254" i="2"/>
  <c r="J254" i="2" s="1"/>
  <c r="S254" i="2"/>
  <c r="I254" i="2"/>
  <c r="BP253" i="2"/>
  <c r="J253" i="2" s="1"/>
  <c r="S253" i="2"/>
  <c r="I253" i="2"/>
  <c r="BP252" i="2"/>
  <c r="J252" i="2" s="1"/>
  <c r="S252" i="2"/>
  <c r="I252" i="2"/>
  <c r="BP251" i="2"/>
  <c r="J251" i="2" s="1"/>
  <c r="S251" i="2"/>
  <c r="I251" i="2"/>
  <c r="BP250" i="2"/>
  <c r="J250" i="2" s="1"/>
  <c r="S250" i="2"/>
  <c r="I250" i="2"/>
  <c r="BP249" i="2"/>
  <c r="J249" i="2" s="1"/>
  <c r="S249" i="2"/>
  <c r="I249" i="2"/>
  <c r="BP248" i="2"/>
  <c r="J248" i="2" s="1"/>
  <c r="S248" i="2"/>
  <c r="I248" i="2"/>
  <c r="BP247" i="2"/>
  <c r="J247" i="2" s="1"/>
  <c r="S247" i="2"/>
  <c r="I247" i="2"/>
  <c r="BP246" i="2"/>
  <c r="J246" i="2" s="1"/>
  <c r="S246" i="2"/>
  <c r="I246" i="2"/>
  <c r="BP245" i="2"/>
  <c r="J245" i="2" s="1"/>
  <c r="S245" i="2"/>
  <c r="I245" i="2"/>
  <c r="BP244" i="2"/>
  <c r="J244" i="2" s="1"/>
  <c r="S244" i="2"/>
  <c r="I244" i="2"/>
  <c r="BP243" i="2"/>
  <c r="J243" i="2" s="1"/>
  <c r="S243" i="2"/>
  <c r="I243" i="2"/>
  <c r="BP242" i="2"/>
  <c r="J242" i="2" s="1"/>
  <c r="S242" i="2"/>
  <c r="I242" i="2"/>
  <c r="BP241" i="2"/>
  <c r="J241" i="2" s="1"/>
  <c r="S241" i="2"/>
  <c r="I241" i="2"/>
  <c r="BP240" i="2"/>
  <c r="J240" i="2" s="1"/>
  <c r="S240" i="2"/>
  <c r="I240" i="2"/>
  <c r="BP239" i="2"/>
  <c r="J239" i="2" s="1"/>
  <c r="S239" i="2"/>
  <c r="I239" i="2"/>
  <c r="BP238" i="2"/>
  <c r="J238" i="2" s="1"/>
  <c r="S238" i="2"/>
  <c r="I238" i="2"/>
  <c r="BP237" i="2"/>
  <c r="J237" i="2" s="1"/>
  <c r="S237" i="2"/>
  <c r="I237" i="2"/>
  <c r="BP236" i="2"/>
  <c r="J236" i="2" s="1"/>
  <c r="S236" i="2"/>
  <c r="I236" i="2"/>
  <c r="BP235" i="2"/>
  <c r="J235" i="2" s="1"/>
  <c r="S235" i="2"/>
  <c r="I235" i="2"/>
  <c r="BP234" i="2"/>
  <c r="J234" i="2" s="1"/>
  <c r="S234" i="2"/>
  <c r="I234" i="2"/>
  <c r="BP233" i="2"/>
  <c r="J233" i="2" s="1"/>
  <c r="S233" i="2"/>
  <c r="I233" i="2"/>
  <c r="BP232" i="2"/>
  <c r="J232" i="2" s="1"/>
  <c r="S232" i="2"/>
  <c r="I232" i="2"/>
  <c r="BP231" i="2"/>
  <c r="J231" i="2" s="1"/>
  <c r="S231" i="2"/>
  <c r="I231" i="2"/>
  <c r="BP230" i="2"/>
  <c r="J230" i="2" s="1"/>
  <c r="S230" i="2"/>
  <c r="I230" i="2"/>
  <c r="BP229" i="2"/>
  <c r="J229" i="2" s="1"/>
  <c r="S229" i="2"/>
  <c r="I229" i="2"/>
  <c r="BP228" i="2"/>
  <c r="J228" i="2" s="1"/>
  <c r="S228" i="2"/>
  <c r="I228" i="2"/>
  <c r="BP227" i="2"/>
  <c r="J227" i="2" s="1"/>
  <c r="S227" i="2"/>
  <c r="I227" i="2"/>
  <c r="BP226" i="2"/>
  <c r="J226" i="2" s="1"/>
  <c r="S226" i="2"/>
  <c r="I226" i="2"/>
  <c r="BP225" i="2"/>
  <c r="J225" i="2" s="1"/>
  <c r="S225" i="2"/>
  <c r="I225" i="2"/>
  <c r="BP224" i="2"/>
  <c r="J224" i="2" s="1"/>
  <c r="S224" i="2"/>
  <c r="I224" i="2"/>
  <c r="BP223" i="2"/>
  <c r="J223" i="2" s="1"/>
  <c r="S223" i="2"/>
  <c r="I223" i="2"/>
  <c r="BP222" i="2"/>
  <c r="J222" i="2" s="1"/>
  <c r="S222" i="2"/>
  <c r="I222" i="2"/>
  <c r="BP221" i="2"/>
  <c r="J221" i="2" s="1"/>
  <c r="S221" i="2"/>
  <c r="I221" i="2"/>
  <c r="BP220" i="2"/>
  <c r="J220" i="2" s="1"/>
  <c r="S220" i="2"/>
  <c r="I220" i="2"/>
  <c r="BP219" i="2"/>
  <c r="J219" i="2" s="1"/>
  <c r="S219" i="2"/>
  <c r="I219" i="2"/>
  <c r="BP218" i="2"/>
  <c r="J218" i="2" s="1"/>
  <c r="S218" i="2"/>
  <c r="I218" i="2"/>
  <c r="BP217" i="2"/>
  <c r="J217" i="2" s="1"/>
  <c r="S217" i="2"/>
  <c r="I217" i="2"/>
  <c r="BP216" i="2"/>
  <c r="J216" i="2" s="1"/>
  <c r="S216" i="2"/>
  <c r="I216" i="2"/>
  <c r="BP215" i="2"/>
  <c r="J215" i="2" s="1"/>
  <c r="S215" i="2"/>
  <c r="I215" i="2"/>
  <c r="BP214" i="2"/>
  <c r="J214" i="2" s="1"/>
  <c r="S214" i="2"/>
  <c r="I214" i="2"/>
  <c r="BP213" i="2"/>
  <c r="J213" i="2" s="1"/>
  <c r="S213" i="2"/>
  <c r="I213" i="2"/>
  <c r="BP212" i="2"/>
  <c r="J212" i="2" s="1"/>
  <c r="S212" i="2"/>
  <c r="I212" i="2"/>
  <c r="BP211" i="2"/>
  <c r="J211" i="2" s="1"/>
  <c r="S211" i="2"/>
  <c r="I211" i="2"/>
  <c r="BP210" i="2"/>
  <c r="J210" i="2" s="1"/>
  <c r="S210" i="2"/>
  <c r="I210" i="2"/>
  <c r="BP209" i="2"/>
  <c r="J209" i="2" s="1"/>
  <c r="S209" i="2"/>
  <c r="I209" i="2"/>
  <c r="BP208" i="2"/>
  <c r="J208" i="2" s="1"/>
  <c r="S208" i="2"/>
  <c r="I208" i="2"/>
  <c r="BP207" i="2"/>
  <c r="J207" i="2" s="1"/>
  <c r="S207" i="2"/>
  <c r="I207" i="2"/>
  <c r="BP206" i="2"/>
  <c r="J206" i="2" s="1"/>
  <c r="S206" i="2"/>
  <c r="I206" i="2"/>
  <c r="BP205" i="2"/>
  <c r="J205" i="2" s="1"/>
  <c r="S205" i="2"/>
  <c r="I205" i="2"/>
  <c r="BP204" i="2"/>
  <c r="J204" i="2" s="1"/>
  <c r="S204" i="2"/>
  <c r="I204" i="2"/>
  <c r="BP203" i="2"/>
  <c r="J203" i="2" s="1"/>
  <c r="S203" i="2"/>
  <c r="I203" i="2"/>
  <c r="BP202" i="2"/>
  <c r="J202" i="2" s="1"/>
  <c r="S202" i="2"/>
  <c r="I202" i="2"/>
  <c r="BP201" i="2"/>
  <c r="J201" i="2" s="1"/>
  <c r="S201" i="2"/>
  <c r="I201" i="2"/>
  <c r="BP200" i="2"/>
  <c r="J200" i="2" s="1"/>
  <c r="S200" i="2"/>
  <c r="I200" i="2"/>
  <c r="BP199" i="2"/>
  <c r="J199" i="2" s="1"/>
  <c r="S199" i="2"/>
  <c r="I199" i="2"/>
  <c r="BP198" i="2"/>
  <c r="J198" i="2" s="1"/>
  <c r="S198" i="2"/>
  <c r="I198" i="2"/>
  <c r="BP197" i="2"/>
  <c r="J197" i="2" s="1"/>
  <c r="S197" i="2"/>
  <c r="I197" i="2"/>
  <c r="BP196" i="2"/>
  <c r="J196" i="2" s="1"/>
  <c r="S196" i="2"/>
  <c r="I196" i="2"/>
  <c r="BP195" i="2"/>
  <c r="J195" i="2" s="1"/>
  <c r="S195" i="2"/>
  <c r="I195" i="2"/>
  <c r="BP194" i="2"/>
  <c r="J194" i="2" s="1"/>
  <c r="S194" i="2"/>
  <c r="I194" i="2"/>
  <c r="BP193" i="2"/>
  <c r="J193" i="2" s="1"/>
  <c r="S193" i="2"/>
  <c r="I193" i="2"/>
  <c r="BP192" i="2"/>
  <c r="J192" i="2" s="1"/>
  <c r="S192" i="2"/>
  <c r="I192" i="2"/>
  <c r="BP191" i="2"/>
  <c r="J191" i="2" s="1"/>
  <c r="S191" i="2"/>
  <c r="I191" i="2"/>
  <c r="BP190" i="2"/>
  <c r="J190" i="2" s="1"/>
  <c r="S190" i="2"/>
  <c r="I190" i="2"/>
  <c r="BP189" i="2"/>
  <c r="J189" i="2" s="1"/>
  <c r="S189" i="2"/>
  <c r="I189" i="2"/>
  <c r="BP188" i="2"/>
  <c r="J188" i="2" s="1"/>
  <c r="S188" i="2"/>
  <c r="I188" i="2"/>
  <c r="BP187" i="2"/>
  <c r="J187" i="2" s="1"/>
  <c r="S187" i="2"/>
  <c r="I187" i="2"/>
  <c r="BP186" i="2"/>
  <c r="J186" i="2" s="1"/>
  <c r="S186" i="2"/>
  <c r="I186" i="2"/>
  <c r="BP185" i="2"/>
  <c r="J185" i="2" s="1"/>
  <c r="S185" i="2"/>
  <c r="I185" i="2"/>
  <c r="BP184" i="2"/>
  <c r="J184" i="2" s="1"/>
  <c r="S184" i="2"/>
  <c r="I184" i="2"/>
  <c r="BP183" i="2"/>
  <c r="J183" i="2" s="1"/>
  <c r="S183" i="2"/>
  <c r="I183" i="2"/>
  <c r="BP182" i="2"/>
  <c r="J182" i="2" s="1"/>
  <c r="S182" i="2"/>
  <c r="I182" i="2"/>
  <c r="BP181" i="2"/>
  <c r="J181" i="2" s="1"/>
  <c r="S181" i="2"/>
  <c r="I181" i="2"/>
  <c r="BP180" i="2"/>
  <c r="J180" i="2" s="1"/>
  <c r="S180" i="2"/>
  <c r="I180" i="2"/>
  <c r="BP179" i="2"/>
  <c r="J179" i="2" s="1"/>
  <c r="S179" i="2"/>
  <c r="I179" i="2"/>
  <c r="BP178" i="2"/>
  <c r="J178" i="2" s="1"/>
  <c r="S178" i="2"/>
  <c r="I178" i="2"/>
  <c r="BP177" i="2"/>
  <c r="J177" i="2" s="1"/>
  <c r="S177" i="2"/>
  <c r="I177" i="2"/>
  <c r="BP176" i="2"/>
  <c r="J176" i="2" s="1"/>
  <c r="S176" i="2"/>
  <c r="I176" i="2"/>
  <c r="BP175" i="2"/>
  <c r="J175" i="2" s="1"/>
  <c r="S175" i="2"/>
  <c r="I175" i="2"/>
  <c r="BP174" i="2"/>
  <c r="J174" i="2" s="1"/>
  <c r="S174" i="2"/>
  <c r="I174" i="2"/>
  <c r="BP173" i="2"/>
  <c r="J173" i="2" s="1"/>
  <c r="S173" i="2"/>
  <c r="I173" i="2"/>
  <c r="BP172" i="2"/>
  <c r="J172" i="2" s="1"/>
  <c r="S172" i="2"/>
  <c r="I172" i="2"/>
  <c r="BP171" i="2"/>
  <c r="J171" i="2" s="1"/>
  <c r="S171" i="2"/>
  <c r="I171" i="2"/>
  <c r="BP170" i="2"/>
  <c r="J170" i="2" s="1"/>
  <c r="S170" i="2"/>
  <c r="I170" i="2"/>
  <c r="BP169" i="2"/>
  <c r="J169" i="2" s="1"/>
  <c r="S169" i="2"/>
  <c r="I169" i="2"/>
  <c r="BP168" i="2"/>
  <c r="J168" i="2" s="1"/>
  <c r="S168" i="2"/>
  <c r="I168" i="2"/>
  <c r="BP167" i="2"/>
  <c r="J167" i="2" s="1"/>
  <c r="S167" i="2"/>
  <c r="I167" i="2"/>
  <c r="BP166" i="2"/>
  <c r="J166" i="2" s="1"/>
  <c r="S166" i="2"/>
  <c r="I166" i="2"/>
  <c r="BP165" i="2"/>
  <c r="J165" i="2" s="1"/>
  <c r="S165" i="2"/>
  <c r="I165" i="2"/>
  <c r="BP164" i="2"/>
  <c r="J164" i="2" s="1"/>
  <c r="S164" i="2"/>
  <c r="I164" i="2"/>
  <c r="BP163" i="2"/>
  <c r="J163" i="2" s="1"/>
  <c r="S163" i="2"/>
  <c r="I163" i="2"/>
  <c r="BP162" i="2"/>
  <c r="J162" i="2" s="1"/>
  <c r="S162" i="2"/>
  <c r="I162" i="2"/>
  <c r="BP161" i="2"/>
  <c r="J161" i="2" s="1"/>
  <c r="S161" i="2"/>
  <c r="I161" i="2"/>
  <c r="BP160" i="2"/>
  <c r="J160" i="2" s="1"/>
  <c r="S160" i="2"/>
  <c r="I160" i="2"/>
  <c r="BP159" i="2"/>
  <c r="J159" i="2" s="1"/>
  <c r="S159" i="2"/>
  <c r="I159" i="2"/>
  <c r="BP158" i="2"/>
  <c r="J158" i="2" s="1"/>
  <c r="S158" i="2"/>
  <c r="I158" i="2"/>
  <c r="BP157" i="2"/>
  <c r="J157" i="2" s="1"/>
  <c r="S157" i="2"/>
  <c r="I157" i="2"/>
  <c r="BP156" i="2"/>
  <c r="J156" i="2" s="1"/>
  <c r="S156" i="2"/>
  <c r="I156" i="2"/>
  <c r="BP155" i="2"/>
  <c r="J155" i="2" s="1"/>
  <c r="S155" i="2"/>
  <c r="I155" i="2"/>
  <c r="BP154" i="2"/>
  <c r="J154" i="2" s="1"/>
  <c r="S154" i="2"/>
  <c r="I154" i="2"/>
  <c r="BP153" i="2"/>
  <c r="J153" i="2" s="1"/>
  <c r="S153" i="2"/>
  <c r="I153" i="2"/>
  <c r="BP152" i="2"/>
  <c r="J152" i="2" s="1"/>
  <c r="S152" i="2"/>
  <c r="I152" i="2"/>
  <c r="BP151" i="2"/>
  <c r="J151" i="2" s="1"/>
  <c r="S151" i="2"/>
  <c r="I151" i="2"/>
  <c r="BP150" i="2"/>
  <c r="J150" i="2" s="1"/>
  <c r="S150" i="2"/>
  <c r="I150" i="2"/>
  <c r="BP149" i="2"/>
  <c r="J149" i="2" s="1"/>
  <c r="S149" i="2"/>
  <c r="I149" i="2"/>
  <c r="BP148" i="2"/>
  <c r="J148" i="2" s="1"/>
  <c r="S148" i="2"/>
  <c r="I148" i="2"/>
  <c r="BP147" i="2"/>
  <c r="J147" i="2" s="1"/>
  <c r="S147" i="2"/>
  <c r="I147" i="2"/>
  <c r="BP146" i="2"/>
  <c r="J146" i="2" s="1"/>
  <c r="S146" i="2"/>
  <c r="I146" i="2"/>
  <c r="BP145" i="2"/>
  <c r="J145" i="2" s="1"/>
  <c r="S145" i="2"/>
  <c r="I145" i="2"/>
  <c r="BP144" i="2"/>
  <c r="J144" i="2" s="1"/>
  <c r="S144" i="2"/>
  <c r="I144" i="2"/>
  <c r="BP143" i="2"/>
  <c r="J143" i="2" s="1"/>
  <c r="S143" i="2"/>
  <c r="I143" i="2"/>
  <c r="BP142" i="2"/>
  <c r="J142" i="2" s="1"/>
  <c r="S142" i="2"/>
  <c r="I142" i="2"/>
  <c r="BP141" i="2"/>
  <c r="J141" i="2" s="1"/>
  <c r="S141" i="2"/>
  <c r="I141" i="2"/>
  <c r="BP140" i="2"/>
  <c r="J140" i="2" s="1"/>
  <c r="S140" i="2"/>
  <c r="I140" i="2"/>
  <c r="BP139" i="2"/>
  <c r="J139" i="2" s="1"/>
  <c r="S139" i="2"/>
  <c r="I139" i="2"/>
  <c r="BP138" i="2"/>
  <c r="J138" i="2" s="1"/>
  <c r="S138" i="2"/>
  <c r="I138" i="2"/>
  <c r="BP137" i="2"/>
  <c r="J137" i="2" s="1"/>
  <c r="S137" i="2"/>
  <c r="I137" i="2"/>
  <c r="BP136" i="2"/>
  <c r="J136" i="2" s="1"/>
  <c r="S136" i="2"/>
  <c r="I136" i="2"/>
  <c r="BP135" i="2"/>
  <c r="J135" i="2" s="1"/>
  <c r="S135" i="2"/>
  <c r="I135" i="2"/>
  <c r="BP134" i="2"/>
  <c r="J134" i="2" s="1"/>
  <c r="S134" i="2"/>
  <c r="I134" i="2"/>
  <c r="BP133" i="2"/>
  <c r="J133" i="2" s="1"/>
  <c r="S133" i="2"/>
  <c r="I133" i="2"/>
  <c r="BP132" i="2"/>
  <c r="J132" i="2" s="1"/>
  <c r="S132" i="2"/>
  <c r="I132" i="2"/>
  <c r="BP131" i="2"/>
  <c r="J131" i="2" s="1"/>
  <c r="S131" i="2"/>
  <c r="I131" i="2"/>
  <c r="BP130" i="2"/>
  <c r="J130" i="2" s="1"/>
  <c r="S130" i="2"/>
  <c r="I130" i="2"/>
  <c r="BP129" i="2"/>
  <c r="J129" i="2" s="1"/>
  <c r="S129" i="2"/>
  <c r="I129" i="2"/>
  <c r="BP128" i="2"/>
  <c r="J128" i="2" s="1"/>
  <c r="S128" i="2"/>
  <c r="I128" i="2"/>
  <c r="BP127" i="2"/>
  <c r="J127" i="2" s="1"/>
  <c r="S127" i="2"/>
  <c r="I127" i="2"/>
  <c r="BP126" i="2"/>
  <c r="J126" i="2" s="1"/>
  <c r="S126" i="2"/>
  <c r="I126" i="2"/>
  <c r="BP125" i="2"/>
  <c r="J125" i="2" s="1"/>
  <c r="S125" i="2"/>
  <c r="I125" i="2"/>
  <c r="BP124" i="2"/>
  <c r="J124" i="2" s="1"/>
  <c r="S124" i="2"/>
  <c r="I124" i="2"/>
  <c r="BP123" i="2"/>
  <c r="J123" i="2" s="1"/>
  <c r="S123" i="2"/>
  <c r="I123" i="2"/>
  <c r="BP122" i="2"/>
  <c r="J122" i="2" s="1"/>
  <c r="S122" i="2"/>
  <c r="I122" i="2"/>
  <c r="BP121" i="2"/>
  <c r="J121" i="2" s="1"/>
  <c r="S121" i="2"/>
  <c r="I121" i="2"/>
  <c r="BP120" i="2"/>
  <c r="J120" i="2" s="1"/>
  <c r="S120" i="2"/>
  <c r="I120" i="2"/>
  <c r="BP119" i="2"/>
  <c r="J119" i="2" s="1"/>
  <c r="S119" i="2"/>
  <c r="I119" i="2"/>
  <c r="BP118" i="2"/>
  <c r="J118" i="2" s="1"/>
  <c r="S118" i="2"/>
  <c r="I118" i="2"/>
  <c r="BP117" i="2"/>
  <c r="J117" i="2" s="1"/>
  <c r="S117" i="2"/>
  <c r="I117" i="2"/>
  <c r="BP116" i="2"/>
  <c r="J116" i="2" s="1"/>
  <c r="S116" i="2"/>
  <c r="I116" i="2"/>
  <c r="BP115" i="2"/>
  <c r="J115" i="2" s="1"/>
  <c r="S115" i="2"/>
  <c r="I115" i="2"/>
  <c r="BP114" i="2"/>
  <c r="J114" i="2" s="1"/>
  <c r="S114" i="2"/>
  <c r="I114" i="2"/>
  <c r="BP113" i="2"/>
  <c r="J113" i="2" s="1"/>
  <c r="S113" i="2"/>
  <c r="I113" i="2"/>
  <c r="BP112" i="2"/>
  <c r="J112" i="2" s="1"/>
  <c r="S112" i="2"/>
  <c r="I112" i="2"/>
  <c r="BP111" i="2"/>
  <c r="J111" i="2" s="1"/>
  <c r="S111" i="2"/>
  <c r="I111" i="2"/>
  <c r="BP110" i="2"/>
  <c r="J110" i="2" s="1"/>
  <c r="S110" i="2"/>
  <c r="I110" i="2"/>
  <c r="BP109" i="2"/>
  <c r="J109" i="2" s="1"/>
  <c r="S109" i="2"/>
  <c r="I109" i="2"/>
  <c r="BP108" i="2"/>
  <c r="J108" i="2" s="1"/>
  <c r="S108" i="2"/>
  <c r="I108" i="2"/>
  <c r="BP107" i="2"/>
  <c r="J107" i="2" s="1"/>
  <c r="S107" i="2"/>
  <c r="I107" i="2"/>
  <c r="BP106" i="2"/>
  <c r="J106" i="2" s="1"/>
  <c r="S106" i="2"/>
  <c r="I106" i="2"/>
  <c r="BP105" i="2"/>
  <c r="J105" i="2" s="1"/>
  <c r="S105" i="2"/>
  <c r="I105" i="2"/>
  <c r="BP104" i="2"/>
  <c r="J104" i="2" s="1"/>
  <c r="S104" i="2"/>
  <c r="I104" i="2"/>
  <c r="BP103" i="2"/>
  <c r="J103" i="2" s="1"/>
  <c r="S103" i="2"/>
  <c r="I103" i="2"/>
  <c r="BP102" i="2"/>
  <c r="J102" i="2" s="1"/>
  <c r="S102" i="2"/>
  <c r="I102" i="2"/>
  <c r="BP101" i="2"/>
  <c r="J101" i="2" s="1"/>
  <c r="S101" i="2"/>
  <c r="I101" i="2"/>
  <c r="BP100" i="2"/>
  <c r="J100" i="2" s="1"/>
  <c r="S100" i="2"/>
  <c r="I100" i="2"/>
  <c r="BP99" i="2"/>
  <c r="J99" i="2" s="1"/>
  <c r="S99" i="2"/>
  <c r="I99" i="2"/>
  <c r="BP98" i="2"/>
  <c r="J98" i="2" s="1"/>
  <c r="S98" i="2"/>
  <c r="I98" i="2"/>
  <c r="BP97" i="2"/>
  <c r="J97" i="2" s="1"/>
  <c r="S97" i="2"/>
  <c r="I97" i="2"/>
  <c r="BP96" i="2"/>
  <c r="J96" i="2" s="1"/>
  <c r="S96" i="2"/>
  <c r="I96" i="2"/>
  <c r="BP95" i="2"/>
  <c r="J95" i="2" s="1"/>
  <c r="S95" i="2"/>
  <c r="I95" i="2"/>
  <c r="BP94" i="2"/>
  <c r="J94" i="2" s="1"/>
  <c r="S94" i="2"/>
  <c r="I94" i="2"/>
  <c r="BP93" i="2"/>
  <c r="J93" i="2" s="1"/>
  <c r="S93" i="2"/>
  <c r="I93" i="2"/>
  <c r="BP92" i="2"/>
  <c r="J92" i="2" s="1"/>
  <c r="S92" i="2"/>
  <c r="I92" i="2"/>
  <c r="BP91" i="2"/>
  <c r="J91" i="2" s="1"/>
  <c r="S91" i="2"/>
  <c r="I91" i="2"/>
  <c r="BP90" i="2"/>
  <c r="J90" i="2" s="1"/>
  <c r="S90" i="2"/>
  <c r="I90" i="2"/>
  <c r="BP89" i="2"/>
  <c r="J89" i="2" s="1"/>
  <c r="S89" i="2"/>
  <c r="I89" i="2"/>
  <c r="BP88" i="2"/>
  <c r="J88" i="2" s="1"/>
  <c r="S88" i="2"/>
  <c r="I88" i="2"/>
  <c r="BP87" i="2"/>
  <c r="J87" i="2" s="1"/>
  <c r="S87" i="2"/>
  <c r="I87" i="2"/>
  <c r="BP86" i="2"/>
  <c r="J86" i="2" s="1"/>
  <c r="S86" i="2"/>
  <c r="I86" i="2"/>
  <c r="BP85" i="2"/>
  <c r="J85" i="2" s="1"/>
  <c r="S85" i="2"/>
  <c r="I85" i="2"/>
  <c r="BP84" i="2"/>
  <c r="J84" i="2" s="1"/>
  <c r="S84" i="2"/>
  <c r="I84" i="2"/>
  <c r="BP83" i="2"/>
  <c r="J83" i="2" s="1"/>
  <c r="S83" i="2"/>
  <c r="I83" i="2"/>
  <c r="BP82" i="2"/>
  <c r="J82" i="2" s="1"/>
  <c r="S82" i="2"/>
  <c r="I82" i="2"/>
  <c r="BP81" i="2"/>
  <c r="J81" i="2" s="1"/>
  <c r="S81" i="2"/>
  <c r="I81" i="2"/>
  <c r="BP80" i="2"/>
  <c r="J80" i="2" s="1"/>
  <c r="S80" i="2"/>
  <c r="I80" i="2"/>
  <c r="BP79" i="2"/>
  <c r="J79" i="2" s="1"/>
  <c r="S79" i="2"/>
  <c r="I79" i="2"/>
  <c r="BP78" i="2"/>
  <c r="J78" i="2" s="1"/>
  <c r="S78" i="2"/>
  <c r="I78" i="2"/>
  <c r="BP77" i="2"/>
  <c r="J77" i="2" s="1"/>
  <c r="S77" i="2"/>
  <c r="I77" i="2"/>
  <c r="BP76" i="2"/>
  <c r="J76" i="2" s="1"/>
  <c r="S76" i="2"/>
  <c r="I76" i="2"/>
  <c r="BP75" i="2"/>
  <c r="J75" i="2" s="1"/>
  <c r="S75" i="2"/>
  <c r="I75" i="2"/>
  <c r="BP74" i="2"/>
  <c r="J74" i="2" s="1"/>
  <c r="S74" i="2"/>
  <c r="I74" i="2"/>
  <c r="BP73" i="2"/>
  <c r="J73" i="2" s="1"/>
  <c r="S73" i="2"/>
  <c r="I73" i="2"/>
  <c r="BP72" i="2"/>
  <c r="J72" i="2" s="1"/>
  <c r="S72" i="2"/>
  <c r="I72" i="2"/>
  <c r="BP71" i="2"/>
  <c r="J71" i="2" s="1"/>
  <c r="S71" i="2"/>
  <c r="I71" i="2"/>
  <c r="BP70" i="2"/>
  <c r="J70" i="2" s="1"/>
  <c r="S70" i="2"/>
  <c r="I70" i="2"/>
  <c r="BP69" i="2"/>
  <c r="J69" i="2" s="1"/>
  <c r="S69" i="2"/>
  <c r="I69" i="2"/>
  <c r="BP68" i="2"/>
  <c r="J68" i="2" s="1"/>
  <c r="S68" i="2"/>
  <c r="I68" i="2"/>
  <c r="BP67" i="2"/>
  <c r="J67" i="2" s="1"/>
  <c r="S67" i="2"/>
  <c r="I67" i="2"/>
  <c r="BP66" i="2"/>
  <c r="J66" i="2" s="1"/>
  <c r="S66" i="2"/>
  <c r="I66" i="2"/>
  <c r="BP65" i="2"/>
  <c r="J65" i="2" s="1"/>
  <c r="S65" i="2"/>
  <c r="I65" i="2"/>
  <c r="BP64" i="2"/>
  <c r="J64" i="2" s="1"/>
  <c r="S64" i="2"/>
  <c r="I64" i="2"/>
  <c r="BP63" i="2"/>
  <c r="J63" i="2" s="1"/>
  <c r="S63" i="2"/>
  <c r="I63" i="2"/>
  <c r="BP62" i="2"/>
  <c r="J62" i="2" s="1"/>
  <c r="S62" i="2"/>
  <c r="I62" i="2"/>
  <c r="BP61" i="2"/>
  <c r="J61" i="2" s="1"/>
  <c r="S61" i="2"/>
  <c r="I61" i="2"/>
  <c r="BP60" i="2"/>
  <c r="J60" i="2" s="1"/>
  <c r="S60" i="2"/>
  <c r="I60" i="2"/>
  <c r="BP59" i="2"/>
  <c r="J59" i="2" s="1"/>
  <c r="S59" i="2"/>
  <c r="I59" i="2"/>
  <c r="BP58" i="2"/>
  <c r="J58" i="2" s="1"/>
  <c r="S58" i="2"/>
  <c r="I58" i="2"/>
  <c r="BP57" i="2"/>
  <c r="J57" i="2" s="1"/>
  <c r="S57" i="2"/>
  <c r="I57" i="2"/>
  <c r="BP56" i="2"/>
  <c r="J56" i="2" s="1"/>
  <c r="S56" i="2"/>
  <c r="I56" i="2"/>
  <c r="BP55" i="2"/>
  <c r="J55" i="2" s="1"/>
  <c r="S55" i="2"/>
  <c r="I55" i="2"/>
  <c r="BP54" i="2"/>
  <c r="J54" i="2" s="1"/>
  <c r="S54" i="2"/>
  <c r="I54" i="2"/>
  <c r="BP53" i="2"/>
  <c r="J53" i="2" s="1"/>
  <c r="S53" i="2"/>
  <c r="I53" i="2"/>
  <c r="BP52" i="2"/>
  <c r="J52" i="2" s="1"/>
  <c r="S52" i="2"/>
  <c r="I52" i="2"/>
  <c r="BP51" i="2"/>
  <c r="J51" i="2" s="1"/>
  <c r="S51" i="2"/>
  <c r="I51" i="2"/>
  <c r="BP50" i="2"/>
  <c r="J50" i="2" s="1"/>
  <c r="S50" i="2"/>
  <c r="I50" i="2"/>
  <c r="BP49" i="2"/>
  <c r="J49" i="2" s="1"/>
  <c r="S49" i="2"/>
  <c r="I49" i="2"/>
  <c r="BP48" i="2"/>
  <c r="J48" i="2" s="1"/>
  <c r="S48" i="2"/>
  <c r="I48" i="2"/>
  <c r="BP47" i="2"/>
  <c r="J47" i="2" s="1"/>
  <c r="S47" i="2"/>
  <c r="I47" i="2"/>
  <c r="BP46" i="2"/>
  <c r="J46" i="2" s="1"/>
  <c r="S46" i="2"/>
  <c r="I46" i="2"/>
  <c r="BP45" i="2"/>
  <c r="J45" i="2" s="1"/>
  <c r="S45" i="2"/>
  <c r="I45" i="2"/>
  <c r="BP44" i="2"/>
  <c r="J44" i="2" s="1"/>
  <c r="S44" i="2"/>
  <c r="I44" i="2"/>
  <c r="BP43" i="2"/>
  <c r="J43" i="2" s="1"/>
  <c r="S43" i="2"/>
  <c r="I43" i="2"/>
  <c r="BP42" i="2"/>
  <c r="J42" i="2" s="1"/>
  <c r="S42" i="2"/>
  <c r="I42" i="2"/>
  <c r="BP41" i="2"/>
  <c r="J41" i="2" s="1"/>
  <c r="S41" i="2"/>
  <c r="I41" i="2"/>
  <c r="BP40" i="2"/>
  <c r="J40" i="2" s="1"/>
  <c r="S40" i="2"/>
  <c r="I40" i="2"/>
  <c r="BP39" i="2"/>
  <c r="J39" i="2" s="1"/>
  <c r="S39" i="2"/>
  <c r="I39" i="2"/>
  <c r="BP38" i="2"/>
  <c r="J38" i="2" s="1"/>
  <c r="S38" i="2"/>
  <c r="I38" i="2"/>
  <c r="BP37" i="2"/>
  <c r="J37" i="2" s="1"/>
  <c r="S37" i="2"/>
  <c r="I37" i="2"/>
  <c r="BP36" i="2"/>
  <c r="J36" i="2" s="1"/>
  <c r="S36" i="2"/>
  <c r="I36" i="2"/>
  <c r="BP35" i="2"/>
  <c r="J35" i="2" s="1"/>
  <c r="S35" i="2"/>
  <c r="I35" i="2"/>
  <c r="BP34" i="2"/>
  <c r="J34" i="2" s="1"/>
  <c r="S34" i="2"/>
  <c r="I34" i="2"/>
  <c r="BP33" i="2"/>
  <c r="J33" i="2" s="1"/>
  <c r="S33" i="2"/>
  <c r="I33" i="2"/>
  <c r="BP32" i="2"/>
  <c r="J32" i="2" s="1"/>
  <c r="S32" i="2"/>
  <c r="I32" i="2"/>
  <c r="BP31" i="2"/>
  <c r="J31" i="2" s="1"/>
  <c r="S31" i="2"/>
  <c r="I31" i="2"/>
  <c r="BP30" i="2"/>
  <c r="J30" i="2" s="1"/>
  <c r="S30" i="2"/>
  <c r="I30" i="2"/>
  <c r="BP29" i="2"/>
  <c r="J29" i="2" s="1"/>
  <c r="S29" i="2"/>
  <c r="I29" i="2"/>
  <c r="BP28" i="2"/>
  <c r="J28" i="2" s="1"/>
  <c r="S28" i="2"/>
  <c r="I28" i="2"/>
  <c r="BP27" i="2"/>
  <c r="J27" i="2" s="1"/>
  <c r="S27" i="2"/>
  <c r="I27" i="2"/>
  <c r="BP26" i="2"/>
  <c r="J26" i="2" s="1"/>
  <c r="S26" i="2"/>
  <c r="I26" i="2"/>
  <c r="BP25" i="2"/>
  <c r="J25" i="2" s="1"/>
  <c r="S25" i="2"/>
  <c r="I25" i="2"/>
  <c r="BP24" i="2"/>
  <c r="J24" i="2" s="1"/>
  <c r="S24" i="2"/>
  <c r="I24" i="2"/>
  <c r="BP23" i="2"/>
  <c r="J23" i="2" s="1"/>
  <c r="S23" i="2"/>
  <c r="I23" i="2"/>
  <c r="BP22" i="2"/>
  <c r="J22" i="2" s="1"/>
  <c r="S22" i="2"/>
  <c r="I22" i="2"/>
  <c r="BP21" i="2"/>
  <c r="J21" i="2" s="1"/>
  <c r="S21" i="2"/>
  <c r="I21" i="2"/>
  <c r="BP20" i="2"/>
  <c r="J20" i="2" s="1"/>
  <c r="S20" i="2"/>
  <c r="I20" i="2"/>
  <c r="BP19" i="2"/>
  <c r="J19" i="2" s="1"/>
  <c r="S19" i="2"/>
  <c r="I19" i="2"/>
  <c r="BP18" i="2"/>
  <c r="J18" i="2" s="1"/>
  <c r="S18" i="2"/>
  <c r="I18" i="2"/>
  <c r="BP17" i="2"/>
  <c r="J17" i="2" s="1"/>
  <c r="S17" i="2"/>
  <c r="I17" i="2"/>
  <c r="BP16" i="2"/>
  <c r="J16" i="2" s="1"/>
  <c r="S16" i="2"/>
  <c r="I16" i="2"/>
  <c r="A16" i="2"/>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G119" i="1"/>
  <c r="K60" i="1"/>
  <c r="I118" i="1"/>
  <c r="K59" i="1"/>
  <c r="I110" i="1"/>
  <c r="K58" i="1"/>
  <c r="I109" i="1"/>
  <c r="S43" i="1"/>
  <c r="R41" i="1"/>
  <c r="L40" i="1"/>
  <c r="J7" i="23"/>
  <c r="B2" i="24"/>
  <c r="G7" i="23" l="1"/>
  <c r="B3" i="23"/>
  <c r="B3" i="1"/>
  <c r="C2" i="5" s="1"/>
  <c r="K7" i="20"/>
  <c r="K11" i="20"/>
  <c r="J97" i="4"/>
  <c r="C44" i="19"/>
  <c r="C26" i="19"/>
  <c r="J577" i="4"/>
  <c r="J617" i="4"/>
  <c r="J637" i="4"/>
  <c r="J657" i="4"/>
  <c r="J662" i="4"/>
  <c r="J665" i="4"/>
  <c r="J631" i="4"/>
  <c r="J574" i="4"/>
  <c r="J614" i="4"/>
  <c r="J634" i="4"/>
  <c r="J580" i="4"/>
  <c r="J620" i="4"/>
  <c r="J640" i="4"/>
  <c r="J660" i="4"/>
  <c r="J526" i="4"/>
  <c r="J586" i="4"/>
  <c r="J669" i="4"/>
  <c r="J659" i="4"/>
  <c r="J622" i="4"/>
  <c r="J668" i="4"/>
  <c r="J558" i="4"/>
  <c r="J578" i="4"/>
  <c r="J618" i="4"/>
  <c r="J638" i="4"/>
  <c r="J658" i="4"/>
  <c r="J639" i="4"/>
  <c r="J559" i="4"/>
  <c r="J584" i="4"/>
  <c r="J664" i="4"/>
  <c r="J619" i="4"/>
  <c r="J522" i="4"/>
  <c r="J682" i="4"/>
  <c r="J625" i="4"/>
  <c r="J685" i="4"/>
  <c r="J591" i="4"/>
  <c r="J590" i="4"/>
  <c r="J630" i="4"/>
  <c r="J573" i="4"/>
  <c r="J653" i="4"/>
  <c r="J98" i="4"/>
  <c r="J87" i="4"/>
  <c r="J23" i="4"/>
  <c r="J89" i="4"/>
  <c r="J71" i="4"/>
  <c r="J100" i="4"/>
  <c r="J88" i="4"/>
  <c r="J62" i="4"/>
  <c r="J91" i="4"/>
  <c r="J17" i="4"/>
  <c r="J26" i="4"/>
  <c r="J86" i="4"/>
  <c r="J84" i="4"/>
  <c r="J77" i="4"/>
  <c r="J74" i="4"/>
  <c r="J81" i="4"/>
  <c r="J76" i="4"/>
  <c r="J68" i="4"/>
  <c r="J80" i="4"/>
  <c r="J78" i="4"/>
  <c r="J64" i="4"/>
  <c r="J13" i="4"/>
  <c r="J69" i="4"/>
  <c r="J18" i="4"/>
  <c r="J56" i="4"/>
  <c r="J70" i="4"/>
  <c r="J40" i="4"/>
  <c r="J54" i="4"/>
  <c r="J32" i="4"/>
  <c r="J41" i="4"/>
  <c r="J61" i="4"/>
  <c r="J59" i="4"/>
  <c r="J58" i="4"/>
  <c r="J46" i="4"/>
  <c r="J66" i="4"/>
  <c r="J65" i="4"/>
  <c r="J35" i="4"/>
  <c r="J55" i="4"/>
  <c r="J49" i="4"/>
  <c r="J63" i="4"/>
  <c r="J57" i="4"/>
  <c r="J25" i="4"/>
  <c r="J53" i="4"/>
  <c r="J60" i="4"/>
  <c r="J67" i="4"/>
  <c r="J43" i="4"/>
  <c r="H552" i="2"/>
  <c r="G562" i="2"/>
  <c r="G532" i="5" s="1"/>
  <c r="G524" i="2"/>
  <c r="H554" i="2"/>
  <c r="G563" i="2"/>
  <c r="G545" i="5" s="1"/>
  <c r="G566" i="2"/>
  <c r="G584" i="5" s="1"/>
  <c r="H555" i="2"/>
  <c r="G564" i="2"/>
  <c r="G558" i="5" s="1"/>
  <c r="H566" i="2"/>
  <c r="G565" i="2"/>
  <c r="G571" i="5" s="1"/>
  <c r="G543" i="2"/>
  <c r="G284" i="5" s="1"/>
  <c r="G525" i="2"/>
  <c r="G50" i="5" s="1"/>
  <c r="G567" i="2"/>
  <c r="G597" i="5" s="1"/>
  <c r="G526" i="2"/>
  <c r="G63" i="5" s="1"/>
  <c r="G523" i="2"/>
  <c r="H526" i="2"/>
  <c r="G527" i="2"/>
  <c r="G76" i="5" s="1"/>
  <c r="G541" i="2"/>
  <c r="G258" i="5" s="1"/>
  <c r="G542" i="2"/>
  <c r="G271" i="5" s="1"/>
  <c r="H532" i="2"/>
  <c r="G552" i="2"/>
  <c r="G402" i="5" s="1"/>
  <c r="G561" i="2"/>
  <c r="G519" i="5" s="1"/>
  <c r="H528" i="2"/>
  <c r="G528" i="2"/>
  <c r="G89" i="5" s="1"/>
  <c r="H529" i="2"/>
  <c r="G532" i="2"/>
  <c r="G141" i="5" s="1"/>
  <c r="H530" i="2"/>
  <c r="H531" i="2"/>
  <c r="H550" i="2"/>
  <c r="H551" i="2"/>
  <c r="H534" i="2"/>
  <c r="G544" i="2"/>
  <c r="G297" i="5" s="1"/>
  <c r="H535" i="2"/>
  <c r="G545" i="2"/>
  <c r="G310" i="5" s="1"/>
  <c r="H546" i="2"/>
  <c r="G546" i="2"/>
  <c r="G323" i="5" s="1"/>
  <c r="H548" i="2"/>
  <c r="G547" i="2"/>
  <c r="G336" i="5" s="1"/>
  <c r="H549" i="2"/>
  <c r="G548" i="2"/>
  <c r="G349" i="5" s="1"/>
  <c r="H560" i="2"/>
  <c r="H527" i="2"/>
  <c r="H557" i="2"/>
  <c r="H542" i="2"/>
  <c r="H562" i="2"/>
  <c r="H536" i="2"/>
  <c r="H553" i="2"/>
  <c r="H533" i="2"/>
  <c r="G534" i="2"/>
  <c r="G167" i="5" s="1"/>
  <c r="G540" i="2"/>
  <c r="G245" i="5" s="1"/>
  <c r="G535" i="2"/>
  <c r="G180" i="5" s="1"/>
  <c r="G559" i="2"/>
  <c r="G493" i="5" s="1"/>
  <c r="H564" i="2"/>
  <c r="G553" i="2"/>
  <c r="G415" i="5" s="1"/>
  <c r="G537" i="2"/>
  <c r="G206" i="5" s="1"/>
  <c r="H565" i="2"/>
  <c r="G549" i="2"/>
  <c r="G362" i="5" s="1"/>
  <c r="H539" i="2"/>
  <c r="H558" i="2"/>
  <c r="H561" i="2"/>
  <c r="G529" i="2"/>
  <c r="G102" i="5" s="1"/>
  <c r="H537" i="2"/>
  <c r="G550" i="2"/>
  <c r="G376" i="5" s="1"/>
  <c r="H556" i="2"/>
  <c r="G533" i="2"/>
  <c r="G154" i="5" s="1"/>
  <c r="H523" i="2"/>
  <c r="H543" i="2"/>
  <c r="G560" i="2"/>
  <c r="G506" i="5" s="1"/>
  <c r="G554" i="2"/>
  <c r="G428" i="5" s="1"/>
  <c r="H524" i="2"/>
  <c r="G536" i="2"/>
  <c r="G193" i="5" s="1"/>
  <c r="G539" i="2"/>
  <c r="G232" i="5" s="1"/>
  <c r="G556" i="2"/>
  <c r="G454" i="5" s="1"/>
  <c r="H525" i="2"/>
  <c r="H567" i="2"/>
  <c r="G558" i="2"/>
  <c r="G480" i="5" s="1"/>
  <c r="G531" i="2"/>
  <c r="G128" i="5" s="1"/>
  <c r="H541" i="2"/>
  <c r="H563" i="2"/>
  <c r="H544" i="2"/>
  <c r="H547" i="2"/>
  <c r="G538" i="2"/>
  <c r="G219" i="5" s="1"/>
  <c r="H540" i="2"/>
  <c r="G530" i="2"/>
  <c r="G115" i="5" s="1"/>
  <c r="H545" i="2"/>
  <c r="G557" i="2"/>
  <c r="G467" i="5" s="1"/>
  <c r="G555" i="2"/>
  <c r="G441" i="5" s="1"/>
  <c r="H538" i="2"/>
  <c r="G551" i="2"/>
  <c r="G389" i="5" s="1"/>
  <c r="H559" i="2"/>
  <c r="J538" i="4"/>
  <c r="J521" i="4"/>
  <c r="J541" i="4"/>
  <c r="J525" i="4"/>
  <c r="H526" i="3"/>
  <c r="H523" i="3"/>
  <c r="H527" i="3"/>
  <c r="H525" i="3"/>
  <c r="H529" i="3"/>
  <c r="H530" i="3"/>
  <c r="H533" i="3"/>
  <c r="H543" i="3"/>
  <c r="H544" i="3"/>
  <c r="H553" i="3"/>
  <c r="H524" i="3"/>
  <c r="N25" i="5" s="1"/>
  <c r="N27" i="5" s="1"/>
  <c r="H567" i="3"/>
  <c r="H541" i="3"/>
  <c r="H545" i="3"/>
  <c r="H546" i="3"/>
  <c r="H547" i="3"/>
  <c r="H549" i="3"/>
  <c r="H550" i="3"/>
  <c r="H565" i="3"/>
  <c r="H566" i="3"/>
  <c r="H561" i="3"/>
  <c r="H563" i="3"/>
  <c r="H564" i="3"/>
  <c r="H535" i="3"/>
  <c r="H531" i="3"/>
  <c r="H556" i="3"/>
  <c r="H537" i="3"/>
  <c r="H558" i="3"/>
  <c r="H534" i="3"/>
  <c r="H552" i="3"/>
  <c r="H555" i="3"/>
  <c r="H551" i="3"/>
  <c r="H536" i="3"/>
  <c r="H557" i="3"/>
  <c r="H532" i="3"/>
  <c r="H562" i="3"/>
  <c r="H548" i="3"/>
  <c r="H554" i="3"/>
  <c r="H528" i="3"/>
  <c r="H559" i="3"/>
  <c r="H540" i="3"/>
  <c r="H542" i="3"/>
  <c r="H539" i="3"/>
  <c r="H560" i="3"/>
  <c r="H538" i="3"/>
  <c r="J546" i="4"/>
  <c r="J566" i="4"/>
  <c r="J567" i="4"/>
  <c r="J550" i="4"/>
  <c r="J536" i="4"/>
  <c r="J520" i="4"/>
  <c r="J563" i="4"/>
  <c r="J532" i="4"/>
  <c r="J572" i="4"/>
  <c r="J569" i="4"/>
  <c r="J515" i="4"/>
  <c r="J535" i="4"/>
  <c r="J555" i="4"/>
  <c r="J537" i="4"/>
  <c r="J524" i="4"/>
  <c r="J544" i="4"/>
  <c r="J531" i="4"/>
  <c r="J534" i="4"/>
  <c r="J545" i="4"/>
  <c r="J556" i="4"/>
  <c r="G524" i="3"/>
  <c r="G25" i="5" s="1"/>
  <c r="G525" i="3"/>
  <c r="G51" i="5" s="1"/>
  <c r="G527" i="3"/>
  <c r="G77" i="5" s="1"/>
  <c r="G547" i="3"/>
  <c r="G337" i="5" s="1"/>
  <c r="G567" i="3"/>
  <c r="G596" i="5" s="1"/>
  <c r="G549" i="3"/>
  <c r="G363" i="5" s="1"/>
  <c r="G530" i="3"/>
  <c r="G116" i="5" s="1"/>
  <c r="G531" i="3"/>
  <c r="G129" i="5" s="1"/>
  <c r="G552" i="3"/>
  <c r="G534" i="3"/>
  <c r="G168" i="5" s="1"/>
  <c r="G536" i="3"/>
  <c r="G194" i="5" s="1"/>
  <c r="G537" i="3"/>
  <c r="G207" i="5" s="1"/>
  <c r="G538" i="3"/>
  <c r="G220" i="5" s="1"/>
  <c r="G539" i="3"/>
  <c r="G233" i="5" s="1"/>
  <c r="G560" i="3"/>
  <c r="G505" i="5" s="1"/>
  <c r="G561" i="3"/>
  <c r="G518" i="5" s="1"/>
  <c r="G543" i="3"/>
  <c r="G285" i="5" s="1"/>
  <c r="G545" i="3"/>
  <c r="G311" i="5" s="1"/>
  <c r="G528" i="3"/>
  <c r="G90" i="5" s="1"/>
  <c r="G548" i="3"/>
  <c r="G350" i="5" s="1"/>
  <c r="G523" i="3"/>
  <c r="G12" i="5" s="1"/>
  <c r="G529" i="3"/>
  <c r="G103" i="5" s="1"/>
  <c r="G550" i="3"/>
  <c r="G375" i="5" s="1"/>
  <c r="G551" i="3"/>
  <c r="G388" i="5" s="1"/>
  <c r="G553" i="3"/>
  <c r="G414" i="5" s="1"/>
  <c r="G554" i="3"/>
  <c r="G427" i="5" s="1"/>
  <c r="G535" i="3"/>
  <c r="G181" i="5" s="1"/>
  <c r="G556" i="3"/>
  <c r="G453" i="5" s="1"/>
  <c r="G558" i="3"/>
  <c r="G479" i="5" s="1"/>
  <c r="G540" i="3"/>
  <c r="G246" i="5" s="1"/>
  <c r="G542" i="3"/>
  <c r="G272" i="5" s="1"/>
  <c r="G544" i="3"/>
  <c r="G298" i="5" s="1"/>
  <c r="G526" i="3"/>
  <c r="G64" i="5" s="1"/>
  <c r="G532" i="3"/>
  <c r="G142" i="5" s="1"/>
  <c r="G555" i="3"/>
  <c r="G440" i="5" s="1"/>
  <c r="G557" i="3"/>
  <c r="G466" i="5" s="1"/>
  <c r="G559" i="3"/>
  <c r="G492" i="5" s="1"/>
  <c r="G541" i="3"/>
  <c r="G259" i="5" s="1"/>
  <c r="G563" i="3"/>
  <c r="G544" i="5" s="1"/>
  <c r="G565" i="3"/>
  <c r="G570" i="5" s="1"/>
  <c r="G566" i="3"/>
  <c r="G583" i="5" s="1"/>
  <c r="G533" i="3"/>
  <c r="G155" i="5" s="1"/>
  <c r="G562" i="3"/>
  <c r="G531" i="5" s="1"/>
  <c r="G564" i="3"/>
  <c r="G557" i="5" s="1"/>
  <c r="G546" i="3"/>
  <c r="G324" i="5" s="1"/>
  <c r="I81" i="7"/>
  <c r="DN443" i="3"/>
  <c r="J443" i="3" s="1"/>
  <c r="DN463" i="3"/>
  <c r="J463" i="3" s="1"/>
  <c r="DN482" i="3"/>
  <c r="J482" i="3" s="1"/>
  <c r="DN317" i="3"/>
  <c r="J317" i="3" s="1"/>
  <c r="DN337" i="3"/>
  <c r="J337" i="3" s="1"/>
  <c r="DN377" i="3"/>
  <c r="J377" i="3" s="1"/>
  <c r="DN344" i="3"/>
  <c r="J344" i="3" s="1"/>
  <c r="DN484" i="3"/>
  <c r="J484" i="3" s="1"/>
  <c r="DN291" i="3"/>
  <c r="J291" i="3" s="1"/>
  <c r="DN331" i="3"/>
  <c r="J331" i="3" s="1"/>
  <c r="DN371" i="3"/>
  <c r="J371" i="3" s="1"/>
  <c r="DN411" i="3"/>
  <c r="J411" i="3" s="1"/>
  <c r="DN431" i="3"/>
  <c r="J431" i="3" s="1"/>
  <c r="DN511" i="3"/>
  <c r="J511" i="3" s="1"/>
  <c r="DN462" i="3"/>
  <c r="J462" i="3" s="1"/>
  <c r="DN349" i="3"/>
  <c r="J349" i="3" s="1"/>
  <c r="DN412" i="3"/>
  <c r="J412" i="3" s="1"/>
  <c r="DN492" i="3"/>
  <c r="J492" i="3" s="1"/>
  <c r="DN419" i="3"/>
  <c r="J419" i="3" s="1"/>
  <c r="DN499" i="3"/>
  <c r="J499" i="3" s="1"/>
  <c r="DN312" i="3"/>
  <c r="J312" i="3" s="1"/>
  <c r="DN446" i="3"/>
  <c r="J446" i="3" s="1"/>
  <c r="DN486" i="3"/>
  <c r="J486" i="3" s="1"/>
  <c r="DN506" i="3"/>
  <c r="J506" i="3" s="1"/>
  <c r="DN502" i="3"/>
  <c r="J502" i="3" s="1"/>
  <c r="DN405" i="3"/>
  <c r="J405" i="3" s="1"/>
  <c r="DN345" i="3"/>
  <c r="J345" i="3" s="1"/>
  <c r="DN420" i="3"/>
  <c r="J420" i="3" s="1"/>
  <c r="DN460" i="3"/>
  <c r="J460" i="3" s="1"/>
  <c r="DN448" i="3"/>
  <c r="J448" i="3" s="1"/>
  <c r="DN315" i="3"/>
  <c r="J315" i="3" s="1"/>
  <c r="DN339" i="3"/>
  <c r="J339" i="3" s="1"/>
  <c r="DN307" i="3"/>
  <c r="J307" i="3" s="1"/>
  <c r="DN347" i="3"/>
  <c r="J347" i="3" s="1"/>
  <c r="DN367" i="3"/>
  <c r="J367" i="3" s="1"/>
  <c r="DN487" i="3"/>
  <c r="J487" i="3" s="1"/>
  <c r="DN507" i="3"/>
  <c r="J507" i="3" s="1"/>
  <c r="DN341" i="3"/>
  <c r="J341" i="3" s="1"/>
  <c r="DN476" i="3"/>
  <c r="J476" i="3" s="1"/>
  <c r="DN438" i="3"/>
  <c r="J438" i="3" s="1"/>
  <c r="DN458" i="3"/>
  <c r="J458" i="3" s="1"/>
  <c r="DN319" i="3"/>
  <c r="J319" i="3" s="1"/>
  <c r="DN494" i="3"/>
  <c r="J494" i="3" s="1"/>
  <c r="I108" i="7"/>
  <c r="J49" i="14"/>
  <c r="J98" i="7"/>
  <c r="I98" i="23"/>
  <c r="I95" i="23" s="1"/>
  <c r="J87" i="14"/>
  <c r="J125" i="7"/>
  <c r="I125" i="23"/>
  <c r="J89" i="14"/>
  <c r="J127" i="7"/>
  <c r="I127" i="23"/>
  <c r="J88" i="14"/>
  <c r="J36" i="3"/>
  <c r="J126" i="7"/>
  <c r="I126" i="23"/>
  <c r="DN50" i="3"/>
  <c r="J50" i="3" s="1"/>
  <c r="J128" i="7"/>
  <c r="I128" i="23"/>
  <c r="DN57" i="3"/>
  <c r="J57" i="3" s="1"/>
  <c r="J99" i="14"/>
  <c r="DN65" i="3"/>
  <c r="J65" i="3" s="1"/>
  <c r="J100" i="14"/>
  <c r="J84" i="14"/>
  <c r="J85" i="14"/>
  <c r="J129" i="7"/>
  <c r="I129" i="23"/>
  <c r="DN72" i="3"/>
  <c r="J72" i="3" s="1"/>
  <c r="J75" i="14"/>
  <c r="I135" i="7"/>
  <c r="J101" i="14"/>
  <c r="J26" i="3"/>
  <c r="DN59" i="3"/>
  <c r="J59" i="3" s="1"/>
  <c r="J76" i="14"/>
  <c r="I136" i="7"/>
  <c r="J102" i="14"/>
  <c r="J124" i="7"/>
  <c r="I124" i="23"/>
  <c r="J130" i="7"/>
  <c r="I130" i="23"/>
  <c r="DN64" i="3"/>
  <c r="J64" i="3" s="1"/>
  <c r="J25" i="3"/>
  <c r="J77" i="14"/>
  <c r="I137" i="7"/>
  <c r="J31" i="3"/>
  <c r="J40" i="3"/>
  <c r="DN53" i="3"/>
  <c r="J53" i="3" s="1"/>
  <c r="J78" i="14"/>
  <c r="I138" i="7"/>
  <c r="J41" i="3"/>
  <c r="DN55" i="3"/>
  <c r="J55" i="3" s="1"/>
  <c r="DN17" i="3"/>
  <c r="J17" i="3" s="1"/>
  <c r="J97" i="14"/>
  <c r="J98" i="14"/>
  <c r="J45" i="3"/>
  <c r="J27" i="3"/>
  <c r="J47" i="3"/>
  <c r="DN60" i="3"/>
  <c r="J60" i="3" s="1"/>
  <c r="J82" i="14"/>
  <c r="J35" i="3"/>
  <c r="J96" i="14"/>
  <c r="DN138" i="3"/>
  <c r="J138" i="3" s="1"/>
  <c r="J83" i="14"/>
  <c r="B2" i="2"/>
  <c r="B2" i="23"/>
  <c r="J42" i="4"/>
  <c r="J22" i="4"/>
  <c r="J519" i="4"/>
  <c r="J539" i="4"/>
  <c r="J579" i="4"/>
  <c r="J552" i="4"/>
  <c r="J30" i="4"/>
  <c r="J19" i="4"/>
  <c r="J39" i="4"/>
  <c r="J564" i="4"/>
  <c r="J513" i="4"/>
  <c r="J527" i="4"/>
  <c r="J44" i="4"/>
  <c r="F19" i="19"/>
  <c r="H127" i="1" s="1"/>
  <c r="J50" i="4"/>
  <c r="I147" i="16"/>
  <c r="J147" i="16"/>
  <c r="J94" i="14"/>
  <c r="J95" i="14"/>
  <c r="DN69" i="3"/>
  <c r="J69" i="3" s="1"/>
  <c r="I132" i="7"/>
  <c r="J72" i="14"/>
  <c r="I134" i="7"/>
  <c r="J74" i="14"/>
  <c r="G79" i="17" s="1"/>
  <c r="F34" i="18" s="1"/>
  <c r="I133" i="7"/>
  <c r="J73" i="14"/>
  <c r="I131" i="7"/>
  <c r="J71" i="14"/>
  <c r="J560" i="4"/>
  <c r="J523" i="4"/>
  <c r="J543" i="4"/>
  <c r="J583" i="4"/>
  <c r="J529" i="4"/>
  <c r="J549" i="4"/>
  <c r="J589" i="4"/>
  <c r="J542" i="4"/>
  <c r="J571" i="4"/>
  <c r="J514" i="4"/>
  <c r="J554" i="4"/>
  <c r="J517" i="4"/>
  <c r="J518" i="4"/>
  <c r="J582" i="4"/>
  <c r="J588" i="4"/>
  <c r="J565" i="4"/>
  <c r="J568" i="4"/>
  <c r="J540" i="4"/>
  <c r="J547" i="4"/>
  <c r="J528" i="4"/>
  <c r="J530" i="4"/>
  <c r="J562" i="4"/>
  <c r="J533" i="4"/>
  <c r="J553" i="4"/>
  <c r="J585" i="4"/>
  <c r="J548" i="4"/>
  <c r="J551" i="4"/>
  <c r="J557" i="4"/>
  <c r="J516" i="4"/>
  <c r="J45" i="4"/>
  <c r="J14" i="4"/>
  <c r="J34" i="4"/>
  <c r="J20" i="4"/>
  <c r="J47" i="4"/>
  <c r="J52" i="4"/>
  <c r="J38" i="4"/>
  <c r="J21" i="4"/>
  <c r="J11" i="4"/>
  <c r="J51" i="4"/>
  <c r="J27" i="4"/>
  <c r="J36" i="4"/>
  <c r="J28" i="4"/>
  <c r="J48" i="4"/>
  <c r="J37" i="4"/>
  <c r="J29" i="4"/>
  <c r="J15" i="4"/>
  <c r="J31" i="4"/>
  <c r="G39" i="17"/>
  <c r="F52" i="18" s="1"/>
  <c r="N54" i="15"/>
  <c r="L53" i="15"/>
  <c r="A26" i="22" s="1"/>
  <c r="H61" i="7"/>
  <c r="J261" i="3"/>
  <c r="J158" i="3"/>
  <c r="J211" i="3"/>
  <c r="J216" i="3"/>
  <c r="J201" i="3"/>
  <c r="J209" i="3"/>
  <c r="J101" i="3"/>
  <c r="J121" i="3"/>
  <c r="J303" i="3"/>
  <c r="J313" i="3"/>
  <c r="J470" i="3"/>
  <c r="J480" i="3"/>
  <c r="J329" i="3"/>
  <c r="J378" i="3"/>
  <c r="J398" i="3"/>
  <c r="J23" i="3"/>
  <c r="J28" i="3"/>
  <c r="J33" i="3"/>
  <c r="J43" i="3"/>
  <c r="J442" i="3"/>
  <c r="J447" i="3"/>
  <c r="J204" i="3"/>
  <c r="J88" i="3"/>
  <c r="J379" i="3"/>
  <c r="J384" i="3"/>
  <c r="J389" i="3"/>
  <c r="J399" i="3"/>
  <c r="J161" i="3"/>
  <c r="J224" i="3"/>
  <c r="J109" i="3"/>
  <c r="J311" i="3"/>
  <c r="J483" i="3"/>
  <c r="J498" i="3"/>
  <c r="J503" i="3"/>
  <c r="J254" i="3"/>
  <c r="J29" i="3"/>
  <c r="J266" i="3"/>
  <c r="J159" i="3"/>
  <c r="J415" i="3"/>
  <c r="J434" i="3"/>
  <c r="J439" i="3"/>
  <c r="J454" i="3"/>
  <c r="J391" i="3"/>
  <c r="J401" i="3"/>
  <c r="J89" i="3"/>
  <c r="J149" i="3"/>
  <c r="J168" i="3"/>
  <c r="J394" i="3"/>
  <c r="J19" i="3"/>
  <c r="J24" i="3"/>
  <c r="J111" i="3"/>
  <c r="J360" i="3"/>
  <c r="J365" i="3"/>
  <c r="J409" i="3"/>
  <c r="J428" i="3"/>
  <c r="J495" i="3"/>
  <c r="J510" i="3"/>
  <c r="J515" i="3"/>
  <c r="J302" i="3"/>
  <c r="J151" i="3"/>
  <c r="J342" i="3"/>
  <c r="J236" i="3"/>
  <c r="J274" i="3"/>
  <c r="J366" i="3"/>
  <c r="J279" i="3"/>
  <c r="J108" i="3"/>
  <c r="J56" i="3"/>
  <c r="J61" i="3"/>
  <c r="J66" i="3"/>
  <c r="J71" i="3"/>
  <c r="J99" i="3"/>
  <c r="J118" i="3"/>
  <c r="J218" i="3"/>
  <c r="J333" i="3"/>
  <c r="J416" i="3"/>
  <c r="J289" i="3"/>
  <c r="J304" i="3"/>
  <c r="J309" i="3"/>
  <c r="J387" i="3"/>
  <c r="J397" i="3"/>
  <c r="J435" i="3"/>
  <c r="J468" i="3"/>
  <c r="J478" i="3"/>
  <c r="J271" i="3"/>
  <c r="J338" i="3"/>
  <c r="J353" i="3"/>
  <c r="J363" i="3"/>
  <c r="J368" i="3"/>
  <c r="J373" i="3"/>
  <c r="J464" i="3"/>
  <c r="J269" i="3"/>
  <c r="J74" i="3"/>
  <c r="J278" i="3"/>
  <c r="J67" i="3"/>
  <c r="J238" i="3"/>
  <c r="J393" i="3"/>
  <c r="J436" i="3"/>
  <c r="J455" i="3"/>
  <c r="J139" i="3"/>
  <c r="J229" i="3"/>
  <c r="J234" i="3"/>
  <c r="J320" i="3"/>
  <c r="J325" i="3"/>
  <c r="J359" i="3"/>
  <c r="J369" i="3"/>
  <c r="J408" i="3"/>
  <c r="J451" i="3"/>
  <c r="J58" i="3"/>
  <c r="J63" i="3"/>
  <c r="J418" i="3"/>
  <c r="J310" i="3"/>
  <c r="J21" i="3"/>
  <c r="J164" i="3"/>
  <c r="J259" i="3"/>
  <c r="J114" i="3"/>
  <c r="J189" i="3"/>
  <c r="J381" i="3"/>
  <c r="J386" i="3"/>
  <c r="J362" i="3"/>
  <c r="J263" i="3"/>
  <c r="J343" i="3"/>
  <c r="J459" i="3"/>
  <c r="J131" i="3"/>
  <c r="J251" i="3"/>
  <c r="J268" i="3"/>
  <c r="J86" i="3"/>
  <c r="J136" i="3"/>
  <c r="J186" i="3"/>
  <c r="J231" i="3"/>
  <c r="J321" i="3"/>
  <c r="J330" i="3"/>
  <c r="J335" i="3"/>
  <c r="J392" i="3"/>
  <c r="J474" i="3"/>
  <c r="J488" i="3"/>
  <c r="G520" i="3"/>
  <c r="J18" i="3"/>
  <c r="J32" i="3"/>
  <c r="J37" i="3"/>
  <c r="J42" i="3"/>
  <c r="J70" i="3"/>
  <c r="J78" i="3"/>
  <c r="J124" i="3"/>
  <c r="J128" i="3"/>
  <c r="J174" i="3"/>
  <c r="J178" i="3"/>
  <c r="J244" i="3"/>
  <c r="J248" i="3"/>
  <c r="J326" i="3"/>
  <c r="J354" i="3"/>
  <c r="J383" i="3"/>
  <c r="J402" i="3"/>
  <c r="J407" i="3"/>
  <c r="J430" i="3"/>
  <c r="J479" i="3"/>
  <c r="J52" i="3"/>
  <c r="J87" i="3"/>
  <c r="J116" i="3"/>
  <c r="J137" i="3"/>
  <c r="J166" i="3"/>
  <c r="J187" i="3"/>
  <c r="J191" i="3"/>
  <c r="J294" i="3"/>
  <c r="J298" i="3"/>
  <c r="J322" i="3"/>
  <c r="J327" i="3"/>
  <c r="J336" i="3"/>
  <c r="J350" i="3"/>
  <c r="J355" i="3"/>
  <c r="J374" i="3"/>
  <c r="J403" i="3"/>
  <c r="J426" i="3"/>
  <c r="J466" i="3"/>
  <c r="J475" i="3"/>
  <c r="J284" i="3"/>
  <c r="J98" i="3"/>
  <c r="J154" i="3"/>
  <c r="J77" i="3"/>
  <c r="J214" i="3"/>
  <c r="J410" i="3"/>
  <c r="J334" i="3"/>
  <c r="J306" i="3"/>
  <c r="J79" i="3"/>
  <c r="J104" i="3"/>
  <c r="J129" i="3"/>
  <c r="J179" i="3"/>
  <c r="J249" i="3"/>
  <c r="J48" i="3"/>
  <c r="J171" i="3"/>
  <c r="J208" i="3"/>
  <c r="J237" i="3"/>
  <c r="J241" i="3"/>
  <c r="J299" i="3"/>
  <c r="J318" i="3"/>
  <c r="J323" i="3"/>
  <c r="J346" i="3"/>
  <c r="J351" i="3"/>
  <c r="J370" i="3"/>
  <c r="J375" i="3"/>
  <c r="J422" i="3"/>
  <c r="J471" i="3"/>
  <c r="J490" i="3"/>
  <c r="J508" i="3"/>
  <c r="J358" i="3"/>
  <c r="J127" i="3"/>
  <c r="J94" i="3"/>
  <c r="J148" i="3"/>
  <c r="J169" i="3"/>
  <c r="J264" i="3"/>
  <c r="J141" i="3"/>
  <c r="J220" i="3"/>
  <c r="J228" i="3"/>
  <c r="J277" i="3"/>
  <c r="J20" i="3"/>
  <c r="J34" i="3"/>
  <c r="J39" i="3"/>
  <c r="J44" i="3"/>
  <c r="J84" i="3"/>
  <c r="J117" i="3"/>
  <c r="J134" i="3"/>
  <c r="J163" i="3"/>
  <c r="J184" i="3"/>
  <c r="J188" i="3"/>
  <c r="J221" i="3"/>
  <c r="J258" i="3"/>
  <c r="J328" i="3"/>
  <c r="J361" i="3"/>
  <c r="J385" i="3"/>
  <c r="J404" i="3"/>
  <c r="J427" i="3"/>
  <c r="J467" i="3"/>
  <c r="J504" i="3"/>
  <c r="J288" i="3"/>
  <c r="J144" i="3"/>
  <c r="J239" i="3"/>
  <c r="J119" i="3"/>
  <c r="J198" i="3"/>
  <c r="J382" i="3"/>
  <c r="J406" i="3"/>
  <c r="J91" i="3"/>
  <c r="J199" i="3"/>
  <c r="J194" i="3"/>
  <c r="J219" i="3"/>
  <c r="J286" i="3"/>
  <c r="J49" i="3"/>
  <c r="J287" i="3"/>
  <c r="J314" i="3"/>
  <c r="J390" i="3"/>
  <c r="J395" i="3"/>
  <c r="J414" i="3"/>
  <c r="J432" i="3"/>
  <c r="J206" i="3"/>
  <c r="J30" i="3"/>
  <c r="J68" i="3"/>
  <c r="J305" i="3"/>
  <c r="J352" i="3"/>
  <c r="J357" i="3"/>
  <c r="J376" i="3"/>
  <c r="J423" i="3"/>
  <c r="J450" i="3"/>
  <c r="J491" i="3"/>
  <c r="J514" i="3"/>
  <c r="J177" i="3"/>
  <c r="J181" i="3"/>
  <c r="J213" i="3"/>
  <c r="J217" i="3"/>
  <c r="J170" i="3"/>
  <c r="J348" i="3"/>
  <c r="J281" i="3"/>
  <c r="J256" i="3"/>
  <c r="J106" i="3"/>
  <c r="J167" i="3"/>
  <c r="J270" i="3"/>
  <c r="J120" i="3"/>
  <c r="J156" i="3"/>
  <c r="J227" i="3"/>
  <c r="J308" i="3"/>
  <c r="J424" i="3"/>
  <c r="J81" i="3"/>
  <c r="J113" i="3"/>
  <c r="J267" i="3"/>
  <c r="J388" i="3"/>
  <c r="J103" i="3"/>
  <c r="J110" i="3"/>
  <c r="J153" i="3"/>
  <c r="J160" i="3"/>
  <c r="J203" i="3"/>
  <c r="J210" i="3"/>
  <c r="J253" i="3"/>
  <c r="J260" i="3"/>
  <c r="J22" i="3"/>
  <c r="J62" i="3"/>
  <c r="J96" i="3"/>
  <c r="J146" i="3"/>
  <c r="J196" i="3"/>
  <c r="J246" i="3"/>
  <c r="J296" i="3"/>
  <c r="J300" i="3"/>
  <c r="J340" i="3"/>
  <c r="J380" i="3"/>
  <c r="J107" i="3"/>
  <c r="J157" i="3"/>
  <c r="J207" i="3"/>
  <c r="J257" i="3"/>
  <c r="J93" i="3"/>
  <c r="J100" i="3"/>
  <c r="J143" i="3"/>
  <c r="J150" i="3"/>
  <c r="J193" i="3"/>
  <c r="J200" i="3"/>
  <c r="J243" i="3"/>
  <c r="J250" i="3"/>
  <c r="J293" i="3"/>
  <c r="J472" i="3"/>
  <c r="J512" i="3"/>
  <c r="J54" i="3"/>
  <c r="J301" i="3"/>
  <c r="J332" i="3"/>
  <c r="J372" i="3"/>
  <c r="I94" i="7"/>
  <c r="J147" i="3"/>
  <c r="J83" i="3"/>
  <c r="J90" i="3"/>
  <c r="J133" i="3"/>
  <c r="J140" i="3"/>
  <c r="J183" i="3"/>
  <c r="J190" i="3"/>
  <c r="J233" i="3"/>
  <c r="J240" i="3"/>
  <c r="J283" i="3"/>
  <c r="J290" i="3"/>
  <c r="J46" i="3"/>
  <c r="J76" i="3"/>
  <c r="J126" i="3"/>
  <c r="J176" i="3"/>
  <c r="J226" i="3"/>
  <c r="J276" i="3"/>
  <c r="J324" i="3"/>
  <c r="J364" i="3"/>
  <c r="J400" i="3"/>
  <c r="J456" i="3"/>
  <c r="J452" i="3"/>
  <c r="J500" i="3"/>
  <c r="J97" i="3"/>
  <c r="J197" i="3"/>
  <c r="J247" i="3"/>
  <c r="J297" i="3"/>
  <c r="J73" i="3"/>
  <c r="J80" i="3"/>
  <c r="J123" i="3"/>
  <c r="J130" i="3"/>
  <c r="J173" i="3"/>
  <c r="J180" i="3"/>
  <c r="J223" i="3"/>
  <c r="J230" i="3"/>
  <c r="J273" i="3"/>
  <c r="J280" i="3"/>
  <c r="J396" i="3"/>
  <c r="J444" i="3"/>
  <c r="J496" i="3"/>
  <c r="J38" i="3"/>
  <c r="J316" i="3"/>
  <c r="J356" i="3"/>
  <c r="J440" i="3"/>
  <c r="J413" i="3"/>
  <c r="J417" i="3"/>
  <c r="J421" i="3"/>
  <c r="J425" i="3"/>
  <c r="J429" i="3"/>
  <c r="J433" i="3"/>
  <c r="J437" i="3"/>
  <c r="J441" i="3"/>
  <c r="J445" i="3"/>
  <c r="J449" i="3"/>
  <c r="J453" i="3"/>
  <c r="J457" i="3"/>
  <c r="J461" i="3"/>
  <c r="J465" i="3"/>
  <c r="J469" i="3"/>
  <c r="J473" i="3"/>
  <c r="J477" i="3"/>
  <c r="J481" i="3"/>
  <c r="J485" i="3"/>
  <c r="J489" i="3"/>
  <c r="J493" i="3"/>
  <c r="J497" i="3"/>
  <c r="J501" i="3"/>
  <c r="J505" i="3"/>
  <c r="J509" i="3"/>
  <c r="J513" i="3"/>
  <c r="J75" i="3"/>
  <c r="J85" i="3"/>
  <c r="J95" i="3"/>
  <c r="J105" i="3"/>
  <c r="J115" i="3"/>
  <c r="J125" i="3"/>
  <c r="J135" i="3"/>
  <c r="J145" i="3"/>
  <c r="J155" i="3"/>
  <c r="J165" i="3"/>
  <c r="J175" i="3"/>
  <c r="J185" i="3"/>
  <c r="J195" i="3"/>
  <c r="J205" i="3"/>
  <c r="J215" i="3"/>
  <c r="J225" i="3"/>
  <c r="J235" i="3"/>
  <c r="J245" i="3"/>
  <c r="J255" i="3"/>
  <c r="J265" i="3"/>
  <c r="J275" i="3"/>
  <c r="J285" i="3"/>
  <c r="J295" i="3"/>
  <c r="AP516" i="3"/>
  <c r="J39" i="14" s="1"/>
  <c r="BW516" i="3"/>
  <c r="J82" i="3"/>
  <c r="J92" i="3"/>
  <c r="J102" i="3"/>
  <c r="J112" i="3"/>
  <c r="J122" i="3"/>
  <c r="J132" i="3"/>
  <c r="J142" i="3"/>
  <c r="J152" i="3"/>
  <c r="J162" i="3"/>
  <c r="J172" i="3"/>
  <c r="J182" i="3"/>
  <c r="J192" i="3"/>
  <c r="J202" i="3"/>
  <c r="J212" i="3"/>
  <c r="J222" i="3"/>
  <c r="J232" i="3"/>
  <c r="J242" i="3"/>
  <c r="J252" i="3"/>
  <c r="J262" i="3"/>
  <c r="J272" i="3"/>
  <c r="J282" i="3"/>
  <c r="J292" i="3"/>
  <c r="J16" i="3"/>
  <c r="B109" i="1"/>
  <c r="I16" i="7"/>
  <c r="J16" i="13"/>
  <c r="C45" i="1"/>
  <c r="C98" i="1"/>
  <c r="B69" i="20" s="1"/>
  <c r="E28" i="19"/>
  <c r="B10" i="1"/>
  <c r="F10" i="1"/>
  <c r="O25" i="1"/>
  <c r="B12" i="1"/>
  <c r="B100" i="1"/>
  <c r="B73" i="20" s="1"/>
  <c r="B16" i="1"/>
  <c r="G107" i="1"/>
  <c r="B1" i="1"/>
  <c r="B13" i="1"/>
  <c r="G74" i="1"/>
  <c r="C101" i="1"/>
  <c r="B75" i="20" s="1"/>
  <c r="L88" i="15"/>
  <c r="M85" i="15" s="1"/>
  <c r="H71" i="20" s="1"/>
  <c r="B24" i="1"/>
  <c r="C102" i="1"/>
  <c r="B77" i="20" s="1"/>
  <c r="D26" i="19"/>
  <c r="J99" i="1"/>
  <c r="G46" i="1"/>
  <c r="D44" i="19"/>
  <c r="G47" i="1"/>
  <c r="D62" i="19"/>
  <c r="B14" i="1"/>
  <c r="O31" i="1"/>
  <c r="D80" i="19"/>
  <c r="G520" i="2"/>
  <c r="P10" i="7"/>
  <c r="P11" i="7" s="1"/>
  <c r="S516" i="2"/>
  <c r="J516" i="2"/>
  <c r="O21" i="1"/>
  <c r="C99" i="1"/>
  <c r="B71" i="20" s="1"/>
  <c r="L1" i="19"/>
  <c r="G4" i="18"/>
  <c r="M4" i="14"/>
  <c r="E1" i="11"/>
  <c r="B58" i="11" s="1"/>
  <c r="H4" i="17"/>
  <c r="N4" i="13"/>
  <c r="N1" i="12"/>
  <c r="O3" i="16"/>
  <c r="K1" i="7"/>
  <c r="F6" i="7" s="1"/>
  <c r="P1" i="15"/>
  <c r="W101" i="15" s="1"/>
  <c r="A3" i="4"/>
  <c r="F12" i="1"/>
  <c r="B15" i="1"/>
  <c r="B20" i="1"/>
  <c r="G45" i="1"/>
  <c r="O24" i="1"/>
  <c r="O28" i="1"/>
  <c r="O29" i="1"/>
  <c r="C31" i="1"/>
  <c r="F33" i="1"/>
  <c r="C2" i="20"/>
  <c r="B4" i="19"/>
  <c r="B2" i="18"/>
  <c r="B2" i="17"/>
  <c r="B2" i="16"/>
  <c r="B2" i="13"/>
  <c r="B2" i="15"/>
  <c r="B2" i="14"/>
  <c r="C2" i="4"/>
  <c r="B2" i="3"/>
  <c r="F16" i="1"/>
  <c r="F43" i="1"/>
  <c r="B11" i="1"/>
  <c r="O23" i="1"/>
  <c r="C64" i="1"/>
  <c r="O27" i="1"/>
  <c r="C76" i="1"/>
  <c r="C86" i="1"/>
  <c r="C32" i="1"/>
  <c r="P39" i="1"/>
  <c r="G33" i="1"/>
  <c r="C107" i="1"/>
  <c r="C82" i="20" s="1"/>
  <c r="G82" i="20"/>
  <c r="C71" i="19"/>
  <c r="C75" i="19"/>
  <c r="C73" i="19"/>
  <c r="C39" i="19"/>
  <c r="C37" i="19"/>
  <c r="C21" i="19"/>
  <c r="C19" i="19"/>
  <c r="C35" i="19"/>
  <c r="C17" i="19"/>
  <c r="C57" i="19"/>
  <c r="C55" i="19"/>
  <c r="C53" i="19"/>
  <c r="J9" i="13"/>
  <c r="I11" i="7"/>
  <c r="I11" i="23" s="1"/>
  <c r="J15" i="7"/>
  <c r="J13" i="13"/>
  <c r="I19" i="7"/>
  <c r="I19" i="23" s="1"/>
  <c r="J20" i="13"/>
  <c r="I23" i="7"/>
  <c r="I23" i="23" s="1"/>
  <c r="J24" i="13"/>
  <c r="I27" i="7"/>
  <c r="I27" i="23" s="1"/>
  <c r="J28" i="13"/>
  <c r="I31" i="7"/>
  <c r="I31" i="23" s="1"/>
  <c r="J35" i="13"/>
  <c r="I35" i="7"/>
  <c r="I35" i="23" s="1"/>
  <c r="J39" i="13"/>
  <c r="I39" i="7"/>
  <c r="I39" i="23" s="1"/>
  <c r="J46" i="13"/>
  <c r="I43" i="7"/>
  <c r="I43" i="23" s="1"/>
  <c r="J50" i="13"/>
  <c r="I47" i="7"/>
  <c r="I47" i="23" s="1"/>
  <c r="J57" i="13"/>
  <c r="I51" i="7"/>
  <c r="I51" i="23" s="1"/>
  <c r="J62" i="13"/>
  <c r="I56" i="7"/>
  <c r="I56" i="23" s="1"/>
  <c r="J14" i="13"/>
  <c r="G50" i="17" s="1"/>
  <c r="G13" i="17" s="1"/>
  <c r="I20" i="7"/>
  <c r="I20" i="23" s="1"/>
  <c r="J21" i="13"/>
  <c r="I24" i="7"/>
  <c r="I24" i="23" s="1"/>
  <c r="J25" i="13"/>
  <c r="I28" i="7"/>
  <c r="I28" i="23" s="1"/>
  <c r="J32" i="13"/>
  <c r="I32" i="7"/>
  <c r="I32" i="23" s="1"/>
  <c r="J36" i="13"/>
  <c r="I36" i="7"/>
  <c r="I36" i="23" s="1"/>
  <c r="J40" i="13"/>
  <c r="I40" i="7"/>
  <c r="I40" i="23" s="1"/>
  <c r="J47" i="13"/>
  <c r="G57" i="17" s="1"/>
  <c r="I44" i="7"/>
  <c r="I44" i="23" s="1"/>
  <c r="J51" i="13"/>
  <c r="I48" i="7"/>
  <c r="I48" i="23" s="1"/>
  <c r="J58" i="13"/>
  <c r="I52" i="7"/>
  <c r="I52" i="23" s="1"/>
  <c r="J63" i="13"/>
  <c r="I57" i="7"/>
  <c r="I57" i="23" s="1"/>
  <c r="J13" i="7"/>
  <c r="J11" i="13"/>
  <c r="I17" i="7"/>
  <c r="I17" i="23" s="1"/>
  <c r="J15" i="13"/>
  <c r="I21" i="7"/>
  <c r="I21" i="23" s="1"/>
  <c r="J22" i="13"/>
  <c r="I25" i="7"/>
  <c r="I25" i="23" s="1"/>
  <c r="J26" i="13"/>
  <c r="I29" i="7"/>
  <c r="I29" i="23" s="1"/>
  <c r="J33" i="13"/>
  <c r="I33" i="7"/>
  <c r="I33" i="23" s="1"/>
  <c r="J37" i="13"/>
  <c r="I37" i="7"/>
  <c r="I37" i="23" s="1"/>
  <c r="J44" i="13"/>
  <c r="I41" i="7"/>
  <c r="I41" i="23" s="1"/>
  <c r="J48" i="13"/>
  <c r="I45" i="7"/>
  <c r="I45" i="23" s="1"/>
  <c r="J52" i="13"/>
  <c r="I49" i="7"/>
  <c r="I49" i="23" s="1"/>
  <c r="J60" i="13"/>
  <c r="I54" i="7"/>
  <c r="I54" i="23" s="1"/>
  <c r="J64" i="13"/>
  <c r="I58" i="7"/>
  <c r="I58" i="23" s="1"/>
  <c r="J8" i="13"/>
  <c r="I10" i="7"/>
  <c r="I10" i="23" s="1"/>
  <c r="J14" i="7"/>
  <c r="J12" i="13"/>
  <c r="I18" i="7"/>
  <c r="I18" i="23" s="1"/>
  <c r="J23" i="13"/>
  <c r="I26" i="7"/>
  <c r="I26" i="23" s="1"/>
  <c r="J27" i="13"/>
  <c r="I30" i="7"/>
  <c r="I30" i="23" s="1"/>
  <c r="J34" i="13"/>
  <c r="I34" i="7"/>
  <c r="I34" i="23" s="1"/>
  <c r="J38" i="13"/>
  <c r="I38" i="7"/>
  <c r="I38" i="23" s="1"/>
  <c r="J45" i="13"/>
  <c r="I42" i="7"/>
  <c r="I42" i="23" s="1"/>
  <c r="J49" i="13"/>
  <c r="I46" i="7"/>
  <c r="I46" i="23" s="1"/>
  <c r="J56" i="13"/>
  <c r="I50" i="7"/>
  <c r="I50" i="23" s="1"/>
  <c r="J61" i="13"/>
  <c r="I55" i="7"/>
  <c r="I55" i="23" s="1"/>
  <c r="J65" i="13"/>
  <c r="I59" i="7"/>
  <c r="I59" i="23" s="1"/>
  <c r="I142" i="7"/>
  <c r="I142" i="23" s="1"/>
  <c r="I146" i="7"/>
  <c r="I146" i="23" s="1"/>
  <c r="I150" i="7"/>
  <c r="I150" i="23" s="1"/>
  <c r="I154" i="7"/>
  <c r="I154" i="23" s="1"/>
  <c r="J107" i="14"/>
  <c r="I158" i="7"/>
  <c r="I158" i="23" s="1"/>
  <c r="J111" i="14"/>
  <c r="I162" i="7"/>
  <c r="I162" i="23" s="1"/>
  <c r="E93" i="19"/>
  <c r="J13" i="14"/>
  <c r="I67" i="7"/>
  <c r="I67" i="23" s="1"/>
  <c r="J17" i="14"/>
  <c r="G67" i="17" s="1"/>
  <c r="I71" i="7"/>
  <c r="I71" i="23" s="1"/>
  <c r="J21" i="14"/>
  <c r="G73" i="17" s="1"/>
  <c r="I75" i="7"/>
  <c r="I75" i="23" s="1"/>
  <c r="I79" i="7"/>
  <c r="I79" i="23" s="1"/>
  <c r="J25" i="14"/>
  <c r="I100" i="7"/>
  <c r="I100" i="23" s="1"/>
  <c r="J41" i="14"/>
  <c r="I104" i="7"/>
  <c r="I104" i="23" s="1"/>
  <c r="J45" i="14"/>
  <c r="N21" i="5"/>
  <c r="I64" i="7"/>
  <c r="I64" i="23" s="1"/>
  <c r="J10" i="14"/>
  <c r="I68" i="7"/>
  <c r="I68" i="23" s="1"/>
  <c r="J14" i="14"/>
  <c r="J18" i="14"/>
  <c r="I72" i="7"/>
  <c r="I72" i="23" s="1"/>
  <c r="J22" i="14"/>
  <c r="G75" i="17" s="1"/>
  <c r="F32" i="18" s="1"/>
  <c r="I76" i="7"/>
  <c r="I76" i="23" s="1"/>
  <c r="J26" i="14"/>
  <c r="I80" i="7"/>
  <c r="I80" i="23" s="1"/>
  <c r="J91" i="7"/>
  <c r="J96" i="7"/>
  <c r="J42" i="14"/>
  <c r="I101" i="7"/>
  <c r="I101" i="23" s="1"/>
  <c r="J46" i="14"/>
  <c r="I105" i="7"/>
  <c r="I105" i="23" s="1"/>
  <c r="I139" i="7"/>
  <c r="I139" i="23" s="1"/>
  <c r="I147" i="7"/>
  <c r="I147" i="23" s="1"/>
  <c r="I151" i="7"/>
  <c r="I151" i="23" s="1"/>
  <c r="I155" i="7"/>
  <c r="I155" i="23" s="1"/>
  <c r="J108" i="14"/>
  <c r="I159" i="7"/>
  <c r="I159" i="23" s="1"/>
  <c r="J112" i="14"/>
  <c r="I163" i="7"/>
  <c r="I163" i="23" s="1"/>
  <c r="I143" i="7"/>
  <c r="I143" i="23" s="1"/>
  <c r="I157" i="7"/>
  <c r="I157" i="23" s="1"/>
  <c r="E89" i="19"/>
  <c r="J11" i="14"/>
  <c r="I65" i="7"/>
  <c r="I65" i="23" s="1"/>
  <c r="J15" i="14"/>
  <c r="G74" i="17" s="1"/>
  <c r="F31" i="18" s="1"/>
  <c r="I69" i="7"/>
  <c r="I69" i="23" s="1"/>
  <c r="J19" i="14"/>
  <c r="I73" i="7"/>
  <c r="I73" i="23" s="1"/>
  <c r="I77" i="7"/>
  <c r="I77" i="23" s="1"/>
  <c r="J23" i="14"/>
  <c r="J27" i="14"/>
  <c r="J92" i="7"/>
  <c r="J97" i="7"/>
  <c r="J43" i="14"/>
  <c r="I102" i="7"/>
  <c r="I102" i="23" s="1"/>
  <c r="J47" i="14"/>
  <c r="I106" i="7"/>
  <c r="I106" i="23" s="1"/>
  <c r="I140" i="7"/>
  <c r="I140" i="23" s="1"/>
  <c r="I144" i="7"/>
  <c r="I144" i="23" s="1"/>
  <c r="I148" i="7"/>
  <c r="I148" i="23" s="1"/>
  <c r="I152" i="7"/>
  <c r="I152" i="23" s="1"/>
  <c r="I156" i="7"/>
  <c r="I156" i="23" s="1"/>
  <c r="J109" i="14"/>
  <c r="I160" i="7"/>
  <c r="I160" i="23" s="1"/>
  <c r="J113" i="14"/>
  <c r="I164" i="7"/>
  <c r="I164" i="23" s="1"/>
  <c r="E91" i="19"/>
  <c r="J12" i="14"/>
  <c r="I66" i="7"/>
  <c r="I66" i="23" s="1"/>
  <c r="J16" i="14"/>
  <c r="I70" i="7"/>
  <c r="I70" i="23" s="1"/>
  <c r="J20" i="14"/>
  <c r="G69" i="17" s="1"/>
  <c r="F27" i="18" s="1"/>
  <c r="I74" i="7"/>
  <c r="I74" i="23" s="1"/>
  <c r="J24" i="14"/>
  <c r="G68" i="17" s="1"/>
  <c r="I78" i="7"/>
  <c r="I78" i="23" s="1"/>
  <c r="J35" i="14"/>
  <c r="I89" i="23"/>
  <c r="J93" i="7"/>
  <c r="I103" i="7"/>
  <c r="I103" i="23" s="1"/>
  <c r="J44" i="14"/>
  <c r="I107" i="7"/>
  <c r="I107" i="23" s="1"/>
  <c r="J48" i="14"/>
  <c r="I141" i="7"/>
  <c r="I141" i="23" s="1"/>
  <c r="I145" i="7"/>
  <c r="I145" i="23" s="1"/>
  <c r="I149" i="7"/>
  <c r="I149" i="23" s="1"/>
  <c r="I153" i="7"/>
  <c r="I153" i="23" s="1"/>
  <c r="J110" i="14"/>
  <c r="I161" i="7"/>
  <c r="I161" i="23" s="1"/>
  <c r="N8" i="5"/>
  <c r="L37" i="15"/>
  <c r="L9" i="15"/>
  <c r="N3" i="7"/>
  <c r="D82" i="19"/>
  <c r="E64" i="19"/>
  <c r="E100" i="19"/>
  <c r="D100" i="19"/>
  <c r="E82" i="19"/>
  <c r="E46" i="19"/>
  <c r="E30" i="19"/>
  <c r="D28" i="19"/>
  <c r="D46" i="19"/>
  <c r="D64" i="19"/>
  <c r="G38" i="17"/>
  <c r="F51" i="18" s="1"/>
  <c r="F37" i="19"/>
  <c r="F73" i="19"/>
  <c r="F91" i="19"/>
  <c r="C62" i="19"/>
  <c r="C80" i="19"/>
  <c r="L8" i="4" l="1"/>
  <c r="K8" i="4"/>
  <c r="I81" i="23"/>
  <c r="J81" i="7"/>
  <c r="B89" i="19"/>
  <c r="B71" i="19"/>
  <c r="B53" i="19"/>
  <c r="B35" i="19"/>
  <c r="B17" i="19"/>
  <c r="F10" i="15"/>
  <c r="E5" i="4"/>
  <c r="C1014" i="4"/>
  <c r="G4" i="4"/>
  <c r="E4" i="4"/>
  <c r="F9" i="15"/>
  <c r="B10" i="20" s="1"/>
  <c r="G38" i="12"/>
  <c r="B38" i="12"/>
  <c r="E82" i="20"/>
  <c r="B3" i="20"/>
  <c r="B2" i="7"/>
  <c r="C22" i="12"/>
  <c r="B16" i="12"/>
  <c r="B13" i="12"/>
  <c r="P135" i="1"/>
  <c r="G53" i="17"/>
  <c r="B69" i="19"/>
  <c r="B51" i="19"/>
  <c r="B33" i="19"/>
  <c r="B15" i="19"/>
  <c r="F112" i="14"/>
  <c r="F77" i="14"/>
  <c r="F28" i="14"/>
  <c r="F102" i="14"/>
  <c r="F76" i="14"/>
  <c r="F27" i="14"/>
  <c r="F101" i="14"/>
  <c r="F75" i="14"/>
  <c r="F100" i="14"/>
  <c r="F66" i="14"/>
  <c r="F99" i="14"/>
  <c r="F65" i="14"/>
  <c r="F98" i="14"/>
  <c r="F64" i="14"/>
  <c r="F97" i="14"/>
  <c r="F63" i="14"/>
  <c r="F96" i="14"/>
  <c r="F62" i="14"/>
  <c r="F95" i="14"/>
  <c r="F53" i="14"/>
  <c r="F94" i="14"/>
  <c r="F52" i="14"/>
  <c r="F90" i="14"/>
  <c r="F51" i="14"/>
  <c r="F89" i="14"/>
  <c r="F50" i="14"/>
  <c r="F88" i="14"/>
  <c r="F49" i="14"/>
  <c r="F87" i="14"/>
  <c r="F35" i="14"/>
  <c r="F86" i="14"/>
  <c r="F34" i="14"/>
  <c r="F85" i="14"/>
  <c r="F33" i="14"/>
  <c r="F84" i="14"/>
  <c r="F32" i="14"/>
  <c r="F83" i="14"/>
  <c r="F31" i="14"/>
  <c r="F82" i="14"/>
  <c r="F30" i="14"/>
  <c r="F78" i="14"/>
  <c r="F29" i="14"/>
  <c r="F74" i="15"/>
  <c r="B60" i="20" s="1"/>
  <c r="F30" i="15"/>
  <c r="B32" i="20" s="1"/>
  <c r="F15" i="15"/>
  <c r="B16" i="20" s="1"/>
  <c r="F73" i="15"/>
  <c r="B59" i="20" s="1"/>
  <c r="F13" i="15"/>
  <c r="B14" i="20" s="1"/>
  <c r="F34" i="15"/>
  <c r="B36" i="20" s="1"/>
  <c r="F75" i="15"/>
  <c r="B61" i="20" s="1"/>
  <c r="F14" i="15"/>
  <c r="B15" i="20" s="1"/>
  <c r="F76" i="15"/>
  <c r="B62" i="20" s="1"/>
  <c r="F20" i="15"/>
  <c r="B21" i="20" s="1"/>
  <c r="F31" i="15"/>
  <c r="B33" i="20" s="1"/>
  <c r="F77" i="15"/>
  <c r="B63" i="20" s="1"/>
  <c r="F16" i="15"/>
  <c r="B17" i="20" s="1"/>
  <c r="F18" i="15"/>
  <c r="B19" i="20" s="1"/>
  <c r="F19" i="15"/>
  <c r="B20" i="20" s="1"/>
  <c r="F63" i="15"/>
  <c r="B48" i="20" s="1"/>
  <c r="F62" i="15"/>
  <c r="B47" i="20" s="1"/>
  <c r="F33" i="15"/>
  <c r="B35" i="20" s="1"/>
  <c r="F35" i="15"/>
  <c r="B37" i="20" s="1"/>
  <c r="F78" i="15"/>
  <c r="B64" i="20" s="1"/>
  <c r="F17" i="15"/>
  <c r="B18" i="20" s="1"/>
  <c r="F79" i="15"/>
  <c r="B65" i="20" s="1"/>
  <c r="F36" i="15"/>
  <c r="B38" i="20" s="1"/>
  <c r="F64" i="15"/>
  <c r="B49" i="20" s="1"/>
  <c r="F21" i="15"/>
  <c r="B22" i="20" s="1"/>
  <c r="F65" i="15"/>
  <c r="B50" i="20" s="1"/>
  <c r="F66" i="15"/>
  <c r="B51" i="20" s="1"/>
  <c r="F23" i="15"/>
  <c r="B24" i="20" s="1"/>
  <c r="F67" i="15"/>
  <c r="B52" i="20" s="1"/>
  <c r="F68" i="15"/>
  <c r="B53" i="20" s="1"/>
  <c r="F32" i="15"/>
  <c r="B34" i="20" s="1"/>
  <c r="F22" i="15"/>
  <c r="B23" i="20" s="1"/>
  <c r="F24" i="15"/>
  <c r="B25" i="20" s="1"/>
  <c r="F25" i="15"/>
  <c r="B26" i="20" s="1"/>
  <c r="F68" i="13"/>
  <c r="F35" i="13"/>
  <c r="F33" i="13"/>
  <c r="F25" i="13"/>
  <c r="F20" i="13"/>
  <c r="F40" i="13"/>
  <c r="F65" i="13"/>
  <c r="F34" i="13"/>
  <c r="F26" i="13"/>
  <c r="F15" i="13"/>
  <c r="F59" i="13"/>
  <c r="F32" i="13"/>
  <c r="F38" i="13"/>
  <c r="F62" i="13"/>
  <c r="F28" i="13"/>
  <c r="F27" i="13"/>
  <c r="F52" i="13"/>
  <c r="F51" i="13"/>
  <c r="F64" i="13"/>
  <c r="F50" i="13"/>
  <c r="F24" i="13"/>
  <c r="F49" i="13"/>
  <c r="F23" i="13"/>
  <c r="F48" i="13"/>
  <c r="F22" i="13"/>
  <c r="F21" i="13"/>
  <c r="F16" i="13"/>
  <c r="F39" i="13"/>
  <c r="F36" i="13"/>
  <c r="F37" i="13"/>
  <c r="B32" i="12"/>
  <c r="B30" i="12"/>
  <c r="B26" i="12"/>
  <c r="T10" i="12"/>
  <c r="B8" i="12" s="1"/>
  <c r="C107" i="19"/>
  <c r="C108" i="19"/>
  <c r="C106" i="19"/>
  <c r="C31" i="17"/>
  <c r="G522" i="5"/>
  <c r="G524" i="5" s="1"/>
  <c r="H524" i="5" s="1"/>
  <c r="G444" i="5"/>
  <c r="G446" i="5" s="1"/>
  <c r="H446" i="5" s="1"/>
  <c r="F82" i="20"/>
  <c r="G470" i="5"/>
  <c r="G472" i="5" s="1"/>
  <c r="H472" i="5" s="1"/>
  <c r="G587" i="5"/>
  <c r="G589" i="5" s="1"/>
  <c r="H589" i="5" s="1"/>
  <c r="G548" i="5"/>
  <c r="G550" i="5" s="1"/>
  <c r="H550" i="5" s="1"/>
  <c r="G379" i="5"/>
  <c r="G381" i="5" s="1"/>
  <c r="H381" i="5" s="1"/>
  <c r="G535" i="5"/>
  <c r="G537" i="5" s="1"/>
  <c r="H537" i="5" s="1"/>
  <c r="G483" i="5"/>
  <c r="G485" i="5" s="1"/>
  <c r="H485" i="5" s="1"/>
  <c r="G457" i="5"/>
  <c r="G459" i="5" s="1"/>
  <c r="H459" i="5" s="1"/>
  <c r="G600" i="5"/>
  <c r="G602" i="5" s="1"/>
  <c r="H602" i="5" s="1"/>
  <c r="G496" i="5"/>
  <c r="G498" i="5" s="1"/>
  <c r="H498" i="5" s="1"/>
  <c r="G574" i="5"/>
  <c r="G576" i="5" s="1"/>
  <c r="H576" i="5" s="1"/>
  <c r="G418" i="5"/>
  <c r="G420" i="5" s="1"/>
  <c r="H420" i="5" s="1"/>
  <c r="G561" i="5"/>
  <c r="M76" i="15" s="1"/>
  <c r="F62" i="20" s="1"/>
  <c r="G392" i="5"/>
  <c r="G394" i="5" s="1"/>
  <c r="H394" i="5" s="1"/>
  <c r="G431" i="5"/>
  <c r="G433" i="5" s="1"/>
  <c r="H433" i="5" s="1"/>
  <c r="G509" i="5"/>
  <c r="M72" i="15" s="1"/>
  <c r="F58" i="20" s="1"/>
  <c r="F16" i="18"/>
  <c r="F66" i="7"/>
  <c r="F66" i="23" s="1"/>
  <c r="F157" i="7"/>
  <c r="F157" i="23" s="1"/>
  <c r="F41" i="7"/>
  <c r="F41" i="23" s="1"/>
  <c r="F117" i="7"/>
  <c r="F117" i="23" s="1"/>
  <c r="G197" i="5"/>
  <c r="G199" i="5" s="1"/>
  <c r="H199" i="5" s="1"/>
  <c r="G301" i="5"/>
  <c r="M31" i="15" s="1"/>
  <c r="F33" i="20" s="1"/>
  <c r="G275" i="5"/>
  <c r="M29" i="15" s="1"/>
  <c r="F31" i="20" s="1"/>
  <c r="G171" i="5"/>
  <c r="G173" i="5" s="1"/>
  <c r="H173" i="5" s="1"/>
  <c r="G288" i="5"/>
  <c r="M30" i="15" s="1"/>
  <c r="G340" i="5"/>
  <c r="G342" i="5" s="1"/>
  <c r="H342" i="5" s="1"/>
  <c r="G327" i="5"/>
  <c r="G329" i="5" s="1"/>
  <c r="H329" i="5" s="1"/>
  <c r="G314" i="5"/>
  <c r="G316" i="5" s="1"/>
  <c r="H316" i="5" s="1"/>
  <c r="G145" i="5"/>
  <c r="G147" i="5" s="1"/>
  <c r="H147" i="5" s="1"/>
  <c r="G249" i="5"/>
  <c r="M25" i="15" s="1"/>
  <c r="F26" i="20" s="1"/>
  <c r="G262" i="5"/>
  <c r="G264" i="5" s="1"/>
  <c r="H264" i="5" s="1"/>
  <c r="G119" i="5"/>
  <c r="M15" i="15" s="1"/>
  <c r="F16" i="20" s="1"/>
  <c r="G184" i="5"/>
  <c r="G186" i="5" s="1"/>
  <c r="H186" i="5" s="1"/>
  <c r="G93" i="5"/>
  <c r="G223" i="5"/>
  <c r="M23" i="15" s="1"/>
  <c r="F24" i="20" s="1"/>
  <c r="G158" i="5"/>
  <c r="G160" i="5" s="1"/>
  <c r="H160" i="5" s="1"/>
  <c r="G366" i="5"/>
  <c r="M36" i="15" s="1"/>
  <c r="G236" i="5"/>
  <c r="G238" i="5" s="1"/>
  <c r="H238" i="5" s="1"/>
  <c r="G67" i="5"/>
  <c r="M11" i="15" s="1"/>
  <c r="G353" i="5"/>
  <c r="M35" i="15" s="1"/>
  <c r="F37" i="20" s="1"/>
  <c r="G80" i="5"/>
  <c r="M12" i="15" s="1"/>
  <c r="G35" i="17" s="1"/>
  <c r="F49" i="18" s="1"/>
  <c r="G106" i="5"/>
  <c r="G108" i="5" s="1"/>
  <c r="H108" i="5" s="1"/>
  <c r="G132" i="5"/>
  <c r="M16" i="15" s="1"/>
  <c r="F17" i="20" s="1"/>
  <c r="G210" i="5"/>
  <c r="G212" i="5" s="1"/>
  <c r="H212" i="5" s="1"/>
  <c r="G54" i="5"/>
  <c r="A13" i="22"/>
  <c r="G72" i="17"/>
  <c r="F29" i="18" s="1"/>
  <c r="B120" i="14"/>
  <c r="E525" i="3"/>
  <c r="O525" i="3" s="1"/>
  <c r="E525" i="2"/>
  <c r="O525" i="2" s="1"/>
  <c r="C48" i="5"/>
  <c r="D46" i="5" s="1"/>
  <c r="E524" i="3"/>
  <c r="O524" i="3" s="1"/>
  <c r="E524" i="2"/>
  <c r="G39" i="5"/>
  <c r="C424" i="5"/>
  <c r="C322" i="5"/>
  <c r="C307" i="5"/>
  <c r="C271" i="5"/>
  <c r="C257" i="5"/>
  <c r="C242" i="5"/>
  <c r="C192" i="5"/>
  <c r="C154" i="5"/>
  <c r="D137" i="5"/>
  <c r="D85" i="5"/>
  <c r="C320" i="5"/>
  <c r="C233" i="5"/>
  <c r="C101" i="5"/>
  <c r="C270" i="5"/>
  <c r="C167" i="5"/>
  <c r="D449" i="5"/>
  <c r="C232" i="5"/>
  <c r="C580" i="5"/>
  <c r="C411" i="5"/>
  <c r="C374" i="5"/>
  <c r="D488" i="5"/>
  <c r="C336" i="5"/>
  <c r="C206" i="5"/>
  <c r="C177" i="5"/>
  <c r="C140" i="5"/>
  <c r="C102" i="5"/>
  <c r="C88" i="5"/>
  <c r="C554" i="5"/>
  <c r="D501" i="5"/>
  <c r="D436" i="5"/>
  <c r="C350" i="5"/>
  <c r="D254" i="5"/>
  <c r="C220" i="5"/>
  <c r="D189" i="5"/>
  <c r="C300" i="5"/>
  <c r="C205" i="5"/>
  <c r="C115" i="5"/>
  <c r="D514" i="5"/>
  <c r="D384" i="5"/>
  <c r="C90" i="5"/>
  <c r="C463" i="5"/>
  <c r="C281" i="5"/>
  <c r="C323" i="5"/>
  <c r="D124" i="5"/>
  <c r="C541" i="5"/>
  <c r="C337" i="5"/>
  <c r="D540" i="5"/>
  <c r="C50" i="5"/>
  <c r="C489" i="5"/>
  <c r="C391" i="5"/>
  <c r="C372" i="5"/>
  <c r="C285" i="5"/>
  <c r="C116" i="5"/>
  <c r="I86" i="5"/>
  <c r="C190" i="5"/>
  <c r="D319" i="5"/>
  <c r="D98" i="5"/>
  <c r="C363" i="5"/>
  <c r="C298" i="5"/>
  <c r="D267" i="5"/>
  <c r="D163" i="5"/>
  <c r="C296" i="5"/>
  <c r="C141" i="5"/>
  <c r="C258" i="5"/>
  <c r="C193" i="5"/>
  <c r="D228" i="5"/>
  <c r="C272" i="5"/>
  <c r="D566" i="5"/>
  <c r="C349" i="5"/>
  <c r="C219" i="5"/>
  <c r="C168" i="5"/>
  <c r="C138" i="5"/>
  <c r="C86" i="5"/>
  <c r="C49" i="5"/>
  <c r="C284" i="5"/>
  <c r="C255" i="5"/>
  <c r="C153" i="5"/>
  <c r="C245" i="5"/>
  <c r="C142" i="5"/>
  <c r="C60" i="5"/>
  <c r="D293" i="5"/>
  <c r="C127" i="5"/>
  <c r="C51" i="5"/>
  <c r="C309" i="5"/>
  <c r="D475" i="5"/>
  <c r="C437" i="5"/>
  <c r="C335" i="5"/>
  <c r="D410" i="5"/>
  <c r="D345" i="5"/>
  <c r="C216" i="5"/>
  <c r="C112" i="5"/>
  <c r="C103" i="5"/>
  <c r="C502" i="5"/>
  <c r="C385" i="5"/>
  <c r="D332" i="5"/>
  <c r="C231" i="5"/>
  <c r="I60" i="5"/>
  <c r="C89" i="5"/>
  <c r="D176" i="5"/>
  <c r="D371" i="5"/>
  <c r="C528" i="5"/>
  <c r="C244" i="5"/>
  <c r="C476" i="5"/>
  <c r="C294" i="5"/>
  <c r="C125" i="5"/>
  <c r="C567" i="5"/>
  <c r="C129" i="5"/>
  <c r="C77" i="5"/>
  <c r="I47" i="5"/>
  <c r="D579" i="5"/>
  <c r="C362" i="5"/>
  <c r="C348" i="5"/>
  <c r="C297" i="5"/>
  <c r="C218" i="5"/>
  <c r="C203" i="5"/>
  <c r="C181" i="5"/>
  <c r="C151" i="5"/>
  <c r="C99" i="5"/>
  <c r="C62" i="5"/>
  <c r="C47" i="5"/>
  <c r="C346" i="5"/>
  <c r="C361" i="5"/>
  <c r="C324" i="5"/>
  <c r="C194" i="5"/>
  <c r="C164" i="5"/>
  <c r="C179" i="5"/>
  <c r="C593" i="5"/>
  <c r="D423" i="5"/>
  <c r="C229" i="5"/>
  <c r="I73" i="5"/>
  <c r="C359" i="5"/>
  <c r="C207" i="5"/>
  <c r="C515" i="5"/>
  <c r="C450" i="5"/>
  <c r="I398" i="5"/>
  <c r="C333" i="5"/>
  <c r="C283" i="5"/>
  <c r="C268" i="5"/>
  <c r="C246" i="5"/>
  <c r="D215" i="5"/>
  <c r="D202" i="5"/>
  <c r="C128" i="5"/>
  <c r="C114" i="5"/>
  <c r="C76" i="5"/>
  <c r="D59" i="5"/>
  <c r="D527" i="5"/>
  <c r="C398" i="5"/>
  <c r="C311" i="5"/>
  <c r="D280" i="5"/>
  <c r="C180" i="5"/>
  <c r="C166" i="5"/>
  <c r="D111" i="5"/>
  <c r="C310" i="5"/>
  <c r="C259" i="5"/>
  <c r="D358" i="5"/>
  <c r="C75" i="5"/>
  <c r="C73" i="5"/>
  <c r="C155" i="5"/>
  <c r="D241" i="5"/>
  <c r="C547" i="5"/>
  <c r="C378" i="5"/>
  <c r="C144" i="5"/>
  <c r="C248" i="5"/>
  <c r="C482" i="5"/>
  <c r="C365" i="5"/>
  <c r="C599" i="5"/>
  <c r="C118" i="5"/>
  <c r="C586" i="5"/>
  <c r="C443" i="5"/>
  <c r="C430" i="5"/>
  <c r="C183" i="5"/>
  <c r="C287" i="5"/>
  <c r="C534" i="5"/>
  <c r="C404" i="5"/>
  <c r="C274" i="5"/>
  <c r="C92" i="5"/>
  <c r="C131" i="5"/>
  <c r="D397" i="5"/>
  <c r="C339" i="5"/>
  <c r="C105" i="5"/>
  <c r="C417" i="5"/>
  <c r="C261" i="5"/>
  <c r="D462" i="5"/>
  <c r="D72" i="5"/>
  <c r="C79" i="5"/>
  <c r="D592" i="5"/>
  <c r="C469" i="5"/>
  <c r="C222" i="5"/>
  <c r="C66" i="5"/>
  <c r="C456" i="5"/>
  <c r="C209" i="5"/>
  <c r="C560" i="5"/>
  <c r="C170" i="5"/>
  <c r="C521" i="5"/>
  <c r="C157" i="5"/>
  <c r="C508" i="5"/>
  <c r="D150" i="5"/>
  <c r="D553" i="5"/>
  <c r="C235" i="5"/>
  <c r="C352" i="5"/>
  <c r="C53" i="5"/>
  <c r="C495" i="5"/>
  <c r="D306" i="5"/>
  <c r="C196" i="5"/>
  <c r="C313" i="5"/>
  <c r="C573" i="5"/>
  <c r="C326" i="5"/>
  <c r="C25" i="5"/>
  <c r="B91" i="15"/>
  <c r="C27" i="15"/>
  <c r="B28" i="20" s="1"/>
  <c r="M27" i="15"/>
  <c r="F85" i="15"/>
  <c r="L27" i="15"/>
  <c r="C62" i="17"/>
  <c r="C81" i="17"/>
  <c r="C42" i="17"/>
  <c r="C21" i="17"/>
  <c r="C65" i="17"/>
  <c r="B23" i="17"/>
  <c r="C48" i="17"/>
  <c r="C19" i="18"/>
  <c r="C23" i="18"/>
  <c r="C60" i="18"/>
  <c r="C54" i="18"/>
  <c r="C36" i="18"/>
  <c r="B34" i="12"/>
  <c r="D47" i="12"/>
  <c r="F102" i="7"/>
  <c r="F102" i="23" s="1"/>
  <c r="F101" i="7"/>
  <c r="F101" i="23" s="1"/>
  <c r="F71" i="7"/>
  <c r="F71" i="23" s="1"/>
  <c r="D1015" i="4"/>
  <c r="I16" i="23"/>
  <c r="I12" i="23" s="1"/>
  <c r="I61" i="23" s="1"/>
  <c r="F83" i="17"/>
  <c r="J94" i="7"/>
  <c r="I94" i="23"/>
  <c r="I90" i="23" s="1"/>
  <c r="J108" i="7"/>
  <c r="I108" i="23"/>
  <c r="I137" i="23"/>
  <c r="J137" i="7"/>
  <c r="J133" i="7"/>
  <c r="I133" i="23"/>
  <c r="J131" i="7"/>
  <c r="I131" i="23"/>
  <c r="I123" i="23"/>
  <c r="J134" i="7"/>
  <c r="I134" i="23"/>
  <c r="K91" i="14"/>
  <c r="I138" i="23"/>
  <c r="J138" i="7"/>
  <c r="J132" i="7"/>
  <c r="I132" i="23"/>
  <c r="I135" i="23"/>
  <c r="J135" i="7"/>
  <c r="K103" i="14"/>
  <c r="A20" i="22" s="1"/>
  <c r="I136" i="23"/>
  <c r="J136" i="7"/>
  <c r="M36" i="1"/>
  <c r="N36" i="1" s="1"/>
  <c r="F8" i="15"/>
  <c r="B9" i="20" s="1"/>
  <c r="E523" i="2"/>
  <c r="E523" i="3"/>
  <c r="O523" i="3" s="1"/>
  <c r="AY8" i="2"/>
  <c r="BJ8" i="2"/>
  <c r="F61" i="13" s="1"/>
  <c r="B11" i="20"/>
  <c r="M39" i="1"/>
  <c r="N39" i="1" s="1"/>
  <c r="B12" i="20"/>
  <c r="BW5" i="3"/>
  <c r="E158" i="23"/>
  <c r="E157" i="23"/>
  <c r="BM5" i="3"/>
  <c r="I8" i="5"/>
  <c r="F60" i="15"/>
  <c r="B45" i="20" s="1"/>
  <c r="F132" i="7"/>
  <c r="F132" i="23" s="1"/>
  <c r="F133" i="7"/>
  <c r="F133" i="23" s="1"/>
  <c r="F77" i="7"/>
  <c r="F77" i="23" s="1"/>
  <c r="F114" i="7"/>
  <c r="F114" i="23" s="1"/>
  <c r="F104" i="7"/>
  <c r="F104" i="23" s="1"/>
  <c r="F116" i="7"/>
  <c r="F116" i="23" s="1"/>
  <c r="F113" i="7"/>
  <c r="F113" i="23" s="1"/>
  <c r="F115" i="7"/>
  <c r="F115" i="23" s="1"/>
  <c r="F131" i="7"/>
  <c r="F131" i="23" s="1"/>
  <c r="G69" i="19"/>
  <c r="G51" i="19"/>
  <c r="G33" i="19"/>
  <c r="G87" i="19"/>
  <c r="G15" i="19"/>
  <c r="K114" i="14"/>
  <c r="A22" i="22" s="1"/>
  <c r="J70" i="14"/>
  <c r="K79" i="14" s="1"/>
  <c r="A17" i="22" s="1"/>
  <c r="I123" i="7"/>
  <c r="J123" i="7" s="1"/>
  <c r="K54" i="14"/>
  <c r="F55" i="7"/>
  <c r="F55" i="23" s="1"/>
  <c r="F11" i="7"/>
  <c r="F11" i="23" s="1"/>
  <c r="F52" i="7"/>
  <c r="F52" i="23" s="1"/>
  <c r="F42" i="7"/>
  <c r="F42" i="23" s="1"/>
  <c r="E107" i="23"/>
  <c r="E106" i="23"/>
  <c r="E105" i="23"/>
  <c r="E103" i="23"/>
  <c r="E104" i="23"/>
  <c r="E100" i="23"/>
  <c r="I90" i="7"/>
  <c r="E76" i="23"/>
  <c r="AP5" i="3"/>
  <c r="E75" i="23"/>
  <c r="E72" i="23"/>
  <c r="E67" i="23"/>
  <c r="E66" i="23"/>
  <c r="BG8" i="2"/>
  <c r="BF8" i="2"/>
  <c r="F57" i="13" s="1"/>
  <c r="BE8" i="2"/>
  <c r="F56" i="13" s="1"/>
  <c r="AX8" i="2"/>
  <c r="AW8" i="2"/>
  <c r="AV8" i="2"/>
  <c r="J516" i="3"/>
  <c r="G70" i="17"/>
  <c r="J99" i="7"/>
  <c r="J16" i="7"/>
  <c r="G55" i="17"/>
  <c r="F15" i="18" s="1"/>
  <c r="M37" i="1"/>
  <c r="N37" i="1" s="1"/>
  <c r="M38" i="1"/>
  <c r="N38" i="1" s="1"/>
  <c r="G54" i="17"/>
  <c r="F14" i="18" s="1"/>
  <c r="C22" i="5"/>
  <c r="L26" i="15"/>
  <c r="J161" i="7"/>
  <c r="J153" i="7"/>
  <c r="J145" i="7"/>
  <c r="J89" i="7"/>
  <c r="J74" i="7"/>
  <c r="J66" i="7"/>
  <c r="J88" i="7"/>
  <c r="J159" i="7"/>
  <c r="J151" i="7"/>
  <c r="J139" i="7"/>
  <c r="J105" i="7"/>
  <c r="J76" i="7"/>
  <c r="J79" i="7"/>
  <c r="F25" i="18"/>
  <c r="J10" i="7"/>
  <c r="J58" i="7"/>
  <c r="J49" i="7"/>
  <c r="J41" i="7"/>
  <c r="J33" i="7"/>
  <c r="J25" i="7"/>
  <c r="J52" i="7"/>
  <c r="J44" i="7"/>
  <c r="J36" i="7"/>
  <c r="J28" i="7"/>
  <c r="J20" i="7"/>
  <c r="J11" i="7"/>
  <c r="E522" i="3"/>
  <c r="E522" i="2"/>
  <c r="C39" i="5"/>
  <c r="G28" i="5"/>
  <c r="C24" i="5"/>
  <c r="C14" i="5"/>
  <c r="C8" i="5"/>
  <c r="C1" i="5"/>
  <c r="D28" i="5"/>
  <c r="I27" i="5"/>
  <c r="I25" i="5"/>
  <c r="C40" i="5"/>
  <c r="C28" i="5"/>
  <c r="C23" i="5"/>
  <c r="C12" i="5"/>
  <c r="C11" i="5"/>
  <c r="C21" i="5"/>
  <c r="C27" i="5"/>
  <c r="C10" i="5"/>
  <c r="E40" i="12"/>
  <c r="B29" i="12"/>
  <c r="C23" i="12"/>
  <c r="E11" i="12"/>
  <c r="B10" i="12"/>
  <c r="B3" i="12"/>
  <c r="B41" i="12"/>
  <c r="D36" i="12"/>
  <c r="C20" i="12"/>
  <c r="C18" i="12"/>
  <c r="B6" i="12"/>
  <c r="J40" i="12"/>
  <c r="B40" i="12"/>
  <c r="B33" i="12"/>
  <c r="B17" i="12"/>
  <c r="B12" i="12"/>
  <c r="B11" i="12"/>
  <c r="B5" i="12"/>
  <c r="B7" i="12"/>
  <c r="C19" i="12"/>
  <c r="B4" i="12"/>
  <c r="B28" i="12"/>
  <c r="C21" i="12"/>
  <c r="B1" i="12"/>
  <c r="F118" i="14"/>
  <c r="B3" i="14"/>
  <c r="B1" i="14"/>
  <c r="F116" i="14"/>
  <c r="R5" i="14"/>
  <c r="R4" i="14"/>
  <c r="J103" i="7"/>
  <c r="A12" i="22"/>
  <c r="J160" i="7"/>
  <c r="J152" i="7"/>
  <c r="J144" i="7"/>
  <c r="J106" i="7"/>
  <c r="G29" i="17"/>
  <c r="F43" i="18"/>
  <c r="H43" i="18" s="1"/>
  <c r="J69" i="7"/>
  <c r="J68" i="7"/>
  <c r="J104" i="7"/>
  <c r="J75" i="7"/>
  <c r="J67" i="7"/>
  <c r="J162" i="7"/>
  <c r="J154" i="7"/>
  <c r="J146" i="7"/>
  <c r="J59" i="7"/>
  <c r="J50" i="7"/>
  <c r="J42" i="7"/>
  <c r="J34" i="7"/>
  <c r="J26" i="7"/>
  <c r="A4" i="22"/>
  <c r="K53" i="13"/>
  <c r="J17" i="7"/>
  <c r="F8" i="18"/>
  <c r="J56" i="7"/>
  <c r="J47" i="7"/>
  <c r="J39" i="7"/>
  <c r="J31" i="7"/>
  <c r="J23" i="7"/>
  <c r="C9" i="5"/>
  <c r="C137" i="16"/>
  <c r="F52" i="15" s="1"/>
  <c r="C126" i="16"/>
  <c r="F51" i="15" s="1"/>
  <c r="C122" i="16"/>
  <c r="C104" i="16"/>
  <c r="M11" i="16"/>
  <c r="D6" i="16"/>
  <c r="C107" i="16"/>
  <c r="F50" i="15" s="1"/>
  <c r="C103" i="16"/>
  <c r="C93" i="16"/>
  <c r="C82" i="16"/>
  <c r="C8" i="16"/>
  <c r="F41" i="15" s="1"/>
  <c r="C6" i="16"/>
  <c r="B148" i="16"/>
  <c r="C96" i="16"/>
  <c r="F49" i="15" s="1"/>
  <c r="C85" i="16"/>
  <c r="F48" i="15" s="1"/>
  <c r="C81" i="16"/>
  <c r="C71" i="16"/>
  <c r="C60" i="16"/>
  <c r="C49" i="16"/>
  <c r="C38" i="16"/>
  <c r="C27" i="16"/>
  <c r="C16" i="16"/>
  <c r="J6" i="16"/>
  <c r="B6" i="16"/>
  <c r="B1" i="16"/>
  <c r="C134" i="16"/>
  <c r="C52" i="16"/>
  <c r="F45" i="15" s="1"/>
  <c r="C15" i="16"/>
  <c r="C145" i="16"/>
  <c r="C63" i="16"/>
  <c r="F46" i="15" s="1"/>
  <c r="C19" i="16"/>
  <c r="F42" i="15" s="1"/>
  <c r="I6" i="16"/>
  <c r="C74" i="16"/>
  <c r="F47" i="15" s="1"/>
  <c r="C30" i="16"/>
  <c r="F43" i="15" s="1"/>
  <c r="C123" i="16"/>
  <c r="C41" i="16"/>
  <c r="F44" i="15" s="1"/>
  <c r="B3" i="13"/>
  <c r="B1" i="13"/>
  <c r="B59" i="18"/>
  <c r="B56" i="18"/>
  <c r="B53" i="18"/>
  <c r="B51" i="18"/>
  <c r="B48" i="18"/>
  <c r="B41" i="18"/>
  <c r="B39" i="18"/>
  <c r="B32" i="18"/>
  <c r="B30" i="18"/>
  <c r="B28" i="18"/>
  <c r="B26" i="18"/>
  <c r="B22" i="18"/>
  <c r="B19" i="18"/>
  <c r="B16" i="18"/>
  <c r="B14" i="18"/>
  <c r="B12" i="18"/>
  <c r="B7" i="18"/>
  <c r="B58" i="18"/>
  <c r="B55" i="18"/>
  <c r="B36" i="18"/>
  <c r="B34" i="18"/>
  <c r="B21" i="18"/>
  <c r="B18" i="18"/>
  <c r="B9" i="18"/>
  <c r="F6" i="18"/>
  <c r="B60" i="18"/>
  <c r="B57" i="18"/>
  <c r="B52" i="18"/>
  <c r="B50" i="18"/>
  <c r="B47" i="18"/>
  <c r="B45" i="18"/>
  <c r="B43" i="18"/>
  <c r="B40" i="18"/>
  <c r="B38" i="18"/>
  <c r="B33" i="18"/>
  <c r="B31" i="18"/>
  <c r="B29" i="18"/>
  <c r="B27" i="18"/>
  <c r="B25" i="18"/>
  <c r="B23" i="18"/>
  <c r="B20" i="18"/>
  <c r="B17" i="18"/>
  <c r="B15" i="18"/>
  <c r="B13" i="18"/>
  <c r="B11" i="18"/>
  <c r="E6" i="18"/>
  <c r="B42" i="18"/>
  <c r="B24" i="18"/>
  <c r="C6" i="18"/>
  <c r="B49" i="18"/>
  <c r="B1" i="18"/>
  <c r="B46" i="18"/>
  <c r="B37" i="18"/>
  <c r="B10" i="18"/>
  <c r="B54" i="18"/>
  <c r="B44" i="18"/>
  <c r="B8" i="18"/>
  <c r="B35" i="18"/>
  <c r="J149" i="7"/>
  <c r="J141" i="7"/>
  <c r="J78" i="7"/>
  <c r="J70" i="7"/>
  <c r="J77" i="7"/>
  <c r="J157" i="7"/>
  <c r="J163" i="7"/>
  <c r="J155" i="7"/>
  <c r="J147" i="7"/>
  <c r="J101" i="7"/>
  <c r="J80" i="7"/>
  <c r="J72" i="7"/>
  <c r="G71" i="17"/>
  <c r="F28" i="18" s="1"/>
  <c r="K36" i="14"/>
  <c r="G23" i="17"/>
  <c r="F30" i="18"/>
  <c r="K66" i="13"/>
  <c r="J54" i="7"/>
  <c r="J45" i="7"/>
  <c r="J37" i="7"/>
  <c r="J29" i="7"/>
  <c r="J21" i="7"/>
  <c r="G52" i="17"/>
  <c r="G15" i="17" s="1"/>
  <c r="J57" i="7"/>
  <c r="J48" i="7"/>
  <c r="J40" i="7"/>
  <c r="J32" i="7"/>
  <c r="J24" i="7"/>
  <c r="K29" i="13"/>
  <c r="D516" i="3"/>
  <c r="E520" i="3"/>
  <c r="H521" i="3"/>
  <c r="E518" i="3"/>
  <c r="E164" i="23"/>
  <c r="E101" i="23"/>
  <c r="E73" i="23"/>
  <c r="E69" i="23"/>
  <c r="E65" i="23"/>
  <c r="L8" i="3"/>
  <c r="H8" i="3"/>
  <c r="D8" i="3"/>
  <c r="DE5" i="3"/>
  <c r="B157" i="23" s="1"/>
  <c r="P5" i="3"/>
  <c r="B64" i="23" s="1"/>
  <c r="E68" i="23"/>
  <c r="E64" i="23"/>
  <c r="K8" i="3"/>
  <c r="G8" i="3"/>
  <c r="C8" i="3"/>
  <c r="CV5" i="3"/>
  <c r="F4" i="3"/>
  <c r="E71" i="23"/>
  <c r="O8" i="3"/>
  <c r="J8" i="3"/>
  <c r="F8" i="3"/>
  <c r="B8" i="3"/>
  <c r="CM5" i="3"/>
  <c r="B1" i="3"/>
  <c r="E102" i="23"/>
  <c r="E74" i="23"/>
  <c r="E70" i="23"/>
  <c r="M8" i="3"/>
  <c r="I8" i="3"/>
  <c r="K5" i="3"/>
  <c r="L95" i="15"/>
  <c r="F88" i="15"/>
  <c r="C84" i="15"/>
  <c r="F80" i="15"/>
  <c r="M70" i="15"/>
  <c r="F69" i="15"/>
  <c r="B58" i="15"/>
  <c r="B56" i="15"/>
  <c r="F53" i="15"/>
  <c r="L39" i="15"/>
  <c r="F37" i="15"/>
  <c r="L7" i="15"/>
  <c r="B1" i="15"/>
  <c r="J95" i="15"/>
  <c r="B89" i="15"/>
  <c r="F86" i="15"/>
  <c r="W84" i="15"/>
  <c r="B83" i="15"/>
  <c r="B81" i="15"/>
  <c r="Q78" i="15"/>
  <c r="L70" i="15"/>
  <c r="M59" i="15"/>
  <c r="M40" i="15"/>
  <c r="C39" i="15"/>
  <c r="C7" i="15"/>
  <c r="B7" i="20" s="1"/>
  <c r="F87" i="15"/>
  <c r="M84" i="15"/>
  <c r="C70" i="15"/>
  <c r="B55" i="20" s="1"/>
  <c r="L59" i="15"/>
  <c r="P56" i="15"/>
  <c r="F54" i="15"/>
  <c r="L40" i="15"/>
  <c r="F26" i="15"/>
  <c r="B6" i="15"/>
  <c r="C59" i="15"/>
  <c r="B43" i="20" s="1"/>
  <c r="M39" i="15"/>
  <c r="M7" i="15"/>
  <c r="B93" i="15"/>
  <c r="X97" i="15"/>
  <c r="B97" i="15"/>
  <c r="L84" i="15"/>
  <c r="B78" i="17"/>
  <c r="B75" i="17"/>
  <c r="B73" i="17"/>
  <c r="B71" i="17"/>
  <c r="B69" i="17"/>
  <c r="B67" i="17"/>
  <c r="B65" i="17"/>
  <c r="B59" i="17"/>
  <c r="B56" i="17"/>
  <c r="B54" i="17"/>
  <c r="B52" i="17"/>
  <c r="B50" i="17"/>
  <c r="B42" i="17"/>
  <c r="B39" i="17"/>
  <c r="B37" i="17"/>
  <c r="B31" i="17"/>
  <c r="B25" i="17"/>
  <c r="B21" i="17"/>
  <c r="B19" i="17"/>
  <c r="B12" i="17"/>
  <c r="B87" i="17"/>
  <c r="B84" i="17"/>
  <c r="B82" i="17"/>
  <c r="B80" i="17"/>
  <c r="B77" i="17"/>
  <c r="B66" i="17"/>
  <c r="B62" i="17"/>
  <c r="B58" i="17"/>
  <c r="B49" i="17"/>
  <c r="B47" i="17"/>
  <c r="B44" i="17"/>
  <c r="B41" i="17"/>
  <c r="B36" i="17"/>
  <c r="B33" i="17"/>
  <c r="B88" i="17"/>
  <c r="B86" i="17"/>
  <c r="B76" i="17"/>
  <c r="B74" i="17"/>
  <c r="B72" i="17"/>
  <c r="B70" i="17"/>
  <c r="B68" i="17"/>
  <c r="B64" i="17"/>
  <c r="B61" i="17"/>
  <c r="B55" i="17"/>
  <c r="B53" i="17"/>
  <c r="B51" i="17"/>
  <c r="B46" i="17"/>
  <c r="B43" i="17"/>
  <c r="B40" i="17"/>
  <c r="B38" i="17"/>
  <c r="B35" i="17"/>
  <c r="B32" i="17"/>
  <c r="B24" i="17"/>
  <c r="B20" i="17"/>
  <c r="B18" i="17"/>
  <c r="B83" i="17"/>
  <c r="B45" i="17"/>
  <c r="B34" i="17"/>
  <c r="B28" i="17"/>
  <c r="B15" i="17"/>
  <c r="B11" i="17"/>
  <c r="B8" i="17"/>
  <c r="E6" i="17"/>
  <c r="B81" i="17"/>
  <c r="B63" i="17"/>
  <c r="B27" i="17"/>
  <c r="B22" i="17"/>
  <c r="B14" i="17"/>
  <c r="B10" i="17"/>
  <c r="C7" i="17"/>
  <c r="C6" i="17"/>
  <c r="B1" i="17"/>
  <c r="B79" i="17"/>
  <c r="B60" i="17"/>
  <c r="B30" i="17"/>
  <c r="B17" i="17"/>
  <c r="B13" i="17"/>
  <c r="G6" i="17"/>
  <c r="F6" i="17"/>
  <c r="B57" i="17"/>
  <c r="B29" i="17"/>
  <c r="B16" i="17"/>
  <c r="B85" i="17"/>
  <c r="B48" i="17"/>
  <c r="B9" i="17"/>
  <c r="C109" i="19"/>
  <c r="B106" i="19"/>
  <c r="B102" i="19"/>
  <c r="E96" i="19"/>
  <c r="D87" i="19"/>
  <c r="F78" i="19"/>
  <c r="B78" i="19"/>
  <c r="B73" i="19"/>
  <c r="E69" i="19"/>
  <c r="B62" i="19"/>
  <c r="C60" i="19"/>
  <c r="C121" i="19"/>
  <c r="B109" i="19"/>
  <c r="B107" i="19"/>
  <c r="B100" i="19"/>
  <c r="D96" i="19"/>
  <c r="B93" i="19"/>
  <c r="C87" i="19"/>
  <c r="B84" i="19"/>
  <c r="E78" i="19"/>
  <c r="C119" i="19"/>
  <c r="B98" i="19"/>
  <c r="C96" i="19"/>
  <c r="F87" i="19"/>
  <c r="B87" i="19"/>
  <c r="B82" i="19"/>
  <c r="D78" i="19"/>
  <c r="B75" i="19"/>
  <c r="C69" i="19"/>
  <c r="C111" i="19"/>
  <c r="B108" i="19"/>
  <c r="F96" i="19"/>
  <c r="B96" i="19"/>
  <c r="B91" i="19"/>
  <c r="E87" i="19"/>
  <c r="B80" i="19"/>
  <c r="C78" i="19"/>
  <c r="F69" i="19"/>
  <c r="B64" i="19"/>
  <c r="D60" i="19"/>
  <c r="B57" i="19"/>
  <c r="C51" i="19"/>
  <c r="B48" i="19"/>
  <c r="E42" i="19"/>
  <c r="B60" i="19"/>
  <c r="B55" i="19"/>
  <c r="D42" i="19"/>
  <c r="F33" i="19"/>
  <c r="D24" i="19"/>
  <c r="F15" i="19"/>
  <c r="B7" i="19"/>
  <c r="B66" i="19"/>
  <c r="F51" i="19"/>
  <c r="C42" i="19"/>
  <c r="B39" i="19"/>
  <c r="B37" i="19"/>
  <c r="E33" i="19"/>
  <c r="B30" i="19"/>
  <c r="C24" i="19"/>
  <c r="B21" i="19"/>
  <c r="B19" i="19"/>
  <c r="E15" i="19"/>
  <c r="B12" i="19"/>
  <c r="F60" i="19"/>
  <c r="E51" i="19"/>
  <c r="B46" i="19"/>
  <c r="B44" i="19"/>
  <c r="B42" i="19"/>
  <c r="D33" i="19"/>
  <c r="B28" i="19"/>
  <c r="F24" i="19"/>
  <c r="B24" i="19"/>
  <c r="D15" i="19"/>
  <c r="B11" i="19"/>
  <c r="D69" i="19"/>
  <c r="E60" i="19"/>
  <c r="D51" i="19"/>
  <c r="B3" i="19"/>
  <c r="F42" i="19"/>
  <c r="E24" i="19"/>
  <c r="C15" i="19"/>
  <c r="B26" i="19"/>
  <c r="C33" i="19"/>
  <c r="B9" i="19"/>
  <c r="G11" i="5"/>
  <c r="G24" i="5"/>
  <c r="N2" i="7"/>
  <c r="L1" i="7"/>
  <c r="G24" i="17"/>
  <c r="F26" i="18"/>
  <c r="J107" i="7"/>
  <c r="J164" i="7"/>
  <c r="J156" i="7"/>
  <c r="J148" i="7"/>
  <c r="J140" i="7"/>
  <c r="J102" i="7"/>
  <c r="J73" i="7"/>
  <c r="J65" i="7"/>
  <c r="J143" i="7"/>
  <c r="J64" i="7"/>
  <c r="J100" i="7"/>
  <c r="J71" i="7"/>
  <c r="J158" i="7"/>
  <c r="J150" i="7"/>
  <c r="J142" i="7"/>
  <c r="J55" i="7"/>
  <c r="J46" i="7"/>
  <c r="J38" i="7"/>
  <c r="J30" i="7"/>
  <c r="J18" i="7"/>
  <c r="J22" i="7"/>
  <c r="K41" i="13"/>
  <c r="A7" i="22" s="1"/>
  <c r="J51" i="7"/>
  <c r="J43" i="7"/>
  <c r="J35" i="7"/>
  <c r="J27" i="7"/>
  <c r="J19" i="7"/>
  <c r="E520" i="2"/>
  <c r="H521" i="2"/>
  <c r="E518" i="2"/>
  <c r="C516" i="2"/>
  <c r="X8" i="2"/>
  <c r="E17" i="23" s="1"/>
  <c r="P8" i="2"/>
  <c r="K8" i="2"/>
  <c r="G8" i="2"/>
  <c r="C8" i="2"/>
  <c r="B41" i="23"/>
  <c r="F4" i="2"/>
  <c r="BI3" i="2"/>
  <c r="S8" i="2"/>
  <c r="E12" i="23" s="1"/>
  <c r="J8" i="2"/>
  <c r="B8" i="2"/>
  <c r="B1" i="2"/>
  <c r="I8" i="2"/>
  <c r="AD5" i="2"/>
  <c r="B23" i="23" s="1"/>
  <c r="E20" i="23"/>
  <c r="O8" i="2"/>
  <c r="F8" i="2"/>
  <c r="AM5" i="2"/>
  <c r="B32" i="23" s="1"/>
  <c r="BE3" i="2"/>
  <c r="E11" i="23"/>
  <c r="E54" i="23"/>
  <c r="Y8" i="2"/>
  <c r="E18" i="23" s="1"/>
  <c r="Q8" i="2"/>
  <c r="E10" i="23" s="1"/>
  <c r="L8" i="2"/>
  <c r="H8" i="2"/>
  <c r="D8" i="2"/>
  <c r="B50" i="23"/>
  <c r="Q5" i="2"/>
  <c r="B10" i="23" s="1"/>
  <c r="BL3" i="2"/>
  <c r="E57" i="23"/>
  <c r="E19" i="23"/>
  <c r="M8" i="2"/>
  <c r="K5" i="2"/>
  <c r="B3" i="24"/>
  <c r="C1018" i="4"/>
  <c r="D512" i="4"/>
  <c r="D10" i="4"/>
  <c r="G7" i="4"/>
  <c r="C3" i="4"/>
  <c r="N8" i="4"/>
  <c r="H8" i="4"/>
  <c r="M8" i="4"/>
  <c r="E8" i="4"/>
  <c r="F3" i="4"/>
  <c r="C1" i="4"/>
  <c r="C8" i="4"/>
  <c r="F146" i="7"/>
  <c r="F146" i="23" s="1"/>
  <c r="F142" i="7"/>
  <c r="F142" i="23" s="1"/>
  <c r="E166" i="7"/>
  <c r="F163" i="7"/>
  <c r="F163" i="23" s="1"/>
  <c r="F161" i="7"/>
  <c r="F161" i="23" s="1"/>
  <c r="F159" i="7"/>
  <c r="F159" i="23" s="1"/>
  <c r="F156" i="7"/>
  <c r="F156" i="23" s="1"/>
  <c r="F154" i="7"/>
  <c r="F154" i="23" s="1"/>
  <c r="F152" i="7"/>
  <c r="F152" i="23" s="1"/>
  <c r="F150" i="7"/>
  <c r="F150" i="23" s="1"/>
  <c r="F148" i="7"/>
  <c r="F148" i="23" s="1"/>
  <c r="F145" i="7"/>
  <c r="F145" i="23" s="1"/>
  <c r="F141" i="7"/>
  <c r="F141" i="23" s="1"/>
  <c r="F88" i="7"/>
  <c r="F88" i="23" s="1"/>
  <c r="F79" i="7"/>
  <c r="F79" i="23" s="1"/>
  <c r="F75" i="7"/>
  <c r="F75" i="23" s="1"/>
  <c r="F73" i="7"/>
  <c r="F73" i="23" s="1"/>
  <c r="F162" i="7"/>
  <c r="F162" i="23" s="1"/>
  <c r="F160" i="7"/>
  <c r="F160" i="23" s="1"/>
  <c r="F144" i="7"/>
  <c r="F144" i="23" s="1"/>
  <c r="F143" i="7"/>
  <c r="F143" i="23" s="1"/>
  <c r="F74" i="7"/>
  <c r="F74" i="23" s="1"/>
  <c r="F69" i="7"/>
  <c r="F69" i="23" s="1"/>
  <c r="F68" i="7"/>
  <c r="F68" i="23" s="1"/>
  <c r="F59" i="7"/>
  <c r="F59" i="23" s="1"/>
  <c r="F57" i="7"/>
  <c r="F57" i="23" s="1"/>
  <c r="F51" i="7"/>
  <c r="F51" i="23" s="1"/>
  <c r="F49" i="7"/>
  <c r="F49" i="23" s="1"/>
  <c r="F47" i="7"/>
  <c r="F47" i="23" s="1"/>
  <c r="F31" i="7"/>
  <c r="F31" i="23" s="1"/>
  <c r="F29" i="7"/>
  <c r="F29" i="23" s="1"/>
  <c r="F27" i="7"/>
  <c r="F27" i="23" s="1"/>
  <c r="F25" i="7"/>
  <c r="F25" i="23" s="1"/>
  <c r="F23" i="7"/>
  <c r="F23" i="23" s="1"/>
  <c r="F21" i="7"/>
  <c r="F21" i="23" s="1"/>
  <c r="F18" i="7"/>
  <c r="F18" i="23" s="1"/>
  <c r="H7" i="7"/>
  <c r="I4" i="7"/>
  <c r="F89" i="7"/>
  <c r="F89" i="23" s="1"/>
  <c r="F80" i="7"/>
  <c r="F80" i="23" s="1"/>
  <c r="F78" i="7"/>
  <c r="F78" i="23" s="1"/>
  <c r="F67" i="7"/>
  <c r="F67" i="23" s="1"/>
  <c r="B63" i="7"/>
  <c r="E61" i="7"/>
  <c r="F40" i="7"/>
  <c r="F40" i="23" s="1"/>
  <c r="F38" i="7"/>
  <c r="F38" i="23" s="1"/>
  <c r="F36" i="7"/>
  <c r="F36" i="23" s="1"/>
  <c r="F34" i="7"/>
  <c r="F34" i="23" s="1"/>
  <c r="F32" i="7"/>
  <c r="F32" i="23" s="1"/>
  <c r="F12" i="7"/>
  <c r="F7" i="7"/>
  <c r="L2" i="7"/>
  <c r="F155" i="7"/>
  <c r="F155" i="23" s="1"/>
  <c r="F153" i="7"/>
  <c r="F153" i="23" s="1"/>
  <c r="F151" i="7"/>
  <c r="F151" i="23" s="1"/>
  <c r="F149" i="7"/>
  <c r="F149" i="23" s="1"/>
  <c r="F147" i="7"/>
  <c r="F147" i="23" s="1"/>
  <c r="F140" i="7"/>
  <c r="F140" i="23" s="1"/>
  <c r="F139" i="7"/>
  <c r="F139" i="23" s="1"/>
  <c r="F76" i="7"/>
  <c r="F76" i="23" s="1"/>
  <c r="F72" i="7"/>
  <c r="F72" i="23" s="1"/>
  <c r="F65" i="7"/>
  <c r="F65" i="23" s="1"/>
  <c r="F64" i="7"/>
  <c r="F64" i="23" s="1"/>
  <c r="F58" i="7"/>
  <c r="F58" i="23" s="1"/>
  <c r="F56" i="7"/>
  <c r="F56" i="23" s="1"/>
  <c r="F50" i="7"/>
  <c r="F50" i="23" s="1"/>
  <c r="F48" i="7"/>
  <c r="F48" i="23" s="1"/>
  <c r="F30" i="7"/>
  <c r="F30" i="23" s="1"/>
  <c r="F28" i="7"/>
  <c r="F28" i="23" s="1"/>
  <c r="F26" i="7"/>
  <c r="F26" i="23" s="1"/>
  <c r="F24" i="7"/>
  <c r="F24" i="23" s="1"/>
  <c r="F22" i="7"/>
  <c r="F22" i="23" s="1"/>
  <c r="F17" i="7"/>
  <c r="F17" i="23" s="1"/>
  <c r="J7" i="7"/>
  <c r="B7" i="7"/>
  <c r="L3" i="7"/>
  <c r="B1" i="7"/>
  <c r="F39" i="7"/>
  <c r="F39" i="23" s="1"/>
  <c r="F35" i="7"/>
  <c r="F35" i="23" s="1"/>
  <c r="F10" i="7"/>
  <c r="F10" i="23" s="1"/>
  <c r="L6" i="7"/>
  <c r="F37" i="7"/>
  <c r="F37" i="23" s="1"/>
  <c r="F33" i="7"/>
  <c r="F33" i="23" s="1"/>
  <c r="B9" i="7"/>
  <c r="M1" i="7"/>
  <c r="I7" i="7"/>
  <c r="B4" i="11"/>
  <c r="B57" i="11"/>
  <c r="B6" i="11"/>
  <c r="J10" i="13"/>
  <c r="K17" i="13" s="1"/>
  <c r="A5" i="22" s="1"/>
  <c r="I12" i="7"/>
  <c r="I61" i="7" s="1"/>
  <c r="A9" i="22" l="1"/>
  <c r="G64" i="17"/>
  <c r="G20" i="17" s="1"/>
  <c r="V19" i="19"/>
  <c r="O523" i="2"/>
  <c r="O524" i="2"/>
  <c r="G16" i="17"/>
  <c r="E44" i="23"/>
  <c r="F47" i="13"/>
  <c r="E41" i="23"/>
  <c r="F44" i="13"/>
  <c r="E42" i="23"/>
  <c r="F45" i="13"/>
  <c r="E43" i="23"/>
  <c r="F46" i="13"/>
  <c r="E52" i="23"/>
  <c r="F58" i="13"/>
  <c r="I29" i="17"/>
  <c r="I87" i="17" s="1"/>
  <c r="G41" i="5"/>
  <c r="M21" i="15"/>
  <c r="F22" i="20" s="1"/>
  <c r="G277" i="5"/>
  <c r="H277" i="5" s="1"/>
  <c r="G303" i="5"/>
  <c r="H303" i="5" s="1"/>
  <c r="M60" i="15"/>
  <c r="F45" i="20" s="1"/>
  <c r="M74" i="15"/>
  <c r="F60" i="20" s="1"/>
  <c r="G511" i="5"/>
  <c r="H511" i="5" s="1"/>
  <c r="M18" i="15"/>
  <c r="F19" i="20" s="1"/>
  <c r="M75" i="15"/>
  <c r="F61" i="20" s="1"/>
  <c r="M61" i="15"/>
  <c r="F46" i="20" s="1"/>
  <c r="G69" i="5"/>
  <c r="H69" i="5" s="1"/>
  <c r="M19" i="15"/>
  <c r="F20" i="20" s="1"/>
  <c r="M22" i="15"/>
  <c r="F23" i="20" s="1"/>
  <c r="M14" i="15"/>
  <c r="F15" i="20" s="1"/>
  <c r="M68" i="15"/>
  <c r="F53" i="20" s="1"/>
  <c r="M24" i="15"/>
  <c r="F25" i="20" s="1"/>
  <c r="G368" i="5"/>
  <c r="H368" i="5" s="1"/>
  <c r="M67" i="15"/>
  <c r="F52" i="20" s="1"/>
  <c r="M78" i="15"/>
  <c r="F64" i="20" s="1"/>
  <c r="M64" i="15"/>
  <c r="F49" i="20" s="1"/>
  <c r="M79" i="15"/>
  <c r="F65" i="20" s="1"/>
  <c r="G290" i="5"/>
  <c r="H290" i="5" s="1"/>
  <c r="M34" i="15"/>
  <c r="F36" i="20" s="1"/>
  <c r="M71" i="15"/>
  <c r="F57" i="20" s="1"/>
  <c r="M73" i="15"/>
  <c r="G134" i="5"/>
  <c r="H134" i="5" s="1"/>
  <c r="M13" i="15"/>
  <c r="G95" i="5"/>
  <c r="H95" i="5" s="1"/>
  <c r="M20" i="15"/>
  <c r="F21" i="20" s="1"/>
  <c r="G251" i="5"/>
  <c r="H251" i="5" s="1"/>
  <c r="G82" i="5"/>
  <c r="H82" i="5" s="1"/>
  <c r="G355" i="5"/>
  <c r="H355" i="5" s="1"/>
  <c r="G563" i="5"/>
  <c r="H563" i="5" s="1"/>
  <c r="M66" i="15"/>
  <c r="F51" i="20" s="1"/>
  <c r="G121" i="5"/>
  <c r="H121" i="5" s="1"/>
  <c r="M28" i="15"/>
  <c r="F30" i="20" s="1"/>
  <c r="M63" i="15"/>
  <c r="F48" i="20" s="1"/>
  <c r="M77" i="15"/>
  <c r="F63" i="20" s="1"/>
  <c r="M17" i="15"/>
  <c r="F18" i="20" s="1"/>
  <c r="M65" i="15"/>
  <c r="F50" i="20" s="1"/>
  <c r="M32" i="15"/>
  <c r="F34" i="20" s="1"/>
  <c r="G225" i="5"/>
  <c r="H225" i="5" s="1"/>
  <c r="M33" i="15"/>
  <c r="F35" i="20" s="1"/>
  <c r="G80" i="17"/>
  <c r="F35" i="18" s="1"/>
  <c r="F36" i="18" s="1"/>
  <c r="F45" i="18" s="1"/>
  <c r="G56" i="5"/>
  <c r="H56" i="5" s="1"/>
  <c r="M10" i="15"/>
  <c r="I166" i="23"/>
  <c r="F82" i="17"/>
  <c r="E50" i="23"/>
  <c r="R5" i="24"/>
  <c r="E51" i="23"/>
  <c r="S5" i="24"/>
  <c r="A15" i="22"/>
  <c r="A18" i="22"/>
  <c r="A21" i="22"/>
  <c r="A19" i="22"/>
  <c r="G401" i="5"/>
  <c r="G405" i="5" s="1"/>
  <c r="A8" i="22"/>
  <c r="F84" i="17"/>
  <c r="F40" i="18" s="1"/>
  <c r="K116" i="14"/>
  <c r="A23" i="22" s="1"/>
  <c r="B42" i="12"/>
  <c r="B3" i="16"/>
  <c r="B4" i="13"/>
  <c r="B5" i="14"/>
  <c r="B3" i="18"/>
  <c r="B3" i="17"/>
  <c r="B123" i="23"/>
  <c r="B123" i="7"/>
  <c r="C69" i="14"/>
  <c r="F79" i="14"/>
  <c r="B139" i="23"/>
  <c r="F91" i="14"/>
  <c r="C81" i="14"/>
  <c r="E123" i="23"/>
  <c r="E123" i="7"/>
  <c r="E117" i="23"/>
  <c r="E117" i="7"/>
  <c r="F61" i="14"/>
  <c r="E131" i="23"/>
  <c r="E131" i="7"/>
  <c r="E90" i="23"/>
  <c r="E90" i="7"/>
  <c r="B90" i="23"/>
  <c r="B90" i="7"/>
  <c r="C38" i="14"/>
  <c r="F54" i="14"/>
  <c r="B113" i="23"/>
  <c r="B113" i="7"/>
  <c r="F67" i="14"/>
  <c r="C56" i="14"/>
  <c r="E55" i="23"/>
  <c r="E55" i="7"/>
  <c r="E113" i="23"/>
  <c r="E113" i="7"/>
  <c r="F57" i="14"/>
  <c r="E159" i="23"/>
  <c r="F108" i="14"/>
  <c r="E159" i="7"/>
  <c r="B148" i="23"/>
  <c r="C93" i="14"/>
  <c r="F103" i="14"/>
  <c r="E114" i="23"/>
  <c r="E114" i="7"/>
  <c r="F58" i="14"/>
  <c r="E95" i="23"/>
  <c r="F40" i="14"/>
  <c r="E95" i="7"/>
  <c r="E115" i="23"/>
  <c r="E115" i="7"/>
  <c r="F59" i="14"/>
  <c r="E116" i="23"/>
  <c r="E116" i="7"/>
  <c r="F60" i="14"/>
  <c r="E132" i="23"/>
  <c r="E132" i="7"/>
  <c r="E134" i="23"/>
  <c r="E134" i="7"/>
  <c r="E133" i="23"/>
  <c r="E133" i="7"/>
  <c r="F32" i="20"/>
  <c r="F38" i="20"/>
  <c r="I166" i="7"/>
  <c r="J166" i="7" s="1"/>
  <c r="J90" i="7"/>
  <c r="E75" i="7"/>
  <c r="F21" i="14"/>
  <c r="E78" i="7"/>
  <c r="F23" i="14"/>
  <c r="E77" i="7"/>
  <c r="E79" i="7"/>
  <c r="F22" i="14"/>
  <c r="E76" i="7"/>
  <c r="E56" i="7"/>
  <c r="E50" i="7"/>
  <c r="E51" i="7"/>
  <c r="E52" i="7"/>
  <c r="D20" i="5"/>
  <c r="B5" i="19"/>
  <c r="B3" i="3"/>
  <c r="F13" i="13"/>
  <c r="E19" i="7"/>
  <c r="C55" i="13"/>
  <c r="F66" i="13"/>
  <c r="B50" i="7"/>
  <c r="F8" i="13"/>
  <c r="E10" i="7"/>
  <c r="F14" i="13"/>
  <c r="E20" i="7"/>
  <c r="F43" i="14"/>
  <c r="E102" i="7"/>
  <c r="F39" i="14"/>
  <c r="F41" i="14"/>
  <c r="E100" i="7"/>
  <c r="C9" i="14"/>
  <c r="F36" i="14"/>
  <c r="B64" i="7"/>
  <c r="F42" i="14"/>
  <c r="E101" i="7"/>
  <c r="F12" i="18"/>
  <c r="F13" i="18"/>
  <c r="F28" i="17"/>
  <c r="F39" i="18"/>
  <c r="G51" i="17"/>
  <c r="G14" i="17" s="1"/>
  <c r="H12" i="12"/>
  <c r="B3" i="15"/>
  <c r="E57" i="7"/>
  <c r="F12" i="13"/>
  <c r="E18" i="7"/>
  <c r="C31" i="13"/>
  <c r="F41" i="13"/>
  <c r="B32" i="7"/>
  <c r="C19" i="13"/>
  <c r="F29" i="13"/>
  <c r="B23" i="7"/>
  <c r="F12" i="14"/>
  <c r="E66" i="7"/>
  <c r="F47" i="14"/>
  <c r="E106" i="7"/>
  <c r="B139" i="7"/>
  <c r="F44" i="14"/>
  <c r="E103" i="7"/>
  <c r="B148" i="7"/>
  <c r="F10" i="14"/>
  <c r="E64" i="7"/>
  <c r="F45" i="14"/>
  <c r="E104" i="7"/>
  <c r="F114" i="14"/>
  <c r="C105" i="14"/>
  <c r="B157" i="7"/>
  <c r="F11" i="14"/>
  <c r="E65" i="7"/>
  <c r="F46" i="14"/>
  <c r="E105" i="7"/>
  <c r="F11" i="18"/>
  <c r="D7" i="5"/>
  <c r="J12" i="7"/>
  <c r="E54" i="7"/>
  <c r="F10" i="13"/>
  <c r="E12" i="7"/>
  <c r="C43" i="13"/>
  <c r="F53" i="13"/>
  <c r="B41" i="7"/>
  <c r="F16" i="14"/>
  <c r="E70" i="7"/>
  <c r="F13" i="14"/>
  <c r="E67" i="7"/>
  <c r="F48" i="14"/>
  <c r="E107" i="7"/>
  <c r="F14" i="14"/>
  <c r="E68" i="7"/>
  <c r="F15" i="14"/>
  <c r="E69" i="7"/>
  <c r="A6" i="22"/>
  <c r="G62" i="17"/>
  <c r="G18" i="17" s="1"/>
  <c r="A14" i="22"/>
  <c r="F22" i="18"/>
  <c r="C7" i="13"/>
  <c r="F17" i="13"/>
  <c r="B10" i="7"/>
  <c r="F9" i="13"/>
  <c r="E11" i="7"/>
  <c r="F11" i="13"/>
  <c r="E17" i="7"/>
  <c r="G15" i="5"/>
  <c r="F20" i="14"/>
  <c r="E74" i="7"/>
  <c r="F17" i="14"/>
  <c r="E71" i="7"/>
  <c r="F106" i="14"/>
  <c r="E157" i="7"/>
  <c r="F18" i="14"/>
  <c r="E72" i="7"/>
  <c r="F107" i="14"/>
  <c r="E158" i="7"/>
  <c r="F19" i="14"/>
  <c r="E73" i="7"/>
  <c r="E164" i="7"/>
  <c r="A10" i="22"/>
  <c r="K68" i="13"/>
  <c r="J61" i="7"/>
  <c r="G407" i="5" l="1"/>
  <c r="H407" i="5" s="1"/>
  <c r="M62" i="15"/>
  <c r="F47" i="20" s="1"/>
  <c r="G25" i="17"/>
  <c r="G26" i="17" s="1"/>
  <c r="G30" i="17" s="1"/>
  <c r="M8" i="15"/>
  <c r="F9" i="20" s="1"/>
  <c r="G17" i="5"/>
  <c r="H17" i="5" s="1"/>
  <c r="F27" i="17"/>
  <c r="F38" i="18"/>
  <c r="F13" i="20"/>
  <c r="M9" i="15"/>
  <c r="F10" i="20" s="1"/>
  <c r="G81" i="17"/>
  <c r="G88" i="17" s="1"/>
  <c r="F14" i="20"/>
  <c r="A11" i="22"/>
  <c r="K118" i="14"/>
  <c r="K120" i="14" s="1"/>
  <c r="M86" i="15" s="1"/>
  <c r="H73" i="20" s="1"/>
  <c r="F19" i="18"/>
  <c r="F11" i="20"/>
  <c r="F9" i="18"/>
  <c r="G65" i="17"/>
  <c r="F12" i="20"/>
  <c r="N41" i="5"/>
  <c r="G43" i="5" l="1"/>
  <c r="H43" i="5" s="1"/>
  <c r="F59" i="20"/>
  <c r="F23" i="18"/>
  <c r="G21" i="17"/>
  <c r="N26" i="15"/>
  <c r="N37" i="15"/>
  <c r="A25" i="22" s="1"/>
  <c r="M88" i="15"/>
  <c r="N89" i="15" s="1"/>
  <c r="A31" i="22" s="1"/>
  <c r="N69" i="15"/>
  <c r="G44" i="17" s="1"/>
  <c r="F56" i="18" s="1"/>
  <c r="N80" i="15" l="1"/>
  <c r="G47" i="17" s="1"/>
  <c r="F59" i="18" s="1"/>
  <c r="F60" i="18" s="1"/>
  <c r="G33" i="17"/>
  <c r="A24" i="22"/>
  <c r="A28" i="22"/>
  <c r="G37" i="17"/>
  <c r="F50" i="18" s="1"/>
  <c r="N56" i="15"/>
  <c r="H69" i="20" s="1"/>
  <c r="N81" i="15" l="1"/>
  <c r="H75" i="20" s="1"/>
  <c r="H79" i="20" s="1"/>
  <c r="A29" i="22"/>
  <c r="F47" i="18"/>
  <c r="F54" i="18" s="1"/>
  <c r="G42" i="17"/>
  <c r="G9" i="17" s="1"/>
  <c r="Q56" i="15"/>
  <c r="G48" i="17"/>
  <c r="G11" i="17" s="1"/>
  <c r="N91" i="15" l="1"/>
  <c r="A32" i="22" s="1"/>
  <c r="A30" i="22"/>
  <c r="Q91" i="15" l="1"/>
  <c r="Q80" i="15" s="1"/>
  <c r="R78" i="15" s="1"/>
  <c r="B4" i="3" l="1"/>
  <c r="B4" i="2"/>
  <c r="J77" i="20"/>
  <c r="J78" i="20" s="1"/>
  <c r="B4" i="20" s="1"/>
  <c r="E41" i="7"/>
  <c r="E43" i="7"/>
  <c r="E44" i="7"/>
  <c r="E42" i="7"/>
  <c r="E45" i="7"/>
  <c r="F174" i="1"/>
  <c r="M141" i="1" l="1"/>
  <c r="D113" i="19"/>
  <c r="S25" i="19" s="1"/>
  <c r="F175" i="1"/>
  <c r="M142" i="1"/>
  <c r="D114" i="19" l="1"/>
  <c r="S26" i="19" s="1"/>
  <c r="F176" i="1"/>
  <c r="M143" i="1" s="1"/>
  <c r="F177" i="1"/>
  <c r="F178" i="1"/>
  <c r="D115" i="19" l="1"/>
  <c r="S27" i="19" s="1"/>
  <c r="D117" i="19"/>
  <c r="S29" i="19" s="1"/>
  <c r="M144" i="1"/>
  <c r="D116" i="19"/>
  <c r="S28" i="19" s="1"/>
  <c r="V20" i="19" l="1"/>
  <c r="D53" i="19" l="1"/>
  <c r="E53" i="19" s="1"/>
  <c r="D19" i="19"/>
  <c r="E19" i="19" s="1"/>
  <c r="D37" i="19"/>
  <c r="E37" i="19" s="1"/>
  <c r="D35" i="19"/>
  <c r="E35" i="19" s="1"/>
  <c r="D73" i="19"/>
  <c r="E73" i="19" s="1"/>
  <c r="D55" i="19"/>
  <c r="E55" i="19" s="1"/>
  <c r="D39" i="19"/>
  <c r="E39" i="19" s="1"/>
  <c r="D75" i="19"/>
  <c r="E75" i="19" s="1"/>
  <c r="D21" i="19"/>
  <c r="E21" i="19" s="1"/>
  <c r="D17" i="19"/>
  <c r="E17" i="19" s="1"/>
  <c r="D71" i="19"/>
  <c r="E71" i="19" s="1"/>
  <c r="D57" i="19"/>
  <c r="E57" i="19" s="1"/>
  <c r="H173" i="1" l="1"/>
  <c r="F112" i="19" s="1"/>
  <c r="S31" i="19" s="1"/>
  <c r="M147" i="1"/>
  <c r="H174" i="1"/>
  <c r="F113" i="19" s="1"/>
  <c r="S32" i="19" s="1"/>
  <c r="F118" i="19"/>
  <c r="S37" i="19" s="1"/>
  <c r="H178" i="1"/>
  <c r="M152" i="1" s="1"/>
  <c r="H177" i="1"/>
  <c r="F116" i="19" s="1"/>
  <c r="S35" i="19" s="1"/>
  <c r="F184" i="1"/>
  <c r="D123" i="19" s="1"/>
  <c r="V25" i="19" s="1"/>
  <c r="H184" i="1"/>
  <c r="P148" i="1" s="1"/>
  <c r="M151" i="1" l="1"/>
  <c r="M153" i="1"/>
  <c r="P141" i="1"/>
  <c r="F117" i="19"/>
  <c r="S36" i="19" s="1"/>
  <c r="M148" i="1"/>
  <c r="C82" i="19"/>
  <c r="C46" i="19"/>
  <c r="C100" i="19"/>
  <c r="C64" i="19"/>
  <c r="C28" i="19"/>
  <c r="F21" i="19"/>
  <c r="H128" i="1" s="1"/>
  <c r="F93" i="19"/>
  <c r="F53" i="19"/>
  <c r="G55" i="19" s="1"/>
  <c r="F62" i="19" s="1"/>
  <c r="F39" i="19"/>
  <c r="F71" i="19"/>
  <c r="G73" i="19" s="1"/>
  <c r="F80" i="19" s="1"/>
  <c r="F57" i="19"/>
  <c r="F89" i="19"/>
  <c r="G91" i="19" s="1"/>
  <c r="F98" i="19" s="1"/>
  <c r="F35" i="19"/>
  <c r="G37" i="19" s="1"/>
  <c r="F44" i="19" s="1"/>
  <c r="F75" i="19"/>
  <c r="F17" i="19"/>
  <c r="F123" i="19"/>
  <c r="V32" i="19" s="1"/>
  <c r="G19" i="19" l="1"/>
  <c r="F26" i="19" s="1"/>
  <c r="H126" i="1"/>
  <c r="G75" i="19"/>
  <c r="F82" i="19" s="1"/>
  <c r="F84" i="19" s="1"/>
  <c r="G57" i="19"/>
  <c r="F64" i="19" s="1"/>
  <c r="F66" i="19" s="1"/>
  <c r="G39" i="19"/>
  <c r="F46" i="19" s="1"/>
  <c r="F48" i="19" s="1"/>
  <c r="G93" i="19"/>
  <c r="F100" i="19" s="1"/>
  <c r="F102" i="19" s="1"/>
  <c r="G21" i="19"/>
  <c r="F28" i="19" s="1"/>
  <c r="F30" i="19" l="1"/>
  <c r="J102" i="19" s="1"/>
  <c r="J106" i="19" s="1"/>
  <c r="P1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7" authorId="0" shapeId="0" xr:uid="{00000000-0006-0000-0600-000003000000}">
      <text>
        <r>
          <rPr>
            <sz val="8"/>
            <color rgb="FF000000"/>
            <rFont val="Tahoma"/>
            <family val="2"/>
            <charset val="1"/>
          </rPr>
          <t>This column shows the difference between the budgeted amount and the actual revenues to date.
Cette colonne présente la différence entre le budget et les revenus.</t>
        </r>
      </text>
    </comment>
  </commentList>
</comments>
</file>

<file path=xl/sharedStrings.xml><?xml version="1.0" encoding="utf-8"?>
<sst xmlns="http://schemas.openxmlformats.org/spreadsheetml/2006/main" count="1098" uniqueCount="563">
  <si>
    <t>Acct Detailed Reconcil</t>
  </si>
  <si>
    <t>Réconcil Dét. Des comptes</t>
  </si>
  <si>
    <t>Deposits</t>
  </si>
  <si>
    <t>Dépôts</t>
  </si>
  <si>
    <t>Volunteering tracker</t>
  </si>
  <si>
    <t>Suivi Volontariat</t>
  </si>
  <si>
    <t>Activity Report</t>
  </si>
  <si>
    <t>Rapport Activité</t>
  </si>
  <si>
    <t>Alberta</t>
  </si>
  <si>
    <t>AB</t>
  </si>
  <si>
    <t>N</t>
  </si>
  <si>
    <t>BC</t>
  </si>
  <si>
    <t>Manitoba</t>
  </si>
  <si>
    <t>MB</t>
  </si>
  <si>
    <t>NB</t>
  </si>
  <si>
    <t>Y</t>
  </si>
  <si>
    <t>NL</t>
  </si>
  <si>
    <t>NS</t>
  </si>
  <si>
    <t>Ontario</t>
  </si>
  <si>
    <t>NT</t>
  </si>
  <si>
    <t>NU</t>
  </si>
  <si>
    <t>ON</t>
  </si>
  <si>
    <t>PE</t>
  </si>
  <si>
    <t>AM</t>
  </si>
  <si>
    <t>Saskatchewan</t>
  </si>
  <si>
    <t>QC</t>
  </si>
  <si>
    <t>PM</t>
  </si>
  <si>
    <t>SK</t>
  </si>
  <si>
    <t>YT</t>
  </si>
  <si>
    <t>Aug</t>
  </si>
  <si>
    <t>juin</t>
  </si>
  <si>
    <t>août</t>
  </si>
  <si>
    <t>This province does not participate in the HST Program.</t>
  </si>
  <si>
    <t>This province participates in the HST Program.</t>
  </si>
  <si>
    <t>Cette province ne participe pas au programme de la TVH.</t>
  </si>
  <si>
    <t>Cette province participe au programme de la TVH.</t>
  </si>
  <si>
    <t>(a)</t>
  </si>
  <si>
    <t>(b)</t>
  </si>
  <si>
    <t>Ajoutez des catégories additionnelles dans les cellules disponibles de ce journal. Assurez-vous de respecter les catégories. Les sous-comptes doivent correspondre au compte affilié. Elles seront reportées automatiquement aux autres onglets.</t>
  </si>
  <si>
    <t>Add accounts of your own in available cells on this page. Ensure to respect the categories. The Sub-Accounts must correspond with their affiliated account. They will replicate to all other tabs.</t>
  </si>
  <si>
    <t>√</t>
  </si>
  <si>
    <t>1 (a)</t>
  </si>
  <si>
    <t>1 (b)</t>
  </si>
  <si>
    <t>1 (c)</t>
  </si>
  <si>
    <t>1 (d)</t>
  </si>
  <si>
    <t>1 (e)</t>
  </si>
  <si>
    <t>1 (f)</t>
  </si>
  <si>
    <t>1 (g)</t>
  </si>
  <si>
    <t>1 (h)</t>
  </si>
  <si>
    <t>1 (i)</t>
  </si>
  <si>
    <t>2 (a)</t>
  </si>
  <si>
    <t>2 (b)</t>
  </si>
  <si>
    <t>2 (c)</t>
  </si>
  <si>
    <t>2 (e)</t>
  </si>
  <si>
    <t>2 (f)</t>
  </si>
  <si>
    <t>2 (g)</t>
  </si>
  <si>
    <t>2 (h)</t>
  </si>
  <si>
    <t>2 (i)</t>
  </si>
  <si>
    <t>2 (j)</t>
  </si>
  <si>
    <t>4 (a)</t>
  </si>
  <si>
    <t>4 (b)</t>
  </si>
  <si>
    <t>4 (c)</t>
  </si>
  <si>
    <t>4 (d)</t>
  </si>
  <si>
    <t>4 (e)</t>
  </si>
  <si>
    <t>4 (f)</t>
  </si>
  <si>
    <t>4 (g)</t>
  </si>
  <si>
    <t>4 (h)</t>
  </si>
  <si>
    <t>4 (i)</t>
  </si>
  <si>
    <t>6 (a)</t>
  </si>
  <si>
    <t>6 (b)</t>
  </si>
  <si>
    <t>6 (c)</t>
  </si>
  <si>
    <t>6 (d)</t>
  </si>
  <si>
    <t>6 (e)</t>
  </si>
  <si>
    <t>6 (f)</t>
  </si>
  <si>
    <t>6 (g)</t>
  </si>
  <si>
    <t>6 (h)</t>
  </si>
  <si>
    <t>6 (i)</t>
  </si>
  <si>
    <t>8 (a)</t>
  </si>
  <si>
    <t>8 (b)</t>
  </si>
  <si>
    <t>8 (c)</t>
  </si>
  <si>
    <t>8 (d)</t>
  </si>
  <si>
    <t>8 (e)</t>
  </si>
  <si>
    <t>8 (f)</t>
  </si>
  <si>
    <t>8 (g)</t>
  </si>
  <si>
    <t>8 (h)</t>
  </si>
  <si>
    <t>8 (i)</t>
  </si>
  <si>
    <t>ADJ</t>
  </si>
  <si>
    <t>BK</t>
  </si>
  <si>
    <t>CC</t>
  </si>
  <si>
    <t>DD</t>
  </si>
  <si>
    <t>DP</t>
  </si>
  <si>
    <t>ET</t>
  </si>
  <si>
    <t xml:space="preserve"> </t>
  </si>
  <si>
    <t>Ajustement / Adjustment</t>
  </si>
  <si>
    <t>Banque / Banque</t>
  </si>
  <si>
    <t>Carte de crédit / Credit Card</t>
  </si>
  <si>
    <t>Dépôt direct / Direct Deposit</t>
  </si>
  <si>
    <t>Dépôt / Deposit</t>
  </si>
  <si>
    <t>Transfert électronique / eTransfer</t>
  </si>
  <si>
    <t>1(f)</t>
  </si>
  <si>
    <t>1 (j)</t>
  </si>
  <si>
    <t>1 (k)</t>
  </si>
  <si>
    <t>1 (l)</t>
  </si>
  <si>
    <t>1 (m)</t>
  </si>
  <si>
    <t>1 (n)</t>
  </si>
  <si>
    <t>1 (o)</t>
  </si>
  <si>
    <t>1 (p)</t>
  </si>
  <si>
    <t>1 (q)</t>
  </si>
  <si>
    <t>1 (r)</t>
  </si>
  <si>
    <t>1 (s)</t>
  </si>
  <si>
    <t>3 (a)</t>
  </si>
  <si>
    <t>3 (b)</t>
  </si>
  <si>
    <t>3 (c)</t>
  </si>
  <si>
    <t>3 (d)</t>
  </si>
  <si>
    <t>3 (e)</t>
  </si>
  <si>
    <t>3 (f)</t>
  </si>
  <si>
    <t>3 (g)</t>
  </si>
  <si>
    <t>3 (h)</t>
  </si>
  <si>
    <t>3 (i)</t>
  </si>
  <si>
    <t>4 (j)</t>
  </si>
  <si>
    <t>5 (a)</t>
  </si>
  <si>
    <t>5 (b)</t>
  </si>
  <si>
    <t>5 (c)</t>
  </si>
  <si>
    <t>5 (d)</t>
  </si>
  <si>
    <t>5 (e)</t>
  </si>
  <si>
    <t>5 (f)</t>
  </si>
  <si>
    <t>5 (g)</t>
  </si>
  <si>
    <t>5 (h)</t>
  </si>
  <si>
    <t>5 (i)</t>
  </si>
  <si>
    <t>PC</t>
  </si>
  <si>
    <t>REC</t>
  </si>
  <si>
    <t>Ref #</t>
  </si>
  <si>
    <t>Date</t>
  </si>
  <si>
    <t>Notes:</t>
  </si>
  <si>
    <t>1</t>
  </si>
  <si>
    <t>Version:</t>
  </si>
  <si>
    <t>Date:</t>
  </si>
  <si>
    <t>ACC-9 ID</t>
  </si>
  <si>
    <t>Description</t>
  </si>
  <si>
    <t xml:space="preserve">Year </t>
  </si>
  <si>
    <t>Column1</t>
  </si>
  <si>
    <t>EVENING / SOIR</t>
  </si>
  <si>
    <t>ANYTIME / EN TOUT TEMPS</t>
  </si>
  <si>
    <t>RR</t>
  </si>
  <si>
    <t>RT</t>
  </si>
  <si>
    <t>Signature</t>
  </si>
  <si>
    <t>The information provided in this ACC9 has been reviewed with due dilligence for completeness, reasonability and compliance in accordance with the League's procedures. This review is not an audit. The financial information included herein appears on its face to be reasonable. Nothing has come to our attention that would indicate the information provided is not reliable and/or fairly stated, except if and as noted in comments attached as annex "A" hereto.</t>
  </si>
  <si>
    <t>Page A-1</t>
  </si>
  <si>
    <t>Mandatory - ACC9 must be accompanied by year-end photocopies of bank account and investment statements with reconciliation worksheet that must balance with the amounts reported in this section of the ACC9 as well as of other investment statements. Copies of each monthly statement may be requested by PC reviewer.</t>
  </si>
  <si>
    <t>Obligatoire - l'ACC9 doit être accompagné de photocopies des divers relevés bancaires de fin d'année et des relevés de placements du courtier, ainsi que les conciliations des divers comptes de banque et des placements du courtier dont le total doit balancer avec les soldes reportés à l'ACC9. Au besoin, le responsable au CP peut exiger de voir tous les relevés mensuels bancaires et des placements de l'année.</t>
  </si>
  <si>
    <t>(c)</t>
  </si>
  <si>
    <t>(d)</t>
  </si>
  <si>
    <t>(e)</t>
  </si>
  <si>
    <t>(f)</t>
  </si>
  <si>
    <t>(g)</t>
  </si>
  <si>
    <t>(h)</t>
  </si>
  <si>
    <t>(i)</t>
  </si>
  <si>
    <t>(j)</t>
  </si>
  <si>
    <t>(k)</t>
  </si>
  <si>
    <t>(l)</t>
  </si>
  <si>
    <t>-</t>
  </si>
  <si>
    <t>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t>
  </si>
  <si>
    <t>This ACC9 has been prepared by</t>
  </si>
  <si>
    <t>from the accounting records of the Sponsoring Committee, other documentation, and information available from and to the Sponsoring Committee.</t>
  </si>
  <si>
    <t>Une différence de 0.01$ à approximativement 1$ n’est pas un problème et est acceptable si ceci est causé par l’arrondissement des cents. Dans ce cas, inscrivez à la ligne « Ajustement » la somme ajustée.</t>
  </si>
  <si>
    <t>Signature:</t>
  </si>
  <si>
    <t>A difference of say from $0.01 to approximately $1 is not cause for concern and would be acceptable as this is likely due to rounding cents to the $1 integer value. In this instance enter an adjustment for the appropriate rounding difference on line "Adjustment" line.</t>
  </si>
  <si>
    <t>Cet ACC-9 a été préparé par</t>
  </si>
  <si>
    <t xml:space="preserve"> des dépenses et du contrôle de toutes les sommes, conformément aux règles et procédures de la Ligue des cadets de l'air. Aucune vérification externe n'a été effectuée et, par conséquent, aucune opinion d'un vérificateure n'est exprimée sur ces états financiers. Notez que le commandant signe comme quoi il a été informé du contenu de l'ACC-9 et qu'il n'a aucune réserve sur son contenu à première vue.</t>
  </si>
  <si>
    <t>1510 -</t>
  </si>
  <si>
    <t>1510-1</t>
  </si>
  <si>
    <t>1510-2</t>
  </si>
  <si>
    <t>1510-3</t>
  </si>
  <si>
    <t>1510-4</t>
  </si>
  <si>
    <t>1510-5</t>
  </si>
  <si>
    <t>1510-6</t>
  </si>
  <si>
    <t>1510-7</t>
  </si>
  <si>
    <t>1510-8</t>
  </si>
  <si>
    <t>Le prix d'acquisition se réflètera dans l'état des immobilisations des états financiers. Le coût de remplacement sera utilisé aux fins de la couverture d'assurance. Dans le cas où le prix d'acquisition ou le coût de remplacement n'est pas connu, on attribue la même valeur aux deux.</t>
  </si>
  <si>
    <t>S-Total</t>
  </si>
  <si>
    <t>The purchase price will be reflected in the statement of fixed assets in the financial statements. The replacement cost will be used for insurance coverage purposes. In the event that the purchase price or the replacement cost is not known, both are given the same value.</t>
  </si>
  <si>
    <t>1520 -</t>
  </si>
  <si>
    <t>1520-1</t>
  </si>
  <si>
    <t>1520-2</t>
  </si>
  <si>
    <t>1520-3</t>
  </si>
  <si>
    <t>1520-4</t>
  </si>
  <si>
    <t>1520-5</t>
  </si>
  <si>
    <t>1520-6</t>
  </si>
  <si>
    <t>1520-7</t>
  </si>
  <si>
    <t>1520-8</t>
  </si>
  <si>
    <t>1530 -</t>
  </si>
  <si>
    <t>1530-1</t>
  </si>
  <si>
    <t>1530-2</t>
  </si>
  <si>
    <t>1530-3</t>
  </si>
  <si>
    <t>1530-4</t>
  </si>
  <si>
    <t>1530-5</t>
  </si>
  <si>
    <t>1530-6</t>
  </si>
  <si>
    <t>1530-7</t>
  </si>
  <si>
    <t>1530-8</t>
  </si>
  <si>
    <t>1540 -</t>
  </si>
  <si>
    <t>1540-1</t>
  </si>
  <si>
    <t>1540-2</t>
  </si>
  <si>
    <t>1540-3</t>
  </si>
  <si>
    <t>1540-4</t>
  </si>
  <si>
    <t>1540-5</t>
  </si>
  <si>
    <t>1540-6</t>
  </si>
  <si>
    <t>1540-7</t>
  </si>
  <si>
    <t>1540-8</t>
  </si>
  <si>
    <t>1550 -</t>
  </si>
  <si>
    <t>1550-1</t>
  </si>
  <si>
    <t>1550-2</t>
  </si>
  <si>
    <t>1550-3</t>
  </si>
  <si>
    <t>1550-4</t>
  </si>
  <si>
    <t>1550-5</t>
  </si>
  <si>
    <t>1550-6</t>
  </si>
  <si>
    <t>1550-7</t>
  </si>
  <si>
    <t>1550-8</t>
  </si>
  <si>
    <t>1560 -</t>
  </si>
  <si>
    <t>1560-1</t>
  </si>
  <si>
    <t>1560-2</t>
  </si>
  <si>
    <t>1560-3</t>
  </si>
  <si>
    <t>1560-4</t>
  </si>
  <si>
    <t>1560-5</t>
  </si>
  <si>
    <t>1560-6</t>
  </si>
  <si>
    <t>1560-7</t>
  </si>
  <si>
    <t>1560-8</t>
  </si>
  <si>
    <t>1570 -</t>
  </si>
  <si>
    <t>1570-1</t>
  </si>
  <si>
    <t>1570-2</t>
  </si>
  <si>
    <t>1570-3</t>
  </si>
  <si>
    <t>1570-4</t>
  </si>
  <si>
    <t>1570-5</t>
  </si>
  <si>
    <t>1570-6</t>
  </si>
  <si>
    <t>1570-7</t>
  </si>
  <si>
    <t>1570-8</t>
  </si>
  <si>
    <t>1580 -</t>
  </si>
  <si>
    <t>1580-1</t>
  </si>
  <si>
    <t>1580-2</t>
  </si>
  <si>
    <t>1580-3</t>
  </si>
  <si>
    <t>1580-4</t>
  </si>
  <si>
    <t>1580-5</t>
  </si>
  <si>
    <t>1580-6</t>
  </si>
  <si>
    <t>1580-7</t>
  </si>
  <si>
    <t>1580-8</t>
  </si>
  <si>
    <t>1590 -</t>
  </si>
  <si>
    <t>1590-1</t>
  </si>
  <si>
    <t>1590-2</t>
  </si>
  <si>
    <t>1590-3</t>
  </si>
  <si>
    <t>1590-4</t>
  </si>
  <si>
    <t>1590-5</t>
  </si>
  <si>
    <t>1590-6</t>
  </si>
  <si>
    <t>1590-7</t>
  </si>
  <si>
    <t>1590-8</t>
  </si>
  <si>
    <t>1600 -</t>
  </si>
  <si>
    <t>1600-1</t>
  </si>
  <si>
    <t>1600-2</t>
  </si>
  <si>
    <t>1600-3</t>
  </si>
  <si>
    <t>1600-4</t>
  </si>
  <si>
    <t>1600-5</t>
  </si>
  <si>
    <t>1600-6</t>
  </si>
  <si>
    <t>1600-7</t>
  </si>
  <si>
    <t>1600-8</t>
  </si>
  <si>
    <t>1600-9</t>
  </si>
  <si>
    <t>1600-10</t>
  </si>
  <si>
    <t>1600-11</t>
  </si>
  <si>
    <t>1600-12</t>
  </si>
  <si>
    <t>1600-13</t>
  </si>
  <si>
    <t>1600-14</t>
  </si>
  <si>
    <t>1600-15</t>
  </si>
  <si>
    <t>1600-16</t>
  </si>
  <si>
    <t>1610 -</t>
  </si>
  <si>
    <t>1610-1</t>
  </si>
  <si>
    <t>1610-2</t>
  </si>
  <si>
    <t>1610-3</t>
  </si>
  <si>
    <t>1610-4</t>
  </si>
  <si>
    <t>1610-5</t>
  </si>
  <si>
    <t>1610-6</t>
  </si>
  <si>
    <t>1610-7</t>
  </si>
  <si>
    <t>1610-8</t>
  </si>
  <si>
    <t>1620 -</t>
  </si>
  <si>
    <t>1620-1</t>
  </si>
  <si>
    <t>1620-2</t>
  </si>
  <si>
    <t>1620-3</t>
  </si>
  <si>
    <t>1620-4</t>
  </si>
  <si>
    <t>1620-5</t>
  </si>
  <si>
    <t>1620-6</t>
  </si>
  <si>
    <t>1620-7</t>
  </si>
  <si>
    <t>1620-8</t>
  </si>
  <si>
    <t>Total</t>
  </si>
  <si>
    <t>Note: L'inventaire des biens n'inclut pas les articles fournis par le MDN. Cette annexe devrait être mise-à-jour annuellement. Les actifs qui ont été vendus ou qui ne servent plus, devraient être enlevés de cette liste; de la même façon que l'on devrait y ajouter tout achat ou acquisition pendant l'année. De plus, le montant total de l'inventaire servira de base pour établir le montant d'assurance pour la prochaine année.</t>
  </si>
  <si>
    <t>Note: The inventory does not include the DND items. This inventory sheet is be updated on an annual basis.  Assets that are disposed of are to be removed from the list and any fixed assets acquired during the year are to be added. In addition, the total amount of the inventory value will be used to establish the insurance level for next year.</t>
  </si>
  <si>
    <t>This worksheet will autogenerate all the finiancial information required for the T3010 Federal Form.
Just input the numbers corresponding to the T3010 box numbers into the report. For some provinces, a provincial report may be required. Visit the appropriate website for more informations.
As per new accounts added, some adjustments might be required on the T3010.</t>
  </si>
  <si>
    <t>Cette feuille de travail produira tous les renseignements financiers requis pour le formulaire fédéral T3010.
Insérer les données qui correspondent aux numéro de ligne dans le rapport T3010. Dans certaines provinces, un rapport provincial distinct peut être requis. Pour plus d'informations, visitez le site internet de votre province.
Dépendant des nouveaux comptes ajoutés, des ajustements pourraient s'avérer nécessaires sur le formulaire T3010.</t>
  </si>
  <si>
    <t>Le rapport T3010 doit être complété par tous les organisme de bienfaisance enregistrés au fédéral. Ce rapport doit être accompagné des documents suivants:
- les états financiers ACC-9
- formulaire T1235
- formulaire T1236 (si requis)</t>
  </si>
  <si>
    <t>SECTION D</t>
  </si>
  <si>
    <t>4070 + Col. DONATIONS</t>
  </si>
  <si>
    <t>4010, 4020, 4030</t>
  </si>
  <si>
    <t>4040, 4050, 4060, 4080, 4090</t>
  </si>
  <si>
    <t>4299, 4499 ( - Col. Donations)</t>
  </si>
  <si>
    <t>(m)</t>
  </si>
  <si>
    <t>(n)</t>
  </si>
  <si>
    <t>Total expenditures (excluding gifts to qualified donees) (add lines 4860, 4810, and 4920)</t>
  </si>
  <si>
    <t>(l) + (m) + (n)</t>
  </si>
  <si>
    <t>(o)</t>
  </si>
  <si>
    <t>5030, 5040, 5050, 5080, 5090, 5100, 5140, 5150, 5160, 5170, 5180, 5190, 5499, 5599, 5699, 5899(- 5810)</t>
  </si>
  <si>
    <t>(p)</t>
  </si>
  <si>
    <t>5010, 5020, 5060, 5070, 5110, 5120, 5130, 5810</t>
  </si>
  <si>
    <t>(q)</t>
  </si>
  <si>
    <t>(r)</t>
  </si>
  <si>
    <t>(o) + (r)</t>
  </si>
  <si>
    <t>(s)</t>
  </si>
  <si>
    <t>The T3010 report must filled in by all Federal registered Charities. This report must be sent with the following documents:
- Financial Report ACC-9
- T1235 Form
- T1236 Form (if required)</t>
  </si>
  <si>
    <t>1510, 1540, 1550, 1560, 1570, 1580, 1590, 1600, 1610, 1620</t>
  </si>
  <si>
    <t>1520, 1530</t>
  </si>
  <si>
    <t>4840, 4850, 4860</t>
  </si>
  <si>
    <t>(t)</t>
  </si>
  <si>
    <t>4870, 4880, 4890</t>
  </si>
  <si>
    <t>(u)</t>
  </si>
  <si>
    <t>(v)</t>
  </si>
  <si>
    <t>(w)</t>
  </si>
  <si>
    <t>(x)</t>
  </si>
  <si>
    <t>(y)</t>
  </si>
  <si>
    <t>(z)</t>
  </si>
  <si>
    <t>(aa)</t>
  </si>
  <si>
    <t>(ab)</t>
  </si>
  <si>
    <t>(ac)</t>
  </si>
  <si>
    <t>(ad)</t>
  </si>
  <si>
    <t>(ae)</t>
  </si>
  <si>
    <t>(af)</t>
  </si>
  <si>
    <t>(ag)</t>
  </si>
  <si>
    <t>(ah)</t>
  </si>
  <si>
    <t>5090, 5100</t>
  </si>
  <si>
    <t>(ai)</t>
  </si>
  <si>
    <t>5010, 5020, 5070</t>
  </si>
  <si>
    <t>(aj)</t>
  </si>
  <si>
    <t>(ak)</t>
  </si>
  <si>
    <t>(al)</t>
  </si>
  <si>
    <t>(am)</t>
  </si>
  <si>
    <t>(an)</t>
  </si>
  <si>
    <t>(ao)</t>
  </si>
  <si>
    <t>(ap)</t>
  </si>
  <si>
    <t>(aq)</t>
  </si>
  <si>
    <t>(ar)</t>
  </si>
  <si>
    <t>(as)</t>
  </si>
  <si>
    <t>(at)</t>
  </si>
  <si>
    <t>(au)</t>
  </si>
  <si>
    <t>(av)</t>
  </si>
  <si>
    <t>(aw)</t>
  </si>
  <si>
    <t>(ax)</t>
  </si>
  <si>
    <t>(ay)</t>
  </si>
  <si>
    <t>(az)</t>
  </si>
  <si>
    <t>(at) + (az)</t>
  </si>
  <si>
    <t>(ba)</t>
  </si>
  <si>
    <t>This worksheet will autogenerate all the finiancial information required for the TP-985.22-V Quebec Form.
Just input the numbers corresponding to the TP-985.22-V box numbers into the report. Visit the appropriate website for more informations.
As per new accounts added, some adjustments might be required on the TP-985.22-V.</t>
  </si>
  <si>
    <t>Cette feuille de travail produira tous les renseignements financiers requis pour le formulaire TP-985.22-V du Québec.
Insérer les données qui correspondent aux numéro de ligne dans le rapport TP-985.22-V. Pour plus d'informations, visitez le site internet de votre province.
Dépendant des nouveaux comptes ajoutés, des ajustements pourraient s'avérer nécessaires sur le formulaire TP-985.22-V.</t>
  </si>
  <si>
    <t>Le rapport TP-985.22-V doit être complété par tous les organisme de bienfaisance enregistrés au Québec. Ce rapport doit être accompagné des documents suivants:
- les états financiers (ACC-9)
- l'annexe D du formulaire TP-985.22-V
- l'annexe C du formulaire TP-985.22-V (si requis)</t>
  </si>
  <si>
    <t>The TP-985.22-V report must filled in by all Quebec registered Charities. This report must be sent with the following documents:
- Financial Report (ACC-9)
- Schedule D of TP-985.22-V Form
- Schedule C of TP-985.22-V Form (if required)</t>
  </si>
  <si>
    <t>(ab) + (ah)</t>
  </si>
  <si>
    <t>sommes à recevoir des fondateurs, dirigeants, administrateurs, membres, actionnaires, fiduciaires ou de tout organisme ayant un lien de dépendance avec ces personnes, Institution muséale, organisme culturel ou de communication, ou organisme d’éducation politique : sommes à recevoir des propriétaires, membres ou actionnaires</t>
  </si>
  <si>
    <t>Amounts receivable from founders, officers, directors, members, shareholders, trustees or any organization not dealing at arm’s length with such persons</t>
  </si>
  <si>
    <t>Sommes à payer aux fondateurs, dirigeants, administrateurs, membres, actionnaires, fiduciaires ou à tout organisme ayant un lien de dépendance avec ces personnes, Institution muséale, organisme culturel ou de communication, ou organisme d’éducation politique : sommes à payer aux propriétaires, membres ou actionnaires</t>
  </si>
  <si>
    <t>Amounts payable to founders, officers, directors, members, shareholders, trustees or any organization not dealing at arm’s length with such persons</t>
  </si>
  <si>
    <t>The most of provinces collect two taxes, one provincial and the other federal. Squadrons established in provinces participating in the HST must claim their provincial and federal rebates using Form RC7066 and GST66. For non-participating provinces, except for Quebec, the GST must be claimed on the form GST66, and the PST will be claimed on forms specific to each province, if applicable. In Quebec, the two sales taxes (GST and QST) are administered by the province and must be claimed using the FP-2066 Joint form (CRA and Revenu Québec) which is the same information than the GST66 Form.</t>
  </si>
  <si>
    <t>All taxes on goods and services consist of a provincial tax and a federal tax (except if there is no provincial tax). The Federal tax is 5% for all provinces, the difference being the provincial tax. For purposes of the calculations, the taxes must be broken down (specifically for the HST).
All taxes on goods and services consist of a provincial tax and a federal tax. The latter is 5% for all provinces, the difference between the two being the provincial tax. For purposes of the calculations, the taxes must be broken down (specifically for the HST).</t>
  </si>
  <si>
    <t>La plupart des provinces perçoivent deux taxes, l'une provinciale et l'autre fédérale. Les escadrons établit dans les provinces participantes à la TVH, doivent demander leur remboursement provincial et fédéral en utilisant les formulaires RC7066 et GST66. Pour les provinces non-participantes, sauf au Québec, la TPS au fédéral doit êrtre réclamé sur le formulaire GST66. La TVP sera réclamée sur des formulaires propres à chaque province, s'il y a lieu. Pour le Québec, les deux taxes de vente (TPS et TVQ) sont administrées par la province et doivent être réclamées en utilisant le formulaire conjoint (ARC et Revenu Québec) FP-2066 qui contient les mêmes informations que le formulaire GST66.</t>
  </si>
  <si>
    <t>Toutes les taxes sur les produits et services sont composées d'une taxe provinciale et d'une taxe fédérale (sauf s'il n'y a pas de taxe provinciale). La taxe fédérale est de 5% pour toutes les provinces, la différence étant la taxe provinciale, s'il y a lieu. Aux fins des calculs, les taxes doivent être ventilées (spécifiquement pour la TVH).</t>
  </si>
  <si>
    <t>TPS</t>
  </si>
  <si>
    <t>TVP</t>
  </si>
  <si>
    <t>Prov</t>
  </si>
  <si>
    <t>PST</t>
  </si>
  <si>
    <t>REBATE</t>
  </si>
  <si>
    <t>305-NB</t>
  </si>
  <si>
    <t>RC7066</t>
  </si>
  <si>
    <t>305-NL</t>
  </si>
  <si>
    <t>305-NS</t>
  </si>
  <si>
    <t>305-ON</t>
  </si>
  <si>
    <t>305-PE</t>
  </si>
  <si>
    <t>FED</t>
  </si>
  <si>
    <t>Les taux de remise et de taxe sont extraits des différents site Web des provinces. Il est fortement suggéré que ces informations soient vérifiées auprès du gouvernement concerné.</t>
  </si>
  <si>
    <t>The Rebate and Tax Level are extracted from the different Website of each province. It is strongly recommended that these informations be verified with the government.</t>
  </si>
  <si>
    <t>y</t>
  </si>
  <si>
    <t>Save</t>
  </si>
  <si>
    <t>Before going further, ensure to save this file (under the same name).</t>
  </si>
  <si>
    <t>Sauvegarde</t>
  </si>
  <si>
    <t>Avant d'aller plus loin, assurez-vous de sauvegarder le fichier actuel (sous le même nom).</t>
  </si>
  <si>
    <t>Print</t>
  </si>
  <si>
    <t>Print this worksheet. It contains all informations required to start the new Fiscal Year.</t>
  </si>
  <si>
    <t>Imprimer</t>
  </si>
  <si>
    <t>Imprimer cette feuille de travail. Elle contient les informations nécessaires pour démarrer la prochaine année financière.</t>
  </si>
  <si>
    <t>Transfer Data</t>
  </si>
  <si>
    <t>This operation will create a new file named :
&lt;Squadron Number&gt;_&lt;Fiscal Year&gt;_RollUpPgm.xlsm
The new file contains the essential information required by Provincial and National Committees. Some features have been deleted in order to reduce the size of the file. This file must be sent by email to the Provincial Committee. Then, close the file created and return to the initial file.</t>
  </si>
  <si>
    <t>Transfert des données</t>
  </si>
  <si>
    <t>Cette opération créera un nouveau fichier nommé
&lt;Numéro d'escadron&gt;_&lt;Année financière&gt;_RollUpPgm.xlsm
Ce nouveau fichier renfermera les informations essentielles pour les comités provinciaux et nationaux. Il est épuré de certaines fonctionnalités afin d'en diminuer la taille. C'est ce fichier qui doit être transmis par courriel au comité provincial. Ensuite, fermez le fichier créé et retournez au fichier initial.</t>
  </si>
  <si>
    <t>Reset Data</t>
  </si>
  <si>
    <t>This step must be performed on the initial file. The operation will ask you to save the file with a new name and will delete all Transactional Data. Verify all the basic data and start the new FY.</t>
  </si>
  <si>
    <t>Réinitialisation des données</t>
  </si>
  <si>
    <t>Cette étape doit être effectuée sur le fichier initial. Cette opération vous demandera de sauvegarder le fichier sous un nouveau nom et effacera toutes les données transactionnelles. Vérifiez les données de base et commencer la nouvelle AF.</t>
  </si>
  <si>
    <t>Sqn Nb</t>
  </si>
  <si>
    <t>Sqn Name</t>
  </si>
  <si>
    <t>Official Sponsor</t>
  </si>
  <si>
    <t>Total Donations</t>
  </si>
  <si>
    <t>Total Gaming Lottery</t>
  </si>
  <si>
    <t>Total Other Fundraising</t>
  </si>
  <si>
    <t>Misc Reve (other than Gvt)</t>
  </si>
  <si>
    <t>Govt Funding</t>
  </si>
  <si>
    <t>Total revenue</t>
  </si>
  <si>
    <t>Quarters rental</t>
  </si>
  <si>
    <t>Quarters Mint</t>
  </si>
  <si>
    <t>Total Admin</t>
  </si>
  <si>
    <t>Total Activities Exp</t>
  </si>
  <si>
    <t>Total Exp Other Fund</t>
  </si>
  <si>
    <t>Total Other Exp</t>
  </si>
  <si>
    <t>Total Cur Assets</t>
  </si>
  <si>
    <t>Total Inventory</t>
  </si>
  <si>
    <t>Total Cur Liab</t>
  </si>
  <si>
    <t>Total Long-T Liab</t>
  </si>
  <si>
    <t>Total Liab and Equi</t>
  </si>
  <si>
    <t>FP-2066</t>
  </si>
  <si>
    <t>305-Q</t>
  </si>
  <si>
    <t>1080 -</t>
  </si>
  <si>
    <t>1090 -</t>
  </si>
  <si>
    <t>1250 -</t>
  </si>
  <si>
    <t>1260 -</t>
  </si>
  <si>
    <t>1270 -</t>
  </si>
  <si>
    <t>1280 -</t>
  </si>
  <si>
    <t>1290 -</t>
  </si>
  <si>
    <t>2050 -</t>
  </si>
  <si>
    <t>2060 -</t>
  </si>
  <si>
    <t>2070 -</t>
  </si>
  <si>
    <t>2080 -</t>
  </si>
  <si>
    <t>2090 -</t>
  </si>
  <si>
    <t>2230 -</t>
  </si>
  <si>
    <t>2240 -</t>
  </si>
  <si>
    <t>2250 -</t>
  </si>
  <si>
    <t>2260 -</t>
  </si>
  <si>
    <t>2270 -</t>
  </si>
  <si>
    <t>2280 -</t>
  </si>
  <si>
    <t>2290 -</t>
  </si>
  <si>
    <t>S'il manque d'espace pour inscrire toutes vos transactions, regroupez des montants.</t>
  </si>
  <si>
    <t>If there is not enough space to list all your transactions, group amounts together.</t>
  </si>
  <si>
    <t>8 (j)</t>
  </si>
  <si>
    <t>3 (j)</t>
  </si>
  <si>
    <t>3 (k)</t>
  </si>
  <si>
    <t>3 (l)</t>
  </si>
  <si>
    <t>3 (m)</t>
  </si>
  <si>
    <t>3 (n)</t>
  </si>
  <si>
    <t>7 (a)</t>
  </si>
  <si>
    <t>7 (b)</t>
  </si>
  <si>
    <t>7 (c)</t>
  </si>
  <si>
    <t>7 (d)</t>
  </si>
  <si>
    <t>7 (e)</t>
  </si>
  <si>
    <t>7 (f)</t>
  </si>
  <si>
    <t>7 (g)</t>
  </si>
  <si>
    <t>7 (h)</t>
  </si>
  <si>
    <t>7 (i)</t>
  </si>
  <si>
    <t>Page 11/11</t>
  </si>
  <si>
    <t>Page 10/11</t>
  </si>
  <si>
    <t>Page 9/11</t>
  </si>
  <si>
    <t>Page 8/11</t>
  </si>
  <si>
    <t>Page 7/11</t>
  </si>
  <si>
    <t>Page 6/11</t>
  </si>
  <si>
    <t>Page 5/11</t>
  </si>
  <si>
    <t>Page 4/11</t>
  </si>
  <si>
    <t>Page 3/11</t>
  </si>
  <si>
    <t>Page 2/11</t>
  </si>
  <si>
    <t>Page 1/11</t>
  </si>
  <si>
    <t>5699, 5799</t>
  </si>
  <si>
    <t>5010, 5020, 5060, 5070, 5110, 5120, 5130</t>
  </si>
  <si>
    <t>=</t>
  </si>
  <si>
    <t>5310 TOTAL</t>
  </si>
  <si>
    <t>5315 TOTAL</t>
  </si>
  <si>
    <t>5510 TOTAL</t>
  </si>
  <si>
    <t>+</t>
  </si>
  <si>
    <t>ADJ = Adjustment / Ajustement
AP = Auto. Payment / Paiement auto.
BK = Transactions by the bank / par la banque
CC = Credit card / Carte de crédit
CH = Cheque / Chèque
DD = Direct Deposit / Dépôt direct
ET = eTranfer / Trsf électronique
PC  = Petty Cash / Petite caisse</t>
  </si>
  <si>
    <t>ACCOMMODATION</t>
  </si>
  <si>
    <t>NOTES</t>
  </si>
  <si>
    <t>DESCRIPTION</t>
  </si>
  <si>
    <t>TOTAL</t>
  </si>
  <si>
    <t>Biathlon</t>
  </si>
  <si>
    <t>Total Exp Game Fund</t>
  </si>
  <si>
    <t>Total Exp</t>
  </si>
  <si>
    <t>Total LT Assets</t>
  </si>
  <si>
    <t>Total Assets</t>
  </si>
  <si>
    <t>Total Liab</t>
  </si>
  <si>
    <t>Total Equity</t>
  </si>
  <si>
    <t>Total Mand Act</t>
  </si>
  <si>
    <t>Total Opt Act</t>
  </si>
  <si>
    <t>Total non Fund Act</t>
  </si>
  <si>
    <t>5399+5499+5599</t>
  </si>
  <si>
    <t>Total Fund</t>
  </si>
  <si>
    <t>5699+5799</t>
  </si>
  <si>
    <t>Total Fundraising</t>
  </si>
  <si>
    <t>4299+4499</t>
  </si>
  <si>
    <t>1015 -</t>
  </si>
  <si>
    <t>1020 -</t>
  </si>
  <si>
    <t>1025 -</t>
  </si>
  <si>
    <t>1030 -</t>
  </si>
  <si>
    <t>1035 -</t>
  </si>
  <si>
    <t>1040 -</t>
  </si>
  <si>
    <t>1045 -</t>
  </si>
  <si>
    <t>1050 -</t>
  </si>
  <si>
    <t>1055 -</t>
  </si>
  <si>
    <t>1060 -</t>
  </si>
  <si>
    <t>1065 -</t>
  </si>
  <si>
    <t>1070 -</t>
  </si>
  <si>
    <t>1075 -</t>
  </si>
  <si>
    <t>1085 -</t>
  </si>
  <si>
    <t>1095 -</t>
  </si>
  <si>
    <t>1 (t)</t>
  </si>
  <si>
    <t>1 (u)</t>
  </si>
  <si>
    <t>1 (v)</t>
  </si>
  <si>
    <t>1 (w)</t>
  </si>
  <si>
    <t>1 (x)</t>
  </si>
  <si>
    <t>1 (y)</t>
  </si>
  <si>
    <t>1 (z)</t>
  </si>
  <si>
    <t>5299 (- 5120, -5150), 5399, 5499, 5599, 5699, 5899 (- 5810)</t>
  </si>
  <si>
    <t>4699 (-4640)</t>
  </si>
  <si>
    <t>5030, 5040, 5050, 5140, 5170</t>
  </si>
  <si>
    <t>5030, 5040, 5050, 5080, 5090, 5100, 5140, 5150, 5160, 5170, 5180, 5185, 5190, 5195, 5200, 5205, 5210, 5215, 5220, 5399, 5499, 5599, 5899 (- 5810)</t>
  </si>
  <si>
    <t>5160, 5180, 5185, 5190, 5195, 5200, 5205, 5210, 5215, 5220, 5399, 5499, 5599(-5530), 5699, 5799, 5899(- 5810)</t>
  </si>
  <si>
    <t>4810, 4820, 4830, 4835</t>
  </si>
  <si>
    <t>1100 (-1030)</t>
  </si>
  <si>
    <t>5090, 5100, 5160, 5180, 5185, 5190, 5195, 5200, 5205, 5210, 5215, 5220, 5399, 5499, 5599(-5530), 5699, 5799, 5899(- 5810)</t>
  </si>
  <si>
    <t>Petite caisse / Petty Cash</t>
  </si>
  <si>
    <t>1030</t>
  </si>
  <si>
    <t>Blank</t>
  </si>
  <si>
    <t>The Rebate Reimbursement may be claimed every 3 or 6 months or in a single request at the Year-End. The frequency of claim of the parent organization must be followed.</t>
  </si>
  <si>
    <t>Les demandes de remboursement peuvent être effectuées à tous les 3 ou 6 mois ou une seule fois à la fin de l'année financière. Il faut suivre la fréquence de réclamation utilisée par l'organisme lié.</t>
  </si>
  <si>
    <t>FED GST</t>
  </si>
  <si>
    <t>1210 -</t>
  </si>
  <si>
    <t>1220 -</t>
  </si>
  <si>
    <t>1230 -</t>
  </si>
  <si>
    <t>1240 -</t>
  </si>
  <si>
    <t>1010 -</t>
  </si>
  <si>
    <t>2010 -</t>
  </si>
  <si>
    <t>2020 -</t>
  </si>
  <si>
    <t>2030 -</t>
  </si>
  <si>
    <t>2040 -</t>
  </si>
  <si>
    <t>2210 -</t>
  </si>
  <si>
    <t>2220 -</t>
  </si>
  <si>
    <t>Disponible ~ Available</t>
  </si>
  <si>
    <t>English</t>
  </si>
  <si>
    <t>Français</t>
  </si>
  <si>
    <t>As specified in the PPM Article 5.18.19.1 revised in January 2024, each Squadron Sponsoring  Committee must render an annual statement of receipts and expenditures on Form ACC9 to its ACL Provincial Committee before 31 October of the next fiscal year.  The PC will then review before sending a signed off copy to the National level.</t>
  </si>
  <si>
    <t>Tel que spécifié à l'article 5.18.19.1 du GPMA révisé en janvier 2024, chaque CRE, doit remettre un rapport annuel des recettes et déboursés (Formulaire ACC9) à son Comité Provincial (CP) avant le 31 octobre de l'année fiscale suivante. Le CP effectuera une revue du formulaire avant d'expédier une copie au niveau national.</t>
  </si>
  <si>
    <t>Pour activer ou mettre à jour la liste, cochez et décochez un élément du filtre et appuyer sur OK</t>
  </si>
  <si>
    <t>To activate or update the list, check and uncheck a filter item and press OK</t>
  </si>
  <si>
    <r>
      <t>Non Profit Organizations registered as charities (000000000</t>
    </r>
    <r>
      <rPr>
        <b/>
        <sz val="10"/>
        <rFont val="Arial"/>
        <family val="2"/>
        <charset val="1"/>
      </rPr>
      <t>RR</t>
    </r>
    <r>
      <rPr>
        <sz val="10"/>
        <rFont val="Arial"/>
        <family val="2"/>
        <charset val="1"/>
      </rPr>
      <t>0000) may claim a refund of a portion of the taxes paid during the fiscal year. Rates vary from province to other. In addition, government reimbursements (DND) including taxes must be deducted from the taxe calculations.
The percentages presented below were in effect in January 2024. Treasurers must check whether changes have occurred each year.</t>
    </r>
  </si>
  <si>
    <r>
      <t>Les organisations sans but lucratif enregistrés comme organismes de bienfaisance (000000000</t>
    </r>
    <r>
      <rPr>
        <b/>
        <sz val="10"/>
        <rFont val="Arial"/>
        <family val="2"/>
        <charset val="1"/>
      </rPr>
      <t>RR</t>
    </r>
    <r>
      <rPr>
        <sz val="10"/>
        <rFont val="Arial"/>
        <family val="2"/>
        <charset val="1"/>
      </rPr>
      <t>0000) peuvent demander un remboursement d'une partie des taxes payées au cours de l'exercice financier. Les taux varient au fédéral et d'une province à l'autre. De plus, les remboursements gouvernementaux (MDN) incluant des taxes doivent être déduits du montant calculé pour le remboursement.
Les pourcentages présentés ci-bas étaient en vigueur en janvier 2024. Les trésoriers doivent vérifier si des changements ont eu lieu d'une année à l'autre.</t>
    </r>
  </si>
  <si>
    <t>L'information contenue dans cet ACC9 a été passée en revue pour son intégralité, conformité et vraisemblance. Ceci ne constitue pas une vérification. L'information financière ci-incluse me semble raisonnable. Aucune information probante connue me porte à croire que cette information n'est pas fiable ou erronnée à première vue, à l'exception des commentaires et notes, si incluses, à l'Annexe "A".</t>
  </si>
  <si>
    <t>CH</t>
  </si>
  <si>
    <t>Chèque / Cheque</t>
  </si>
  <si>
    <t>Banque / Bank</t>
  </si>
  <si>
    <t>AT</t>
  </si>
  <si>
    <t>Paiement auto. / Auto. Payment</t>
  </si>
  <si>
    <t>Type</t>
  </si>
  <si>
    <t>Notes</t>
  </si>
  <si>
    <t>Nunavut</t>
  </si>
  <si>
    <t>Yukon</t>
  </si>
  <si>
    <t>HST</t>
  </si>
  <si>
    <t>Previous Year's information is correct</t>
  </si>
  <si>
    <t>à partir des registres comptables du comité répondants d'escadron, d'autres documents et de l'information disponible auprès du comité répondants. Il rend compte avec précision de la situation financière du comité répondant à la date de cet état. Nous confirmons qu'une diligence raisonnable a été exercée pour maintenir une comptabilité appropriée des revenus,</t>
  </si>
  <si>
    <t>Version 2024.07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</si>
</sst>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164" formatCode="_(\$* #,##0.00_);_(\$* \(#,##0.00\);_(\$* \-??_);_(@_)"/>
    <numFmt numFmtId="165" formatCode="_(\$* #,##0.00_);[Red]\$* \(#,##0.00\);_(\$* \-??_);_(@_)"/>
    <numFmt numFmtId="166" formatCode="_(* #,##0.00_);_(* \(#,##0.00\);_(* \-??_);_(@_)"/>
    <numFmt numFmtId="167" formatCode="[&lt;=9999999]###\-####;###\-###\-####"/>
    <numFmt numFmtId="168" formatCode="0.000%"/>
    <numFmt numFmtId="169" formatCode="#,##0.0_);\(#,##0.0\)"/>
    <numFmt numFmtId="170" formatCode="\$#,##0.00"/>
    <numFmt numFmtId="171" formatCode="dd/mm/yyyy;@"/>
    <numFmt numFmtId="172" formatCode="_(\$* #,##0.00_);[Red]&quot;($&quot;* \(#,##0.00\);_(\$* \-??_);_(@_)"/>
    <numFmt numFmtId="173" formatCode="\$* #,##0.00_);[Red]&quot;($&quot;* #,##0.00\)"/>
    <numFmt numFmtId="174" formatCode="[$-F800]dddd&quot;, &quot;mmmm\ dd&quot;, &quot;yyyy"/>
    <numFmt numFmtId="175" formatCode="[$-409]mmm/yy;@"/>
    <numFmt numFmtId="176" formatCode="dd\ mmmm\ yyyy"/>
    <numFmt numFmtId="177" formatCode="[$-409]d/mmm;@"/>
    <numFmt numFmtId="178" formatCode="yyyy/mm/dd;@"/>
    <numFmt numFmtId="179" formatCode="_-[$$-1009]* #,##0.00_-;\-[$$-1009]* #,##0.00_-;_-[$$-1009]* \-??_-;_-@_-"/>
    <numFmt numFmtId="180" formatCode="#\ #\ #\ #\ #\ #\ #\ #\ #"/>
    <numFmt numFmtId="181" formatCode="0000"/>
    <numFmt numFmtId="182" formatCode="_(\$* #,##0_);[Red]\$* \(#,##0\);_(\$* \-??_);_(@_)"/>
    <numFmt numFmtId="183" formatCode="_(\$* #,##0_);_(\$* \(#,##0\);_(\$* \-_);_(@_)"/>
    <numFmt numFmtId="184" formatCode="_(* #,##0_);_(* \(#,##0\);_(* \-_);_(@_)"/>
    <numFmt numFmtId="185" formatCode="\$#,##0_);[Red]&quot;($&quot;#,##0\)"/>
    <numFmt numFmtId="186" formatCode="\$* #,##0_);[Red]&quot;($&quot;* #,##0\)"/>
    <numFmt numFmtId="187" formatCode="\$#,##0"/>
    <numFmt numFmtId="188" formatCode="_(\$* #,##0_);[Red]&quot;($&quot;* \(#,##0\);_(\$* \-??_);_(@_)"/>
    <numFmt numFmtId="189" formatCode="\$#,##0.00_);[Red]&quot;($&quot;#,##0.00\)"/>
    <numFmt numFmtId="190" formatCode="#,##0\ [$€-1];[Red]\-#,##0\ [$€-1]"/>
    <numFmt numFmtId="191" formatCode="dd/mm/yyyy"/>
    <numFmt numFmtId="192" formatCode="_(&quot;$&quot;* #,##0.00_);[Red]&quot;$&quot;* \(#,##0.00\);_(&quot;$&quot;* &quot;-&quot;??_);_(@_)"/>
    <numFmt numFmtId="193" formatCode="yyyy\-mm\-dd;@"/>
    <numFmt numFmtId="194" formatCode="[&lt;=9999999]###\-####;\(###\)\ ###\-####"/>
    <numFmt numFmtId="195" formatCode="0.0"/>
  </numFmts>
  <fonts count="127" x14ac:knownFonts="1">
    <font>
      <sz val="10"/>
      <name val="Arial"/>
      <charset val="1"/>
    </font>
    <font>
      <u/>
      <sz val="11"/>
      <color rgb="FF0000FF"/>
      <name val="Calibri"/>
      <family val="2"/>
      <charset val="1"/>
    </font>
    <font>
      <sz val="11"/>
      <color rgb="FF000000"/>
      <name val="Calibri"/>
      <family val="2"/>
      <charset val="1"/>
    </font>
    <font>
      <sz val="10"/>
      <name val="Arial"/>
      <family val="2"/>
      <charset val="1"/>
    </font>
    <font>
      <b/>
      <sz val="20"/>
      <color rgb="FFFFFFFF"/>
      <name val="Arial"/>
      <family val="2"/>
      <charset val="1"/>
    </font>
    <font>
      <b/>
      <sz val="14"/>
      <color rgb="FFFFFFFF"/>
      <name val="Arial"/>
      <family val="2"/>
      <charset val="1"/>
    </font>
    <font>
      <b/>
      <sz val="16"/>
      <color rgb="FF1F497D"/>
      <name val="Arial"/>
      <family val="2"/>
      <charset val="1"/>
    </font>
    <font>
      <b/>
      <sz val="12"/>
      <color rgb="FFFF0000"/>
      <name val="Arial"/>
      <family val="2"/>
      <charset val="1"/>
    </font>
    <font>
      <b/>
      <sz val="9"/>
      <color rgb="FFFF0000"/>
      <name val="Arial"/>
      <family val="2"/>
      <charset val="1"/>
    </font>
    <font>
      <b/>
      <sz val="14"/>
      <name val="Arial"/>
      <family val="2"/>
      <charset val="1"/>
    </font>
    <font>
      <b/>
      <sz val="26"/>
      <name val="Arial"/>
      <family val="2"/>
      <charset val="1"/>
    </font>
    <font>
      <b/>
      <sz val="20"/>
      <name val="Arial"/>
      <family val="2"/>
      <charset val="1"/>
    </font>
    <font>
      <b/>
      <sz val="12"/>
      <name val="Arial"/>
      <family val="2"/>
      <charset val="1"/>
    </font>
    <font>
      <sz val="16"/>
      <name val="Arial"/>
      <family val="2"/>
      <charset val="1"/>
    </font>
    <font>
      <sz val="12"/>
      <name val="Arial"/>
      <family val="2"/>
      <charset val="1"/>
    </font>
    <font>
      <sz val="14"/>
      <name val="Arial"/>
      <family val="2"/>
      <charset val="1"/>
    </font>
    <font>
      <sz val="9"/>
      <name val="Arial"/>
      <family val="2"/>
      <charset val="1"/>
    </font>
    <font>
      <b/>
      <sz val="10"/>
      <name val="Arial"/>
      <family val="2"/>
      <charset val="1"/>
    </font>
    <font>
      <b/>
      <sz val="11"/>
      <name val="Arial"/>
      <family val="2"/>
      <charset val="1"/>
    </font>
    <font>
      <sz val="12"/>
      <color rgb="FF000000"/>
      <name val="Arial"/>
      <family val="2"/>
      <charset val="1"/>
    </font>
    <font>
      <sz val="8"/>
      <name val="Arial"/>
      <family val="2"/>
      <charset val="1"/>
    </font>
    <font>
      <b/>
      <sz val="16"/>
      <name val="Arial"/>
      <family val="2"/>
      <charset val="1"/>
    </font>
    <font>
      <sz val="14"/>
      <color rgb="FFFFFFFF"/>
      <name val="Arial"/>
      <family val="2"/>
      <charset val="1"/>
    </font>
    <font>
      <b/>
      <sz val="18"/>
      <color rgb="FFFF0000"/>
      <name val="Arial"/>
      <family val="2"/>
      <charset val="1"/>
    </font>
    <font>
      <b/>
      <sz val="11"/>
      <color rgb="FFFFFFFF"/>
      <name val="Arial"/>
      <family val="2"/>
      <charset val="1"/>
    </font>
    <font>
      <b/>
      <sz val="14"/>
      <color rgb="FF000000"/>
      <name val="Arial"/>
      <family val="2"/>
      <charset val="1"/>
    </font>
    <font>
      <sz val="10"/>
      <color rgb="FFFFFFFF"/>
      <name val="Arial"/>
      <family val="2"/>
      <charset val="1"/>
    </font>
    <font>
      <b/>
      <sz val="16"/>
      <color rgb="FFFFFFFF"/>
      <name val="Arial"/>
      <family val="2"/>
      <charset val="1"/>
    </font>
    <font>
      <b/>
      <sz val="12"/>
      <color rgb="FFFFFFFF"/>
      <name val="Arial"/>
      <family val="2"/>
      <charset val="1"/>
    </font>
    <font>
      <b/>
      <sz val="16"/>
      <color rgb="FF000000"/>
      <name val="Arial"/>
      <family val="2"/>
      <charset val="1"/>
    </font>
    <font>
      <b/>
      <sz val="14"/>
      <color rgb="FFFF0000"/>
      <name val="Arial"/>
      <family val="2"/>
      <charset val="1"/>
    </font>
    <font>
      <sz val="12"/>
      <color rgb="FFFFFFFF"/>
      <name val="Arial"/>
      <family val="2"/>
      <charset val="1"/>
    </font>
    <font>
      <b/>
      <sz val="10"/>
      <color rgb="FFFF0000"/>
      <name val="Arial"/>
      <family val="2"/>
      <charset val="1"/>
    </font>
    <font>
      <b/>
      <sz val="10"/>
      <color rgb="FF800000"/>
      <name val="Arial"/>
      <family val="2"/>
      <charset val="1"/>
    </font>
    <font>
      <b/>
      <sz val="10"/>
      <color rgb="FFFFFFFF"/>
      <name val="Arial"/>
      <family val="2"/>
      <charset val="1"/>
    </font>
    <font>
      <sz val="10"/>
      <color rgb="FF000000"/>
      <name val="Arial"/>
      <family val="2"/>
      <charset val="1"/>
    </font>
    <font>
      <b/>
      <sz val="8"/>
      <color rgb="FFFFFFFF"/>
      <name val="Arial"/>
      <family val="2"/>
      <charset val="1"/>
    </font>
    <font>
      <b/>
      <sz val="10"/>
      <color rgb="FF3366FF"/>
      <name val="Arial"/>
      <family val="2"/>
      <charset val="1"/>
    </font>
    <font>
      <b/>
      <sz val="14"/>
      <color rgb="FF0070C0"/>
      <name val="Arial"/>
      <family val="2"/>
      <charset val="1"/>
    </font>
    <font>
      <sz val="9"/>
      <color rgb="FF0070C0"/>
      <name val="Arial"/>
      <family val="2"/>
      <charset val="1"/>
    </font>
    <font>
      <b/>
      <u/>
      <sz val="9"/>
      <name val="Arial"/>
      <family val="2"/>
      <charset val="1"/>
    </font>
    <font>
      <sz val="9"/>
      <color rgb="FFFFFFFF"/>
      <name val="Arial"/>
      <family val="2"/>
      <charset val="1"/>
    </font>
    <font>
      <b/>
      <sz val="18"/>
      <color rgb="FF1F497D"/>
      <name val="Arial"/>
      <family val="2"/>
      <charset val="1"/>
    </font>
    <font>
      <b/>
      <sz val="18"/>
      <color rgb="FF000000"/>
      <name val="Arial"/>
      <family val="2"/>
      <charset val="1"/>
    </font>
    <font>
      <b/>
      <sz val="12"/>
      <color rgb="FF000000"/>
      <name val="Arial"/>
      <family val="2"/>
      <charset val="1"/>
    </font>
    <font>
      <sz val="11"/>
      <name val="Arial"/>
      <family val="2"/>
      <charset val="1"/>
    </font>
    <font>
      <b/>
      <sz val="16"/>
      <color rgb="FFFF0000"/>
      <name val="Arial"/>
      <family val="2"/>
      <charset val="1"/>
    </font>
    <font>
      <sz val="10"/>
      <color rgb="FFFF0000"/>
      <name val="Arial"/>
      <family val="2"/>
      <charset val="1"/>
    </font>
    <font>
      <b/>
      <sz val="10"/>
      <color rgb="FF000000"/>
      <name val="Arial"/>
      <family val="2"/>
      <charset val="1"/>
    </font>
    <font>
      <sz val="10"/>
      <color rgb="FF1F497D"/>
      <name val="Arial"/>
      <family val="2"/>
      <charset val="1"/>
    </font>
    <font>
      <b/>
      <sz val="22"/>
      <color rgb="FFFFFFFF"/>
      <name val="Arial"/>
      <family val="2"/>
      <charset val="1"/>
    </font>
    <font>
      <b/>
      <sz val="8"/>
      <name val="Arial"/>
      <family val="2"/>
      <charset val="1"/>
    </font>
    <font>
      <b/>
      <sz val="9"/>
      <name val="Arial"/>
      <family val="2"/>
      <charset val="1"/>
    </font>
    <font>
      <b/>
      <sz val="9"/>
      <color rgb="FFFFFFFF"/>
      <name val="Arial"/>
      <family val="2"/>
      <charset val="1"/>
    </font>
    <font>
      <b/>
      <sz val="18"/>
      <color rgb="FFFFFFFF"/>
      <name val="Arial"/>
      <family val="2"/>
      <charset val="1"/>
    </font>
    <font>
      <u/>
      <sz val="10"/>
      <name val="Arial"/>
      <family val="2"/>
      <charset val="1"/>
    </font>
    <font>
      <sz val="8"/>
      <color rgb="FF000000"/>
      <name val="Tahoma"/>
      <family val="2"/>
      <charset val="1"/>
    </font>
    <font>
      <b/>
      <sz val="10"/>
      <color rgb="FF0000FF"/>
      <name val="Arial"/>
      <family val="2"/>
      <charset val="1"/>
    </font>
    <font>
      <b/>
      <sz val="18"/>
      <name val="Arial"/>
      <family val="2"/>
      <charset val="1"/>
    </font>
    <font>
      <b/>
      <sz val="20"/>
      <color rgb="FFFF0000"/>
      <name val="Arial"/>
      <family val="2"/>
      <charset val="1"/>
    </font>
    <font>
      <b/>
      <sz val="24"/>
      <name val="Arial"/>
      <family val="2"/>
      <charset val="1"/>
    </font>
    <font>
      <b/>
      <sz val="28"/>
      <name val="Arial"/>
      <family val="2"/>
      <charset val="1"/>
    </font>
    <font>
      <b/>
      <sz val="36"/>
      <name val="Arial"/>
      <family val="2"/>
      <charset val="1"/>
    </font>
    <font>
      <b/>
      <sz val="22"/>
      <name val="Arial"/>
      <family val="2"/>
      <charset val="1"/>
    </font>
    <font>
      <b/>
      <u/>
      <sz val="10"/>
      <name val="Arial"/>
      <family val="2"/>
      <charset val="1"/>
    </font>
    <font>
      <b/>
      <u/>
      <sz val="12"/>
      <name val="Arial"/>
      <family val="2"/>
      <charset val="1"/>
    </font>
    <font>
      <i/>
      <sz val="10"/>
      <name val="Arial"/>
      <family val="2"/>
      <charset val="1"/>
    </font>
    <font>
      <b/>
      <i/>
      <sz val="10"/>
      <name val="Arial"/>
      <family val="2"/>
      <charset val="1"/>
    </font>
    <font>
      <i/>
      <sz val="9"/>
      <name val="Arial"/>
      <family val="2"/>
      <charset val="1"/>
    </font>
    <font>
      <sz val="7"/>
      <name val="Arial"/>
      <family val="2"/>
      <charset val="1"/>
    </font>
    <font>
      <i/>
      <sz val="10"/>
      <color rgb="FF000000"/>
      <name val="Arial"/>
      <family val="2"/>
      <charset val="1"/>
    </font>
    <font>
      <b/>
      <i/>
      <sz val="9"/>
      <name val="Arial"/>
      <family val="2"/>
      <charset val="1"/>
    </font>
    <font>
      <i/>
      <sz val="8"/>
      <name val="Arial"/>
      <family val="2"/>
      <charset val="1"/>
    </font>
    <font>
      <b/>
      <i/>
      <sz val="12"/>
      <name val="Arial"/>
      <family val="2"/>
      <charset val="1"/>
    </font>
    <font>
      <b/>
      <u/>
      <sz val="11"/>
      <name val="Arial"/>
      <family val="2"/>
      <charset val="1"/>
    </font>
    <font>
      <u/>
      <sz val="12"/>
      <name val="Arial"/>
      <family val="2"/>
      <charset val="1"/>
    </font>
    <font>
      <b/>
      <sz val="9"/>
      <color rgb="FF0000FF"/>
      <name val="Arial"/>
      <family val="2"/>
      <charset val="1"/>
    </font>
    <font>
      <sz val="11"/>
      <color rgb="FF0000FF"/>
      <name val="Arial"/>
      <family val="2"/>
      <charset val="1"/>
    </font>
    <font>
      <sz val="9"/>
      <color rgb="FF0000FF"/>
      <name val="Arial"/>
      <family val="2"/>
      <charset val="1"/>
    </font>
    <font>
      <b/>
      <sz val="12"/>
      <color rgb="FF0000FF"/>
      <name val="Arial"/>
      <family val="2"/>
      <charset val="1"/>
    </font>
    <font>
      <b/>
      <sz val="14"/>
      <color rgb="FF0000FF"/>
      <name val="Arial"/>
      <family val="2"/>
      <charset val="1"/>
    </font>
    <font>
      <b/>
      <sz val="11"/>
      <color rgb="FF0000FF"/>
      <name val="Arial"/>
      <family val="2"/>
      <charset val="1"/>
    </font>
    <font>
      <sz val="10"/>
      <color rgb="FF000080"/>
      <name val="Arial"/>
      <family val="2"/>
      <charset val="1"/>
    </font>
    <font>
      <sz val="14"/>
      <color rgb="FF000000"/>
      <name val="Arial"/>
      <family val="2"/>
      <charset val="1"/>
    </font>
    <font>
      <sz val="9"/>
      <color rgb="FFFF0000"/>
      <name val="Arial"/>
      <family val="2"/>
      <charset val="1"/>
    </font>
    <font>
      <sz val="20"/>
      <color rgb="FFFFFFFF"/>
      <name val="Arial"/>
      <family val="2"/>
      <charset val="1"/>
    </font>
    <font>
      <sz val="12"/>
      <color rgb="FFFF0000"/>
      <name val="Arial"/>
      <family val="2"/>
      <charset val="1"/>
    </font>
    <font>
      <sz val="16"/>
      <color rgb="FFFF0000"/>
      <name val="Arial"/>
      <family val="2"/>
      <charset val="1"/>
    </font>
    <font>
      <sz val="10"/>
      <name val="Arial"/>
      <family val="2"/>
    </font>
    <font>
      <b/>
      <sz val="16"/>
      <color theme="0"/>
      <name val="Arial"/>
      <family val="2"/>
    </font>
    <font>
      <sz val="14"/>
      <color theme="0"/>
      <name val="Arial"/>
      <family val="2"/>
      <charset val="1"/>
    </font>
    <font>
      <b/>
      <sz val="14"/>
      <color theme="0"/>
      <name val="Arial"/>
      <family val="2"/>
      <charset val="1"/>
    </font>
    <font>
      <b/>
      <sz val="16"/>
      <color theme="0"/>
      <name val="Arial"/>
      <family val="2"/>
      <charset val="1"/>
    </font>
    <font>
      <b/>
      <sz val="12"/>
      <color theme="0"/>
      <name val="Arial"/>
      <family val="2"/>
      <charset val="1"/>
    </font>
    <font>
      <b/>
      <sz val="18"/>
      <color rgb="FFFF0000"/>
      <name val="Arial"/>
      <family val="2"/>
    </font>
    <font>
      <b/>
      <sz val="12"/>
      <name val="Arial"/>
      <family val="2"/>
    </font>
    <font>
      <b/>
      <sz val="11"/>
      <color theme="0"/>
      <name val="Arial"/>
      <family val="2"/>
      <charset val="1"/>
    </font>
    <font>
      <sz val="10"/>
      <color theme="0"/>
      <name val="Arial"/>
      <family val="2"/>
      <charset val="1"/>
    </font>
    <font>
      <sz val="10"/>
      <color theme="0"/>
      <name val="Arial"/>
      <family val="2"/>
    </font>
    <font>
      <b/>
      <sz val="18"/>
      <color theme="0"/>
      <name val="Arial"/>
      <family val="2"/>
    </font>
    <font>
      <b/>
      <sz val="14"/>
      <name val="Arial"/>
      <family val="2"/>
    </font>
    <font>
      <b/>
      <sz val="11"/>
      <color rgb="FFFF0000"/>
      <name val="Arial"/>
      <family val="2"/>
      <charset val="1"/>
    </font>
    <font>
      <b/>
      <sz val="11"/>
      <color rgb="FF000000"/>
      <name val="Arial"/>
      <family val="2"/>
      <charset val="1"/>
    </font>
    <font>
      <sz val="8"/>
      <color rgb="FF000000"/>
      <name val="Arial"/>
      <family val="2"/>
      <charset val="1"/>
    </font>
    <font>
      <sz val="10"/>
      <color theme="1"/>
      <name val="Arial"/>
      <family val="2"/>
      <charset val="1"/>
    </font>
    <font>
      <b/>
      <sz val="20"/>
      <color theme="0"/>
      <name val="Arial"/>
      <family val="2"/>
      <charset val="1"/>
    </font>
    <font>
      <b/>
      <sz val="10"/>
      <name val="Arial"/>
      <family val="2"/>
    </font>
    <font>
      <sz val="12"/>
      <name val="Arial"/>
      <family val="2"/>
    </font>
    <font>
      <sz val="10"/>
      <color rgb="FF000000"/>
      <name val="Arial"/>
      <family val="2"/>
    </font>
    <font>
      <b/>
      <sz val="11"/>
      <name val="Arial"/>
      <family val="2"/>
    </font>
    <font>
      <b/>
      <sz val="13"/>
      <name val="Arial"/>
      <family val="2"/>
    </font>
    <font>
      <b/>
      <sz val="14"/>
      <color theme="0"/>
      <name val="Arial"/>
      <family val="2"/>
    </font>
    <font>
      <b/>
      <sz val="12"/>
      <color theme="0"/>
      <name val="Arial"/>
      <family val="2"/>
    </font>
    <font>
      <b/>
      <sz val="25"/>
      <color theme="0"/>
      <name val="Arial"/>
      <family val="2"/>
      <charset val="1"/>
    </font>
    <font>
      <b/>
      <sz val="18"/>
      <color theme="0"/>
      <name val="Arial"/>
      <family val="2"/>
      <charset val="1"/>
    </font>
    <font>
      <b/>
      <sz val="20"/>
      <color theme="0"/>
      <name val="Arial"/>
      <family val="2"/>
    </font>
    <font>
      <b/>
      <sz val="19"/>
      <color theme="0"/>
      <name val="Arial"/>
      <family val="2"/>
    </font>
    <font>
      <sz val="14"/>
      <name val="Arial"/>
      <family val="2"/>
    </font>
    <font>
      <b/>
      <sz val="20"/>
      <color rgb="FFFF0000"/>
      <name val="Arial"/>
      <family val="2"/>
    </font>
    <font>
      <b/>
      <sz val="14"/>
      <color rgb="FFFFFFFF"/>
      <name val="Arial"/>
      <family val="2"/>
    </font>
    <font>
      <sz val="10"/>
      <color rgb="FFFF0000"/>
      <name val="Arial"/>
      <family val="2"/>
    </font>
    <font>
      <sz val="12"/>
      <color rgb="FFFFFFFF"/>
      <name val="Arial"/>
      <family val="2"/>
    </font>
    <font>
      <b/>
      <i/>
      <u/>
      <sz val="12"/>
      <color rgb="FFFF0000"/>
      <name val="Arial"/>
      <family val="2"/>
    </font>
    <font>
      <b/>
      <sz val="16"/>
      <color rgb="FF1F497D"/>
      <name val="Arial"/>
      <family val="2"/>
    </font>
    <font>
      <i/>
      <sz val="10"/>
      <name val="Arial"/>
      <family val="2"/>
    </font>
    <font>
      <sz val="12"/>
      <color theme="0"/>
      <name val="Arial"/>
      <family val="2"/>
    </font>
    <font>
      <sz val="12"/>
      <color theme="0" tint="-0.14999847407452621"/>
      <name val="Arial"/>
      <family val="2"/>
    </font>
  </fonts>
  <fills count="89">
    <fill>
      <patternFill patternType="none"/>
    </fill>
    <fill>
      <patternFill patternType="gray125"/>
    </fill>
    <fill>
      <patternFill patternType="solid">
        <fgColor rgb="FF1F497D"/>
        <bgColor rgb="FF254061"/>
      </patternFill>
    </fill>
    <fill>
      <patternFill patternType="solid">
        <fgColor rgb="FF18375E"/>
        <bgColor rgb="FF17375E"/>
      </patternFill>
    </fill>
    <fill>
      <patternFill patternType="solid">
        <fgColor rgb="FFFFFFFF"/>
        <bgColor rgb="FFF2F2F2"/>
      </patternFill>
    </fill>
    <fill>
      <patternFill patternType="solid">
        <fgColor rgb="FFF2F2F2"/>
        <bgColor rgb="FFEEECE1"/>
      </patternFill>
    </fill>
    <fill>
      <patternFill patternType="solid">
        <fgColor rgb="FFFFFF99"/>
        <bgColor rgb="FFFFFF7F"/>
      </patternFill>
    </fill>
    <fill>
      <patternFill patternType="solid">
        <fgColor rgb="FFDBEEF4"/>
        <bgColor rgb="FFDCE6F2"/>
      </patternFill>
    </fill>
    <fill>
      <patternFill patternType="solid">
        <fgColor rgb="FF93CDDE"/>
        <bgColor rgb="FF92CDDC"/>
      </patternFill>
    </fill>
    <fill>
      <patternFill patternType="solid">
        <fgColor rgb="FFC6D9F1"/>
        <bgColor rgb="FFB9CDE5"/>
      </patternFill>
    </fill>
    <fill>
      <patternFill patternType="mediumGray">
        <fgColor rgb="FFB8A1C5"/>
        <bgColor rgb="FFE6B9B8"/>
      </patternFill>
    </fill>
    <fill>
      <patternFill patternType="solid">
        <fgColor rgb="FFE6B9B8"/>
        <bgColor rgb="FFFAC090"/>
      </patternFill>
    </fill>
    <fill>
      <patternFill patternType="solid">
        <fgColor rgb="FFFF0000"/>
        <bgColor rgb="FFDF0000"/>
      </patternFill>
    </fill>
    <fill>
      <patternFill patternType="solid">
        <fgColor rgb="FFDCE6F2"/>
        <bgColor rgb="FFDBEEF4"/>
      </patternFill>
    </fill>
    <fill>
      <patternFill patternType="solid">
        <fgColor rgb="FF000000"/>
        <bgColor rgb="FF0D0D0D"/>
      </patternFill>
    </fill>
    <fill>
      <patternFill patternType="solid">
        <fgColor rgb="FF93CDDE"/>
        <bgColor rgb="FF92CDDC"/>
      </patternFill>
    </fill>
    <fill>
      <patternFill patternType="solid">
        <fgColor rgb="FFBFBFBF"/>
        <bgColor rgb="FFC0C0C0"/>
      </patternFill>
    </fill>
    <fill>
      <patternFill patternType="solid">
        <fgColor rgb="FFFFFF00"/>
        <bgColor rgb="FFFFFF7F"/>
      </patternFill>
    </fill>
    <fill>
      <patternFill patternType="solid">
        <fgColor rgb="FF604A7B"/>
        <bgColor rgb="FF404040"/>
      </patternFill>
    </fill>
    <fill>
      <patternFill patternType="solid">
        <fgColor rgb="FFB8A1C5"/>
        <bgColor rgb="FFA6A6A6"/>
      </patternFill>
    </fill>
    <fill>
      <patternFill patternType="solid">
        <fgColor rgb="FFFDEADA"/>
        <bgColor rgb="FFEEECE1"/>
      </patternFill>
    </fill>
    <fill>
      <patternFill patternType="solid">
        <fgColor rgb="FFE6E0EC"/>
        <bgColor rgb="FFDCE6F2"/>
      </patternFill>
    </fill>
    <fill>
      <patternFill patternType="solid">
        <fgColor rgb="FFD9D9D9"/>
        <bgColor rgb="FFDDD9C3"/>
      </patternFill>
    </fill>
    <fill>
      <patternFill patternType="solid">
        <fgColor rgb="FF0070C8"/>
        <bgColor rgb="FF335C8E"/>
      </patternFill>
    </fill>
    <fill>
      <patternFill patternType="solid">
        <fgColor rgb="FF8EB4E3"/>
        <bgColor rgb="FF95B3D7"/>
      </patternFill>
    </fill>
    <fill>
      <patternFill patternType="solid">
        <fgColor rgb="FF333333"/>
        <bgColor rgb="FF404040"/>
      </patternFill>
    </fill>
    <fill>
      <patternFill patternType="solid">
        <fgColor rgb="FF10243E"/>
        <bgColor rgb="FF0D203F"/>
      </patternFill>
    </fill>
    <fill>
      <patternFill patternType="solid">
        <fgColor rgb="FFDDD9C3"/>
        <bgColor rgb="FFD9D9D9"/>
      </patternFill>
    </fill>
    <fill>
      <patternFill patternType="solid">
        <fgColor rgb="FFC4BD97"/>
        <bgColor rgb="FFBFBFBF"/>
      </patternFill>
    </fill>
    <fill>
      <patternFill patternType="solid">
        <fgColor rgb="FF83817A"/>
        <bgColor rgb="FFA6A6A6"/>
      </patternFill>
    </fill>
    <fill>
      <patternFill patternType="solid">
        <fgColor rgb="FFC0C0C0"/>
        <bgColor rgb="FFBFBFBF"/>
      </patternFill>
    </fill>
    <fill>
      <patternFill patternType="solid">
        <fgColor rgb="FF0D0D0D"/>
        <bgColor rgb="FF000000"/>
      </patternFill>
    </fill>
    <fill>
      <patternFill patternType="solid">
        <fgColor rgb="FF00FF00"/>
        <bgColor rgb="FF00C000"/>
      </patternFill>
    </fill>
    <fill>
      <patternFill patternType="solid">
        <fgColor rgb="FFEEECE1"/>
        <bgColor rgb="FFEBF1DE"/>
      </patternFill>
    </fill>
    <fill>
      <patternFill patternType="solid">
        <fgColor rgb="FFFAC090"/>
        <bgColor rgb="FFE6B9B8"/>
      </patternFill>
    </fill>
    <fill>
      <patternFill patternType="solid">
        <fgColor theme="3" tint="0.79998168889431442"/>
        <bgColor rgb="FFDCE6F2"/>
      </patternFill>
    </fill>
    <fill>
      <patternFill patternType="solid">
        <fgColor theme="1"/>
        <bgColor indexed="64"/>
      </patternFill>
    </fill>
    <fill>
      <patternFill patternType="solid">
        <fgColor rgb="FF000000"/>
        <bgColor indexed="64"/>
      </patternFill>
    </fill>
    <fill>
      <patternFill patternType="solid">
        <fgColor theme="1" tint="0.34998626667073579"/>
        <bgColor indexed="64"/>
      </patternFill>
    </fill>
    <fill>
      <patternFill patternType="solid">
        <fgColor theme="0"/>
        <bgColor rgb="FFDBEEF4"/>
      </patternFill>
    </fill>
    <fill>
      <patternFill patternType="solid">
        <fgColor theme="0"/>
        <bgColor rgb="FFEEECE1"/>
      </patternFill>
    </fill>
    <fill>
      <patternFill patternType="solid">
        <fgColor theme="0"/>
        <bgColor rgb="FFDDD9C3"/>
      </patternFill>
    </fill>
    <fill>
      <patternFill patternType="solid">
        <fgColor theme="0"/>
        <bgColor rgb="FFF2F2F2"/>
      </patternFill>
    </fill>
    <fill>
      <patternFill patternType="solid">
        <fgColor theme="0"/>
        <bgColor indexed="64"/>
      </patternFill>
    </fill>
    <fill>
      <patternFill patternType="solid">
        <fgColor rgb="FFFF0000"/>
        <bgColor indexed="64"/>
      </patternFill>
    </fill>
    <fill>
      <patternFill patternType="solid">
        <fgColor theme="0"/>
        <bgColor rgb="FFDF0000"/>
      </patternFill>
    </fill>
    <fill>
      <patternFill patternType="solid">
        <fgColor theme="0"/>
        <bgColor rgb="FFC6D9F1"/>
      </patternFill>
    </fill>
    <fill>
      <patternFill patternType="solid">
        <fgColor theme="8" tint="0.79998168889431442"/>
        <bgColor rgb="FFC6D9F1"/>
      </patternFill>
    </fill>
    <fill>
      <patternFill patternType="solid">
        <fgColor theme="8" tint="0.79998168889431442"/>
        <bgColor rgb="FFEEECE1"/>
      </patternFill>
    </fill>
    <fill>
      <patternFill patternType="solid">
        <fgColor theme="8" tint="0.79998168889431442"/>
        <bgColor indexed="64"/>
      </patternFill>
    </fill>
    <fill>
      <patternFill patternType="solid">
        <fgColor rgb="FF00C000"/>
        <bgColor rgb="FF27B114"/>
      </patternFill>
    </fill>
    <fill>
      <patternFill patternType="solid">
        <fgColor rgb="FF95B3D7"/>
        <bgColor rgb="FF8EB4E3"/>
      </patternFill>
    </fill>
    <fill>
      <patternFill patternType="solid">
        <fgColor rgb="FF92CDDC"/>
        <bgColor rgb="FF93CDDE"/>
      </patternFill>
    </fill>
    <fill>
      <patternFill patternType="solid">
        <fgColor theme="8" tint="-0.249977111117893"/>
        <bgColor rgb="FF254061"/>
      </patternFill>
    </fill>
    <fill>
      <patternFill patternType="solid">
        <fgColor theme="8" tint="-0.249977111117893"/>
        <bgColor rgb="FF17375E"/>
      </patternFill>
    </fill>
    <fill>
      <patternFill patternType="solid">
        <fgColor theme="8" tint="-0.249977111117893"/>
        <bgColor rgb="FF83817A"/>
      </patternFill>
    </fill>
    <fill>
      <patternFill patternType="solid">
        <fgColor theme="8" tint="-0.249977111117893"/>
        <bgColor indexed="64"/>
      </patternFill>
    </fill>
    <fill>
      <patternFill patternType="solid">
        <fgColor theme="4" tint="-0.249977111117893"/>
        <bgColor rgb="FF18375E"/>
      </patternFill>
    </fill>
    <fill>
      <patternFill patternType="solid">
        <fgColor rgb="FFFFFF00"/>
        <bgColor rgb="FF18375E"/>
      </patternFill>
    </fill>
    <fill>
      <patternFill patternType="solid">
        <fgColor theme="8" tint="-0.499984740745262"/>
        <bgColor rgb="FF254061"/>
      </patternFill>
    </fill>
    <fill>
      <patternFill patternType="solid">
        <fgColor theme="8" tint="-0.499984740745262"/>
        <bgColor rgb="FF17375E"/>
      </patternFill>
    </fill>
    <fill>
      <patternFill patternType="solid">
        <fgColor rgb="FFFFFFFF"/>
        <bgColor rgb="FF000000"/>
      </patternFill>
    </fill>
    <fill>
      <patternFill patternType="solid">
        <fgColor rgb="FFE4DFEC"/>
        <bgColor rgb="FF000000"/>
      </patternFill>
    </fill>
    <fill>
      <patternFill patternType="solid">
        <fgColor rgb="FFF2F2F2"/>
        <bgColor rgb="FF000000"/>
      </patternFill>
    </fill>
    <fill>
      <patternFill patternType="solid">
        <fgColor theme="8" tint="-0.249977111117893"/>
        <bgColor rgb="FFDF0000"/>
      </patternFill>
    </fill>
    <fill>
      <patternFill patternType="solid">
        <fgColor theme="1"/>
        <bgColor rgb="FFEEECE1"/>
      </patternFill>
    </fill>
    <fill>
      <patternFill patternType="solid">
        <fgColor theme="0" tint="-4.9989318521683403E-2"/>
        <bgColor rgb="FFEEECE1"/>
      </patternFill>
    </fill>
    <fill>
      <patternFill patternType="solid">
        <fgColor rgb="FFFF0000"/>
        <bgColor rgb="FFFFFF99"/>
      </patternFill>
    </fill>
    <fill>
      <patternFill patternType="solid">
        <fgColor theme="0" tint="-4.9989318521683403E-2"/>
        <bgColor rgb="FF000000"/>
      </patternFill>
    </fill>
    <fill>
      <patternFill patternType="solid">
        <fgColor theme="0" tint="-0.499984740745262"/>
        <bgColor indexed="64"/>
      </patternFill>
    </fill>
    <fill>
      <patternFill patternType="solid">
        <fgColor rgb="FFFF0000"/>
        <bgColor rgb="FF215968"/>
      </patternFill>
    </fill>
    <fill>
      <patternFill patternType="solid">
        <fgColor rgb="FFFF0000"/>
        <bgColor rgb="FFF2F2F2"/>
      </patternFill>
    </fill>
    <fill>
      <patternFill patternType="solid">
        <fgColor theme="0" tint="-0.14999847407452621"/>
        <bgColor rgb="FFEEECE1"/>
      </patternFill>
    </fill>
    <fill>
      <patternFill patternType="solid">
        <fgColor theme="0" tint="-0.14999847407452621"/>
        <bgColor indexed="64"/>
      </patternFill>
    </fill>
    <fill>
      <patternFill patternType="solid">
        <fgColor theme="0" tint="-0.14999847407452621"/>
        <bgColor rgb="FFDF0000"/>
      </patternFill>
    </fill>
    <fill>
      <patternFill patternType="solid">
        <fgColor theme="9" tint="0.79998168889431442"/>
        <bgColor rgb="FF000000"/>
      </patternFill>
    </fill>
    <fill>
      <patternFill patternType="solid">
        <fgColor theme="9" tint="0.79998168889431442"/>
        <bgColor rgb="FFDCE6F2"/>
      </patternFill>
    </fill>
    <fill>
      <patternFill patternType="solid">
        <fgColor theme="9" tint="0.79998168889431442"/>
        <bgColor rgb="FFDBEEF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DDD9C3"/>
      </patternFill>
    </fill>
    <fill>
      <patternFill patternType="solid">
        <fgColor theme="0" tint="-0.249977111117893"/>
        <bgColor rgb="FFEEECE1"/>
      </patternFill>
    </fill>
    <fill>
      <patternFill patternType="solid">
        <fgColor theme="0" tint="-0.249977111117893"/>
        <bgColor rgb="FFDDD9C3"/>
      </patternFill>
    </fill>
    <fill>
      <patternFill patternType="solid">
        <fgColor theme="0" tint="-0.499984740745262"/>
        <bgColor rgb="FFA6A6A6"/>
      </patternFill>
    </fill>
    <fill>
      <patternFill patternType="solid">
        <fgColor theme="3" tint="0.59999389629810485"/>
        <bgColor rgb="FFDBEEF4"/>
      </patternFill>
    </fill>
    <fill>
      <patternFill patternType="solid">
        <fgColor rgb="FFFF0000"/>
        <bgColor rgb="FF254061"/>
      </patternFill>
    </fill>
    <fill>
      <patternFill patternType="solid">
        <fgColor rgb="FFFF0000"/>
        <bgColor rgb="FFDBEEF4"/>
      </patternFill>
    </fill>
    <fill>
      <patternFill patternType="solid">
        <fgColor rgb="FFFF0000"/>
        <bgColor rgb="FFEEECE1"/>
      </patternFill>
    </fill>
    <fill>
      <patternFill patternType="solid">
        <fgColor rgb="FFFF0000"/>
        <bgColor rgb="FF83817A"/>
      </patternFill>
    </fill>
  </fills>
  <borders count="265">
    <border>
      <left/>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top/>
      <bottom style="medium">
        <color auto="1"/>
      </bottom>
      <diagonal/>
    </border>
    <border>
      <left/>
      <right/>
      <top style="thin">
        <color auto="1"/>
      </top>
      <bottom/>
      <diagonal/>
    </border>
    <border>
      <left style="medium">
        <color auto="1"/>
      </left>
      <right/>
      <top style="medium">
        <color auto="1"/>
      </top>
      <bottom/>
      <diagonal/>
    </border>
    <border>
      <left style="thick">
        <color auto="1"/>
      </left>
      <right style="thick">
        <color auto="1"/>
      </right>
      <top style="thick">
        <color auto="1"/>
      </top>
      <bottom/>
      <diagonal/>
    </border>
    <border>
      <left style="medium">
        <color auto="1"/>
      </left>
      <right/>
      <top/>
      <bottom/>
      <diagonal/>
    </border>
    <border>
      <left style="medium">
        <color auto="1"/>
      </left>
      <right style="medium">
        <color auto="1"/>
      </right>
      <top style="thick">
        <color auto="1"/>
      </top>
      <bottom style="thin">
        <color auto="1"/>
      </bottom>
      <diagonal/>
    </border>
    <border>
      <left style="thin">
        <color auto="1"/>
      </left>
      <right style="thin">
        <color auto="1"/>
      </right>
      <top/>
      <bottom style="thin">
        <color auto="1"/>
      </bottom>
      <diagonal/>
    </border>
    <border>
      <left style="thin">
        <color auto="1"/>
      </left>
      <right style="thick">
        <color rgb="FF1F497D"/>
      </right>
      <top style="thick">
        <color rgb="FF1F497D"/>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rgb="FF1F497D"/>
      </right>
      <top style="thin">
        <color auto="1"/>
      </top>
      <bottom style="thin">
        <color auto="1"/>
      </bottom>
      <diagonal/>
    </border>
    <border>
      <left style="medium">
        <color auto="1"/>
      </left>
      <right style="thin">
        <color auto="1"/>
      </right>
      <top/>
      <bottom/>
      <diagonal/>
    </border>
    <border>
      <left style="thin">
        <color auto="1"/>
      </left>
      <right style="thick">
        <color rgb="FF1F497D"/>
      </right>
      <top style="thin">
        <color auto="1"/>
      </top>
      <bottom style="thick">
        <color rgb="FF1F497D"/>
      </bottom>
      <diagonal/>
    </border>
    <border>
      <left/>
      <right style="thick">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n">
        <color auto="1"/>
      </right>
      <top style="thin">
        <color auto="1"/>
      </top>
      <bottom style="thick">
        <color auto="1"/>
      </bottom>
      <diagonal/>
    </border>
    <border>
      <left/>
      <right/>
      <top/>
      <bottom style="thick">
        <color auto="1"/>
      </bottom>
      <diagonal/>
    </border>
    <border>
      <left style="medium">
        <color auto="1"/>
      </left>
      <right style="medium">
        <color auto="1"/>
      </right>
      <top style="medium">
        <color auto="1"/>
      </top>
      <bottom style="double">
        <color auto="1"/>
      </bottom>
      <diagonal/>
    </border>
    <border>
      <left style="thick">
        <color auto="1"/>
      </left>
      <right style="thick">
        <color auto="1"/>
      </right>
      <top/>
      <bottom style="medium">
        <color auto="1"/>
      </bottom>
      <diagonal/>
    </border>
    <border>
      <left style="thick">
        <color auto="1"/>
      </left>
      <right style="thin">
        <color auto="1"/>
      </right>
      <top style="medium">
        <color auto="1"/>
      </top>
      <bottom/>
      <diagonal/>
    </border>
    <border>
      <left style="thin">
        <color auto="1"/>
      </left>
      <right style="thin">
        <color auto="1"/>
      </right>
      <top/>
      <bottom/>
      <diagonal/>
    </border>
    <border>
      <left style="thin">
        <color auto="1"/>
      </left>
      <right/>
      <top/>
      <bottom/>
      <diagonal/>
    </border>
    <border>
      <left style="thick">
        <color auto="1"/>
      </left>
      <right style="thin">
        <color auto="1"/>
      </right>
      <top/>
      <bottom/>
      <diagonal/>
    </border>
    <border>
      <left style="thin">
        <color auto="1"/>
      </left>
      <right style="thin">
        <color auto="1"/>
      </right>
      <top style="medium">
        <color auto="1"/>
      </top>
      <bottom/>
      <diagonal/>
    </border>
    <border>
      <left style="thin">
        <color auto="1"/>
      </left>
      <right style="thick">
        <color auto="1"/>
      </right>
      <top style="medium">
        <color auto="1"/>
      </top>
      <bottom/>
      <diagonal/>
    </border>
    <border>
      <left style="thick">
        <color auto="1"/>
      </left>
      <right/>
      <top/>
      <bottom/>
      <diagonal/>
    </border>
    <border>
      <left/>
      <right/>
      <top/>
      <bottom style="double">
        <color auto="1"/>
      </bottom>
      <diagonal/>
    </border>
    <border>
      <left style="thin">
        <color auto="1"/>
      </left>
      <right style="thin">
        <color auto="1"/>
      </right>
      <top style="double">
        <color auto="1"/>
      </top>
      <bottom/>
      <diagonal/>
    </border>
    <border>
      <left style="thin">
        <color auto="1"/>
      </left>
      <right/>
      <top style="double">
        <color auto="1"/>
      </top>
      <bottom/>
      <diagonal/>
    </border>
    <border>
      <left style="medium">
        <color auto="1"/>
      </left>
      <right style="medium">
        <color auto="1"/>
      </right>
      <top style="double">
        <color auto="1"/>
      </top>
      <bottom/>
      <diagonal/>
    </border>
    <border>
      <left/>
      <right style="thin">
        <color auto="1"/>
      </right>
      <top style="double">
        <color auto="1"/>
      </top>
      <bottom/>
      <diagonal/>
    </border>
    <border>
      <left style="thick">
        <color auto="1"/>
      </left>
      <right style="thick">
        <color auto="1"/>
      </right>
      <top style="double">
        <color auto="1"/>
      </top>
      <bottom style="thick">
        <color auto="1"/>
      </bottom>
      <diagonal/>
    </border>
    <border>
      <left style="thick">
        <color auto="1"/>
      </left>
      <right style="thin">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diagonal/>
    </border>
    <border>
      <left style="thick">
        <color auto="1"/>
      </left>
      <right style="thin">
        <color auto="1"/>
      </right>
      <top style="double">
        <color auto="1"/>
      </top>
      <bottom/>
      <diagonal/>
    </border>
    <border>
      <left style="thick">
        <color auto="1"/>
      </left>
      <right style="thick">
        <color auto="1"/>
      </right>
      <top style="double">
        <color auto="1"/>
      </top>
      <bottom/>
      <diagonal/>
    </border>
    <border>
      <left/>
      <right style="medium">
        <color auto="1"/>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right style="thin">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double">
        <color auto="1"/>
      </top>
      <bottom style="thin">
        <color auto="1"/>
      </bottom>
      <diagonal/>
    </border>
    <border>
      <left style="thin">
        <color auto="1"/>
      </left>
      <right/>
      <top style="thick">
        <color auto="1"/>
      </top>
      <bottom style="thin">
        <color auto="1"/>
      </bottom>
      <diagonal/>
    </border>
    <border>
      <left style="thin">
        <color auto="1"/>
      </left>
      <right style="thick">
        <color rgb="FFFF0000"/>
      </right>
      <top style="thick">
        <color auto="1"/>
      </top>
      <bottom style="thin">
        <color auto="1"/>
      </bottom>
      <diagonal/>
    </border>
    <border>
      <left style="thick">
        <color rgb="FFFF0000"/>
      </left>
      <right style="thick">
        <color rgb="FFFF0000"/>
      </right>
      <top style="thick">
        <color rgb="FFFF0000"/>
      </top>
      <bottom style="thin">
        <color auto="1"/>
      </bottom>
      <diagonal/>
    </border>
    <border>
      <left style="thin">
        <color auto="1"/>
      </left>
      <right/>
      <top style="double">
        <color auto="1"/>
      </top>
      <bottom style="thin">
        <color auto="1"/>
      </bottom>
      <diagonal/>
    </border>
    <border>
      <left style="thin">
        <color auto="1"/>
      </left>
      <right style="thick">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double">
        <color auto="1"/>
      </top>
      <bottom style="thin">
        <color auto="1"/>
      </bottom>
      <diagonal/>
    </border>
    <border>
      <left/>
      <right style="thick">
        <color auto="1"/>
      </right>
      <top style="double">
        <color auto="1"/>
      </top>
      <bottom style="thin">
        <color auto="1"/>
      </bottom>
      <diagonal/>
    </border>
    <border>
      <left style="thin">
        <color auto="1"/>
      </left>
      <right style="thin">
        <color auto="1"/>
      </right>
      <top style="thin">
        <color auto="1"/>
      </top>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rgb="FFFF0000"/>
      </left>
      <right style="thick">
        <color rgb="FFFF0000"/>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diagonal/>
    </border>
    <border>
      <left style="thick">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ck">
        <color auto="1"/>
      </right>
      <top style="thin">
        <color auto="1"/>
      </top>
      <bottom/>
      <diagonal/>
    </border>
    <border>
      <left style="thick">
        <color auto="1"/>
      </left>
      <right/>
      <top style="thin">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n">
        <color auto="1"/>
      </left>
      <right style="thick">
        <color auto="1"/>
      </right>
      <top style="thin">
        <color auto="1"/>
      </top>
      <bottom style="medium">
        <color auto="1"/>
      </bottom>
      <diagonal/>
    </border>
    <border>
      <left style="thin">
        <color auto="1"/>
      </left>
      <right style="medium">
        <color auto="1"/>
      </right>
      <top style="medium">
        <color auto="1"/>
      </top>
      <bottom style="double">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ck">
        <color auto="1"/>
      </left>
      <right style="thick">
        <color auto="1"/>
      </right>
      <top style="medium">
        <color auto="1"/>
      </top>
      <bottom style="double">
        <color auto="1"/>
      </bottom>
      <diagonal/>
    </border>
    <border>
      <left style="thin">
        <color auto="1"/>
      </left>
      <right/>
      <top style="medium">
        <color auto="1"/>
      </top>
      <bottom style="double">
        <color auto="1"/>
      </bottom>
      <diagonal/>
    </border>
    <border>
      <left style="thin">
        <color auto="1"/>
      </left>
      <right style="thick">
        <color auto="1"/>
      </right>
      <top style="medium">
        <color auto="1"/>
      </top>
      <bottom style="double">
        <color auto="1"/>
      </bottom>
      <diagonal/>
    </border>
    <border>
      <left style="medium">
        <color auto="1"/>
      </left>
      <right style="thin">
        <color auto="1"/>
      </right>
      <top style="medium">
        <color auto="1"/>
      </top>
      <bottom style="double">
        <color auto="1"/>
      </bottom>
      <diagonal/>
    </border>
    <border>
      <left/>
      <right/>
      <top style="double">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medium">
        <color auto="1"/>
      </right>
      <top style="medium">
        <color auto="1"/>
      </top>
      <bottom style="thin">
        <color auto="1"/>
      </bottom>
      <diagonal/>
    </border>
    <border>
      <left style="thick">
        <color auto="1"/>
      </left>
      <right style="thin">
        <color auto="1"/>
      </right>
      <top/>
      <bottom style="double">
        <color auto="1"/>
      </bottom>
      <diagonal/>
    </border>
    <border>
      <left style="thin">
        <color auto="1"/>
      </left>
      <right style="thick">
        <color auto="1"/>
      </right>
      <top/>
      <bottom/>
      <diagonal/>
    </border>
    <border>
      <left style="thin">
        <color auto="1"/>
      </left>
      <right style="medium">
        <color auto="1"/>
      </right>
      <top/>
      <bottom/>
      <diagonal/>
    </border>
    <border>
      <left style="thin">
        <color auto="1"/>
      </left>
      <right style="thin">
        <color auto="1"/>
      </right>
      <top style="double">
        <color auto="1"/>
      </top>
      <bottom style="double">
        <color auto="1"/>
      </bottom>
      <diagonal/>
    </border>
    <border>
      <left style="thin">
        <color auto="1"/>
      </left>
      <right style="medium">
        <color auto="1"/>
      </right>
      <top/>
      <bottom style="double">
        <color auto="1"/>
      </bottom>
      <diagonal/>
    </border>
    <border>
      <left style="medium">
        <color auto="1"/>
      </left>
      <right style="medium">
        <color auto="1"/>
      </right>
      <top style="double">
        <color auto="1"/>
      </top>
      <bottom style="double">
        <color auto="1"/>
      </bottom>
      <diagonal/>
    </border>
    <border>
      <left style="medium">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thick">
        <color auto="1"/>
      </left>
      <right style="thick">
        <color auto="1"/>
      </right>
      <top style="double">
        <color auto="1"/>
      </top>
      <bottom style="double">
        <color auto="1"/>
      </bottom>
      <diagonal/>
    </border>
    <border>
      <left style="thick">
        <color auto="1"/>
      </left>
      <right style="thin">
        <color auto="1"/>
      </right>
      <top style="double">
        <color auto="1"/>
      </top>
      <bottom style="double">
        <color auto="1"/>
      </bottom>
      <diagonal/>
    </border>
    <border>
      <left style="thin">
        <color auto="1"/>
      </left>
      <right style="thick">
        <color auto="1"/>
      </right>
      <top style="double">
        <color auto="1"/>
      </top>
      <bottom style="double">
        <color auto="1"/>
      </bottom>
      <diagonal/>
    </border>
    <border>
      <left/>
      <right style="thick">
        <color auto="1"/>
      </right>
      <top style="double">
        <color auto="1"/>
      </top>
      <bottom style="double">
        <color auto="1"/>
      </bottom>
      <diagonal/>
    </border>
    <border>
      <left style="thin">
        <color rgb="FFFFFFFF"/>
      </left>
      <right style="thin">
        <color rgb="FFFFFFFF"/>
      </right>
      <top/>
      <bottom style="thin">
        <color rgb="FFFFFFFF"/>
      </bottom>
      <diagonal/>
    </border>
    <border>
      <left style="thick">
        <color auto="1"/>
      </left>
      <right style="thick">
        <color auto="1"/>
      </right>
      <top style="double">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ck">
        <color auto="1"/>
      </left>
      <right style="thin">
        <color auto="1"/>
      </right>
      <top style="medium">
        <color auto="1"/>
      </top>
      <bottom style="double">
        <color auto="1"/>
      </bottom>
      <diagonal/>
    </border>
    <border>
      <left style="thick">
        <color rgb="FF10243E"/>
      </left>
      <right style="thick">
        <color rgb="FF10243E"/>
      </right>
      <top style="thick">
        <color rgb="FF10243E"/>
      </top>
      <bottom style="thick">
        <color rgb="FF10243E"/>
      </bottom>
      <diagonal/>
    </border>
    <border>
      <left/>
      <right/>
      <top style="thick">
        <color rgb="FF10243E"/>
      </top>
      <bottom/>
      <diagonal/>
    </border>
    <border>
      <left/>
      <right/>
      <top/>
      <bottom style="thin">
        <color rgb="FF1F497D"/>
      </bottom>
      <diagonal/>
    </border>
    <border>
      <left/>
      <right style="thick">
        <color rgb="FF1F497D"/>
      </right>
      <top/>
      <bottom style="thin">
        <color rgb="FF1F497D"/>
      </bottom>
      <diagonal/>
    </border>
    <border>
      <left style="thick">
        <color rgb="FF1F497D"/>
      </left>
      <right/>
      <top/>
      <bottom/>
      <diagonal/>
    </border>
    <border>
      <left style="thick">
        <color rgb="FFFF0000"/>
      </left>
      <right style="thick">
        <color rgb="FFFF0000"/>
      </right>
      <top style="thick">
        <color rgb="FFFF0000"/>
      </top>
      <bottom style="thick">
        <color rgb="FFFF0000"/>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ck">
        <color rgb="FFFF0000"/>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style="thick">
        <color auto="1"/>
      </top>
      <bottom/>
      <diagonal/>
    </border>
    <border>
      <left style="thin">
        <color auto="1"/>
      </left>
      <right style="thick">
        <color auto="1"/>
      </right>
      <top style="thick">
        <color auto="1"/>
      </top>
      <bottom style="thin">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n">
        <color auto="1"/>
      </bottom>
      <diagonal/>
    </border>
    <border>
      <left style="medium">
        <color auto="1"/>
      </left>
      <right style="medium">
        <color auto="1"/>
      </right>
      <top/>
      <bottom style="thick">
        <color auto="1"/>
      </bottom>
      <diagonal/>
    </border>
    <border>
      <left style="thin">
        <color auto="1"/>
      </left>
      <right style="thick">
        <color auto="1"/>
      </right>
      <top style="thick">
        <color auto="1"/>
      </top>
      <bottom/>
      <diagonal/>
    </border>
    <border>
      <left style="thin">
        <color auto="1"/>
      </left>
      <right style="thick">
        <color auto="1"/>
      </right>
      <top/>
      <bottom style="thick">
        <color auto="1"/>
      </bottom>
      <diagonal/>
    </border>
    <border>
      <left style="thick">
        <color auto="1"/>
      </left>
      <right style="thin">
        <color auto="1"/>
      </right>
      <top style="thin">
        <color auto="1"/>
      </top>
      <bottom style="thick">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Dashed">
        <color auto="1"/>
      </left>
      <right style="mediumDashed">
        <color auto="1"/>
      </right>
      <top style="mediumDashed">
        <color auto="1"/>
      </top>
      <bottom style="mediumDashed">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ck">
        <color auto="1"/>
      </left>
      <right/>
      <top/>
      <bottom style="thick">
        <color auto="1"/>
      </bottom>
      <diagonal/>
    </border>
    <border>
      <left/>
      <right style="thick">
        <color auto="1"/>
      </right>
      <top/>
      <bottom style="thick">
        <color auto="1"/>
      </bottom>
      <diagonal/>
    </border>
    <border>
      <left style="double">
        <color auto="1"/>
      </left>
      <right style="thin">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style="medium">
        <color auto="1"/>
      </left>
      <right style="thin">
        <color auto="1"/>
      </right>
      <top style="medium">
        <color auto="1"/>
      </top>
      <bottom/>
      <diagonal/>
    </border>
    <border>
      <left style="thin">
        <color auto="1"/>
      </left>
      <right style="thick">
        <color rgb="FF1F497D"/>
      </right>
      <top style="thin">
        <color auto="1"/>
      </top>
      <bottom/>
      <diagonal/>
    </border>
    <border>
      <left style="medium">
        <color auto="1"/>
      </left>
      <right/>
      <top/>
      <bottom style="thin">
        <color auto="1"/>
      </bottom>
      <diagonal/>
    </border>
    <border>
      <left style="thin">
        <color auto="1"/>
      </left>
      <right style="thick">
        <color rgb="FF1F497D"/>
      </right>
      <top/>
      <bottom style="thin">
        <color auto="1"/>
      </bottom>
      <diagonal/>
    </border>
    <border>
      <left style="thick">
        <color auto="1"/>
      </left>
      <right/>
      <top/>
      <bottom style="medium">
        <color auto="1"/>
      </bottom>
      <diagonal/>
    </border>
    <border>
      <left/>
      <right style="thick">
        <color auto="1"/>
      </right>
      <top/>
      <bottom style="medium">
        <color auto="1"/>
      </bottom>
      <diagonal/>
    </border>
    <border>
      <left/>
      <right style="thick">
        <color auto="1"/>
      </right>
      <top style="medium">
        <color auto="1"/>
      </top>
      <bottom style="double">
        <color auto="1"/>
      </bottom>
      <diagonal/>
    </border>
    <border>
      <left/>
      <right style="thick">
        <color auto="1"/>
      </right>
      <top style="double">
        <color auto="1"/>
      </top>
      <bottom/>
      <diagonal/>
    </border>
    <border>
      <left/>
      <right/>
      <top style="double">
        <color auto="1"/>
      </top>
      <bottom style="double">
        <color auto="1"/>
      </bottom>
      <diagonal/>
    </border>
    <border>
      <left style="thin">
        <color auto="1"/>
      </left>
      <right style="medium">
        <color auto="1"/>
      </right>
      <top style="medium">
        <color auto="1"/>
      </top>
      <bottom/>
      <diagonal/>
    </border>
    <border>
      <left style="thick">
        <color auto="1"/>
      </left>
      <right/>
      <top style="medium">
        <color auto="1"/>
      </top>
      <bottom style="double">
        <color auto="1"/>
      </bottom>
      <diagonal/>
    </border>
    <border>
      <left style="thick">
        <color auto="1"/>
      </left>
      <right/>
      <top style="medium">
        <color auto="1"/>
      </top>
      <bottom/>
      <diagonal/>
    </border>
    <border>
      <left style="thick">
        <color auto="1"/>
      </left>
      <right/>
      <top style="double">
        <color auto="1"/>
      </top>
      <bottom style="double">
        <color auto="1"/>
      </bottom>
      <diagonal/>
    </border>
    <border>
      <left style="thick">
        <color auto="1"/>
      </left>
      <right/>
      <top style="double">
        <color auto="1"/>
      </top>
      <bottom/>
      <diagonal/>
    </border>
    <border>
      <left style="thick">
        <color auto="1"/>
      </left>
      <right/>
      <top style="double">
        <color auto="1"/>
      </top>
      <bottom style="thin">
        <color auto="1"/>
      </bottom>
      <diagonal/>
    </border>
    <border>
      <left style="medium">
        <color auto="1"/>
      </left>
      <right/>
      <top style="double">
        <color auto="1"/>
      </top>
      <bottom/>
      <diagonal/>
    </border>
    <border>
      <left/>
      <right style="thin">
        <color auto="1"/>
      </right>
      <top style="medium">
        <color auto="1"/>
      </top>
      <bottom/>
      <diagonal/>
    </border>
    <border>
      <left style="thin">
        <color auto="1"/>
      </left>
      <right style="thin">
        <color auto="1"/>
      </right>
      <top/>
      <bottom style="double">
        <color auto="1"/>
      </bottom>
      <diagonal/>
    </border>
    <border>
      <left/>
      <right style="thin">
        <color auto="1"/>
      </right>
      <top/>
      <bottom style="double">
        <color auto="1"/>
      </bottom>
      <diagonal/>
    </border>
    <border>
      <left style="thin">
        <color auto="1"/>
      </left>
      <right style="thick">
        <color auto="1"/>
      </right>
      <top/>
      <bottom style="double">
        <color auto="1"/>
      </bottom>
      <diagonal/>
    </border>
    <border>
      <left style="thin">
        <color auto="1"/>
      </left>
      <right/>
      <top style="medium">
        <color auto="1"/>
      </top>
      <bottom/>
      <diagonal/>
    </border>
    <border>
      <left style="medium">
        <color auto="1"/>
      </left>
      <right style="thin">
        <color auto="1"/>
      </right>
      <top/>
      <bottom style="double">
        <color auto="1"/>
      </bottom>
      <diagonal/>
    </border>
    <border>
      <left style="thin">
        <color auto="1"/>
      </left>
      <right/>
      <top/>
      <bottom style="double">
        <color auto="1"/>
      </bottom>
      <diagonal/>
    </border>
    <border>
      <left style="thick">
        <color auto="1"/>
      </left>
      <right style="thin">
        <color auto="1"/>
      </right>
      <top style="thick">
        <color auto="1"/>
      </top>
      <bottom/>
      <diagonal/>
    </border>
    <border>
      <left style="thick">
        <color auto="1"/>
      </left>
      <right style="thin">
        <color auto="1"/>
      </right>
      <top/>
      <bottom style="thick">
        <color auto="1"/>
      </bottom>
      <diagonal/>
    </border>
    <border>
      <left/>
      <right/>
      <top style="thick">
        <color auto="1"/>
      </top>
      <bottom style="thin">
        <color auto="1"/>
      </bottom>
      <diagonal/>
    </border>
    <border>
      <left style="medium">
        <color auto="1"/>
      </left>
      <right style="thick">
        <color auto="1"/>
      </right>
      <top/>
      <bottom style="thick">
        <color auto="1"/>
      </bottom>
      <diagonal/>
    </border>
    <border>
      <left style="thin">
        <color auto="1"/>
      </left>
      <right style="thick">
        <color auto="1"/>
      </right>
      <top style="medium">
        <color auto="1"/>
      </top>
      <bottom style="thin">
        <color auto="1"/>
      </bottom>
      <diagonal/>
    </border>
    <border>
      <left style="medium">
        <color auto="1"/>
      </left>
      <right/>
      <top style="thick">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thick">
        <color auto="1"/>
      </bottom>
      <diagonal/>
    </border>
    <border>
      <left style="medium">
        <color auto="1"/>
      </left>
      <right style="thin">
        <color auto="1"/>
      </right>
      <top style="thick">
        <color auto="1"/>
      </top>
      <bottom style="thin">
        <color auto="1"/>
      </bottom>
      <diagonal/>
    </border>
    <border>
      <left style="thin">
        <color auto="1"/>
      </left>
      <right/>
      <top style="thick">
        <color auto="1"/>
      </top>
      <bottom/>
      <diagonal/>
    </border>
    <border>
      <left/>
      <right style="thick">
        <color auto="1"/>
      </right>
      <top style="thick">
        <color auto="1"/>
      </top>
      <bottom style="medium">
        <color auto="1"/>
      </bottom>
      <diagonal/>
    </border>
    <border>
      <left style="thick">
        <color rgb="FFFF0000"/>
      </left>
      <right/>
      <top style="thin">
        <color auto="1"/>
      </top>
      <bottom style="thin">
        <color auto="1"/>
      </bottom>
      <diagonal/>
    </border>
    <border>
      <left style="thick">
        <color rgb="FFFF0000"/>
      </left>
      <right style="thick">
        <color rgb="FFFF0000"/>
      </right>
      <top style="thick">
        <color rgb="FFFF0000"/>
      </top>
      <bottom/>
      <diagonal/>
    </border>
    <border>
      <left style="thick">
        <color rgb="FFFF0000"/>
      </left>
      <right/>
      <top style="thick">
        <color rgb="FFFF0000"/>
      </top>
      <bottom style="thin">
        <color auto="1"/>
      </bottom>
      <diagonal/>
    </border>
    <border>
      <left/>
      <right style="thick">
        <color rgb="FFFF0000"/>
      </right>
      <top style="thick">
        <color rgb="FFFF0000"/>
      </top>
      <bottom style="thin">
        <color auto="1"/>
      </bottom>
      <diagonal/>
    </border>
    <border>
      <left/>
      <right style="thick">
        <color auto="1"/>
      </right>
      <top/>
      <bottom style="thin">
        <color auto="1"/>
      </bottom>
      <diagonal/>
    </border>
    <border>
      <left style="thick">
        <color auto="1"/>
      </left>
      <right style="thin">
        <color auto="1"/>
      </right>
      <top style="thick">
        <color auto="1"/>
      </top>
      <bottom style="thin">
        <color auto="1"/>
      </bottom>
      <diagonal/>
    </border>
    <border>
      <left style="thick">
        <color auto="1"/>
      </left>
      <right style="thick">
        <color auto="1"/>
      </right>
      <top style="thick">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top style="medium">
        <color rgb="FFFF0000"/>
      </top>
      <bottom style="medium">
        <color rgb="FFFF0000"/>
      </bottom>
      <diagonal/>
    </border>
    <border>
      <left style="medium">
        <color indexed="64"/>
      </left>
      <right style="medium">
        <color indexed="64"/>
      </right>
      <top style="double">
        <color indexed="64"/>
      </top>
      <bottom style="thin">
        <color indexed="64"/>
      </bottom>
      <diagonal/>
    </border>
    <border>
      <left style="medium">
        <color indexed="64"/>
      </left>
      <right style="thick">
        <color indexed="64"/>
      </right>
      <top style="double">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theme="0"/>
      </left>
      <right style="thick">
        <color auto="1"/>
      </right>
      <top/>
      <bottom style="thick">
        <color auto="1"/>
      </bottom>
      <diagonal/>
    </border>
    <border>
      <left style="thick">
        <color theme="0"/>
      </left>
      <right style="thick">
        <color auto="1"/>
      </right>
      <top/>
      <bottom/>
      <diagonal/>
    </border>
    <border>
      <left style="thick">
        <color auto="1"/>
      </left>
      <right style="thick">
        <color theme="0"/>
      </right>
      <top/>
      <bottom style="thick">
        <color auto="1"/>
      </bottom>
      <diagonal/>
    </border>
    <border>
      <left style="thick">
        <color auto="1"/>
      </left>
      <right style="thick">
        <color theme="0"/>
      </right>
      <top style="medium">
        <color auto="1"/>
      </top>
      <bottom style="medium">
        <color auto="1"/>
      </bottom>
      <diagonal/>
    </border>
    <border>
      <left style="thick">
        <color theme="0"/>
      </left>
      <right style="thick">
        <color theme="0"/>
      </right>
      <top style="medium">
        <color auto="1"/>
      </top>
      <bottom style="medium">
        <color auto="1"/>
      </bottom>
      <diagonal/>
    </border>
    <border>
      <left style="thick">
        <color theme="0"/>
      </left>
      <right style="thick">
        <color theme="0"/>
      </right>
      <top/>
      <bottom/>
      <diagonal/>
    </border>
    <border>
      <left style="thick">
        <color theme="0"/>
      </left>
      <right style="thick">
        <color theme="0"/>
      </right>
      <top/>
      <bottom style="thick">
        <color auto="1"/>
      </bottom>
      <diagonal/>
    </border>
    <border>
      <left style="slantDashDot">
        <color rgb="FFFF0000"/>
      </left>
      <right/>
      <top/>
      <bottom/>
      <diagonal/>
    </border>
    <border>
      <left style="slantDashDot">
        <color rgb="FFFF0000"/>
      </left>
      <right/>
      <top/>
      <bottom style="slantDashDot">
        <color rgb="FFFF0000"/>
      </bottom>
      <diagonal/>
    </border>
    <border>
      <left/>
      <right/>
      <top/>
      <bottom style="slantDashDot">
        <color rgb="FFFF0000"/>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auto="1"/>
      </left>
      <right/>
      <top style="thin">
        <color indexed="64"/>
      </top>
      <bottom style="thick">
        <color auto="1"/>
      </bottom>
      <diagonal/>
    </border>
    <border>
      <left/>
      <right style="medium">
        <color auto="1"/>
      </right>
      <top style="thin">
        <color indexed="64"/>
      </top>
      <bottom style="thick">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slantDashDot">
        <color rgb="FFFF0000"/>
      </left>
      <right/>
      <top style="slantDashDot">
        <color rgb="FFFF0000"/>
      </top>
      <bottom/>
      <diagonal/>
    </border>
    <border>
      <left/>
      <right/>
      <top style="slantDashDot">
        <color rgb="FFFF0000"/>
      </top>
      <bottom/>
      <diagonal/>
    </border>
    <border>
      <left/>
      <right style="medium">
        <color auto="1"/>
      </right>
      <top style="thick">
        <color auto="1"/>
      </top>
      <bottom style="thick">
        <color auto="1"/>
      </bottom>
      <diagonal/>
    </border>
    <border>
      <left style="thin">
        <color theme="0"/>
      </left>
      <right/>
      <top style="thick">
        <color auto="1"/>
      </top>
      <bottom style="medium">
        <color auto="1"/>
      </bottom>
      <diagonal/>
    </border>
    <border>
      <left style="thin">
        <color theme="0"/>
      </left>
      <right style="thin">
        <color auto="1"/>
      </right>
      <top style="medium">
        <color auto="1"/>
      </top>
      <bottom style="thin">
        <color auto="1"/>
      </bottom>
      <diagonal/>
    </border>
    <border>
      <left/>
      <right/>
      <top style="thick">
        <color auto="1"/>
      </top>
      <bottom style="medium">
        <color auto="1"/>
      </bottom>
      <diagonal/>
    </border>
    <border>
      <left style="thin">
        <color theme="0"/>
      </left>
      <right/>
      <top style="medium">
        <color auto="1"/>
      </top>
      <bottom style="thin">
        <color auto="1"/>
      </bottom>
      <diagonal/>
    </border>
    <border>
      <left style="thin">
        <color auto="1"/>
      </left>
      <right style="slantDashDot">
        <color rgb="FFFF0000"/>
      </right>
      <top/>
      <bottom style="thin">
        <color auto="1"/>
      </bottom>
      <diagonal/>
    </border>
    <border>
      <left style="thick">
        <color auto="1"/>
      </left>
      <right style="thick">
        <color auto="1"/>
      </right>
      <top style="thin">
        <color auto="1"/>
      </top>
      <bottom style="thick">
        <color auto="1"/>
      </bottom>
      <diagonal/>
    </border>
    <border>
      <left/>
      <right style="medium">
        <color auto="1"/>
      </right>
      <top style="thick">
        <color auto="1"/>
      </top>
      <bottom/>
      <diagonal/>
    </border>
    <border>
      <left style="medium">
        <color auto="1"/>
      </left>
      <right/>
      <top/>
      <bottom style="double">
        <color auto="1"/>
      </bottom>
      <diagonal/>
    </border>
    <border>
      <left style="medium">
        <color auto="1"/>
      </left>
      <right/>
      <top style="medium">
        <color auto="1"/>
      </top>
      <bottom style="double">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top style="medium">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
      <left/>
      <right style="double">
        <color auto="1"/>
      </right>
      <top style="thick">
        <color auto="1"/>
      </top>
      <bottom style="thin">
        <color auto="1"/>
      </bottom>
      <diagonal/>
    </border>
    <border>
      <left/>
      <right style="double">
        <color auto="1"/>
      </right>
      <top style="thin">
        <color auto="1"/>
      </top>
      <bottom style="thin">
        <color auto="1"/>
      </bottom>
      <diagonal/>
    </border>
    <border>
      <left/>
      <right style="double">
        <color auto="1"/>
      </right>
      <top style="thin">
        <color auto="1"/>
      </top>
      <bottom style="thick">
        <color auto="1"/>
      </bottom>
      <diagonal/>
    </border>
    <border>
      <left style="double">
        <color auto="1"/>
      </left>
      <right/>
      <top style="thick">
        <color auto="1"/>
      </top>
      <bottom style="thin">
        <color auto="1"/>
      </bottom>
      <diagonal/>
    </border>
    <border>
      <left style="double">
        <color auto="1"/>
      </left>
      <right/>
      <top style="thin">
        <color auto="1"/>
      </top>
      <bottom style="thin">
        <color auto="1"/>
      </bottom>
      <diagonal/>
    </border>
    <border>
      <left style="double">
        <color auto="1"/>
      </left>
      <right/>
      <top style="thin">
        <color auto="1"/>
      </top>
      <bottom style="thick">
        <color auto="1"/>
      </bottom>
      <diagonal/>
    </border>
    <border>
      <left style="double">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thick">
        <color auto="1"/>
      </bottom>
      <diagonal/>
    </border>
    <border>
      <left style="thick">
        <color rgb="FFFF0000"/>
      </left>
      <right style="thick">
        <color rgb="FFFF0000"/>
      </right>
      <top style="thin">
        <color auto="1"/>
      </top>
      <bottom style="medium">
        <color auto="1"/>
      </bottom>
      <diagonal/>
    </border>
    <border>
      <left style="thick">
        <color rgb="FFFF0000"/>
      </left>
      <right style="thick">
        <color rgb="FFFF0000"/>
      </right>
      <top style="medium">
        <color auto="1"/>
      </top>
      <bottom style="double">
        <color auto="1"/>
      </bottom>
      <diagonal/>
    </border>
  </borders>
  <cellStyleXfs count="20">
    <xf numFmtId="0" fontId="0" fillId="0" borderId="0"/>
    <xf numFmtId="166" fontId="88" fillId="0" borderId="0" applyBorder="0" applyProtection="0"/>
    <xf numFmtId="173" fontId="88" fillId="0" borderId="0" applyBorder="0" applyProtection="0"/>
    <xf numFmtId="9" fontId="88" fillId="0" borderId="0" applyBorder="0" applyProtection="0"/>
    <xf numFmtId="164" fontId="88" fillId="0" borderId="0" applyBorder="0" applyProtection="0"/>
    <xf numFmtId="164" fontId="88" fillId="0" borderId="0" applyBorder="0" applyProtection="0"/>
    <xf numFmtId="0" fontId="1" fillId="0" borderId="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88" fillId="0" borderId="0" applyBorder="0" applyProtection="0"/>
  </cellStyleXfs>
  <cellXfs count="1884">
    <xf numFmtId="0" fontId="0" fillId="0" borderId="0" xfId="0"/>
    <xf numFmtId="0" fontId="0" fillId="0" borderId="0" xfId="0" applyAlignment="1">
      <alignment vertical="center"/>
    </xf>
    <xf numFmtId="0" fontId="0" fillId="0" borderId="0" xfId="0" applyAlignment="1">
      <alignment vertical="center" wrapText="1"/>
    </xf>
    <xf numFmtId="0" fontId="13" fillId="0" borderId="0" xfId="0" applyFont="1" applyAlignment="1">
      <alignment vertical="center"/>
    </xf>
    <xf numFmtId="0" fontId="12" fillId="0" borderId="0" xfId="0" applyFont="1" applyAlignment="1">
      <alignment horizontal="right" vertical="center" indent="1"/>
    </xf>
    <xf numFmtId="0" fontId="0" fillId="0" borderId="2" xfId="0" applyBorder="1" applyAlignment="1">
      <alignment vertical="center"/>
    </xf>
    <xf numFmtId="0" fontId="14" fillId="5" borderId="7" xfId="0" applyFont="1" applyFill="1" applyBorder="1" applyAlignment="1" applyProtection="1">
      <alignment horizontal="center" vertical="center"/>
      <protection locked="0"/>
    </xf>
    <xf numFmtId="0" fontId="15" fillId="0" borderId="0" xfId="0" applyFont="1" applyAlignment="1">
      <alignment vertical="center"/>
    </xf>
    <xf numFmtId="1" fontId="14" fillId="5" borderId="7" xfId="0" applyNumberFormat="1" applyFont="1" applyFill="1" applyBorder="1" applyAlignment="1" applyProtection="1">
      <alignment horizontal="center" vertical="center"/>
      <protection locked="0"/>
    </xf>
    <xf numFmtId="0" fontId="14" fillId="0" borderId="0" xfId="0" applyFont="1" applyAlignment="1">
      <alignment vertical="center"/>
    </xf>
    <xf numFmtId="0" fontId="0" fillId="0" borderId="6" xfId="0" applyBorder="1" applyAlignment="1">
      <alignment vertical="center"/>
    </xf>
    <xf numFmtId="0" fontId="12" fillId="0" borderId="6" xfId="0" applyFont="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28" fillId="0" borderId="0" xfId="0" applyFont="1" applyAlignment="1">
      <alignment horizontal="center" vertical="center"/>
    </xf>
    <xf numFmtId="0" fontId="14" fillId="0" borderId="0" xfId="0" applyFont="1" applyAlignment="1">
      <alignment horizontal="center" vertical="center"/>
    </xf>
    <xf numFmtId="164" fontId="12" fillId="0" borderId="0" xfId="0" applyNumberFormat="1" applyFont="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6" fillId="0" borderId="0" xfId="0" applyFont="1" applyAlignment="1">
      <alignment vertical="center"/>
    </xf>
    <xf numFmtId="0" fontId="17" fillId="0" borderId="0" xfId="0" applyFont="1" applyAlignment="1">
      <alignment vertical="center" wrapText="1"/>
    </xf>
    <xf numFmtId="49" fontId="26"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wrapText="1"/>
    </xf>
    <xf numFmtId="165" fontId="3" fillId="20" borderId="68" xfId="0" applyNumberFormat="1" applyFont="1" applyFill="1" applyBorder="1" applyAlignment="1" applyProtection="1">
      <alignment horizontal="center" vertical="center"/>
      <protection locked="0"/>
    </xf>
    <xf numFmtId="165" fontId="3" fillId="4" borderId="62" xfId="0" applyNumberFormat="1" applyFont="1" applyFill="1" applyBorder="1" applyAlignment="1" applyProtection="1">
      <alignment vertical="center"/>
      <protection locked="0"/>
    </xf>
    <xf numFmtId="165" fontId="3" fillId="4" borderId="60" xfId="0" applyNumberFormat="1" applyFont="1" applyFill="1" applyBorder="1" applyAlignment="1" applyProtection="1">
      <alignment vertical="center"/>
      <protection locked="0"/>
    </xf>
    <xf numFmtId="165" fontId="3" fillId="4" borderId="69" xfId="0" applyNumberFormat="1" applyFont="1" applyFill="1" applyBorder="1" applyAlignment="1" applyProtection="1">
      <alignment vertical="center"/>
      <protection locked="0"/>
    </xf>
    <xf numFmtId="165" fontId="3" fillId="4" borderId="70" xfId="0" applyNumberFormat="1" applyFont="1" applyFill="1" applyBorder="1" applyAlignment="1" applyProtection="1">
      <alignment vertical="center"/>
      <protection locked="0"/>
    </xf>
    <xf numFmtId="165" fontId="3" fillId="4" borderId="65" xfId="0" applyNumberFormat="1" applyFont="1" applyFill="1" applyBorder="1" applyAlignment="1" applyProtection="1">
      <alignment vertical="center"/>
      <protection locked="0"/>
    </xf>
    <xf numFmtId="165" fontId="3" fillId="4" borderId="71" xfId="0" applyNumberFormat="1" applyFont="1" applyFill="1" applyBorder="1" applyAlignment="1" applyProtection="1">
      <alignment vertical="center"/>
      <protection locked="0"/>
    </xf>
    <xf numFmtId="165" fontId="3" fillId="4" borderId="72" xfId="0" applyNumberFormat="1" applyFont="1" applyFill="1" applyBorder="1" applyAlignment="1" applyProtection="1">
      <alignment vertical="center"/>
      <protection locked="0"/>
    </xf>
    <xf numFmtId="165" fontId="3" fillId="0" borderId="65" xfId="0" applyNumberFormat="1" applyFont="1" applyBorder="1" applyAlignment="1" applyProtection="1">
      <alignment vertical="center"/>
      <protection locked="0"/>
    </xf>
    <xf numFmtId="164" fontId="0" fillId="0" borderId="0" xfId="0" applyNumberFormat="1" applyAlignment="1">
      <alignment vertical="center"/>
    </xf>
    <xf numFmtId="0" fontId="3" fillId="0" borderId="76" xfId="0" applyFont="1" applyBorder="1" applyAlignment="1" applyProtection="1">
      <alignment horizontal="center" vertical="center" wrapText="1"/>
      <protection locked="0"/>
    </xf>
    <xf numFmtId="165" fontId="3" fillId="4" borderId="8" xfId="0" applyNumberFormat="1" applyFont="1" applyFill="1" applyBorder="1" applyAlignment="1" applyProtection="1">
      <alignment vertical="center"/>
      <protection locked="0"/>
    </xf>
    <xf numFmtId="165" fontId="3" fillId="20" borderId="79" xfId="0" applyNumberFormat="1" applyFont="1" applyFill="1" applyBorder="1" applyAlignment="1" applyProtection="1">
      <alignment horizontal="center" vertical="center"/>
      <protection locked="0"/>
    </xf>
    <xf numFmtId="165" fontId="3" fillId="4" borderId="20" xfId="0" applyNumberFormat="1" applyFont="1" applyFill="1" applyBorder="1" applyAlignment="1" applyProtection="1">
      <alignment vertical="center"/>
      <protection locked="0"/>
    </xf>
    <xf numFmtId="165" fontId="3" fillId="4" borderId="7" xfId="0" applyNumberFormat="1" applyFont="1" applyFill="1" applyBorder="1" applyAlignment="1" applyProtection="1">
      <alignment vertical="center"/>
      <protection locked="0"/>
    </xf>
    <xf numFmtId="165" fontId="3" fillId="4" borderId="19" xfId="0" applyNumberFormat="1" applyFont="1" applyFill="1" applyBorder="1" applyAlignment="1" applyProtection="1">
      <alignment vertical="center"/>
      <protection locked="0"/>
    </xf>
    <xf numFmtId="165" fontId="3" fillId="4" borderId="63" xfId="0" applyNumberFormat="1" applyFont="1" applyFill="1" applyBorder="1" applyAlignment="1" applyProtection="1">
      <alignment vertical="center"/>
      <protection locked="0"/>
    </xf>
    <xf numFmtId="165" fontId="3" fillId="4" borderId="78" xfId="0" applyNumberFormat="1" applyFont="1" applyFill="1" applyBorder="1" applyAlignment="1" applyProtection="1">
      <alignment vertical="center"/>
      <protection locked="0"/>
    </xf>
    <xf numFmtId="165" fontId="3" fillId="4" borderId="7" xfId="0" applyNumberFormat="1" applyFont="1" applyFill="1" applyBorder="1" applyAlignment="1" applyProtection="1">
      <alignment horizontal="center" vertical="center"/>
      <protection locked="0"/>
    </xf>
    <xf numFmtId="165" fontId="3" fillId="4" borderId="63" xfId="0" applyNumberFormat="1" applyFont="1" applyFill="1" applyBorder="1" applyAlignment="1" applyProtection="1">
      <alignment horizontal="center" vertical="center"/>
      <protection locked="0"/>
    </xf>
    <xf numFmtId="165" fontId="3" fillId="0" borderId="78" xfId="0" applyNumberFormat="1" applyFont="1" applyBorder="1" applyAlignment="1" applyProtection="1">
      <alignment vertical="center"/>
      <protection locked="0"/>
    </xf>
    <xf numFmtId="165" fontId="3" fillId="21" borderId="77" xfId="0" applyNumberFormat="1" applyFont="1" applyFill="1" applyBorder="1" applyAlignment="1" applyProtection="1">
      <alignment vertical="center"/>
      <protection locked="0"/>
    </xf>
    <xf numFmtId="0" fontId="3" fillId="0" borderId="19" xfId="0" applyFont="1" applyBorder="1" applyAlignment="1" applyProtection="1">
      <alignment horizontal="left" vertical="center" wrapText="1" indent="1"/>
      <protection locked="0"/>
    </xf>
    <xf numFmtId="165" fontId="3" fillId="4" borderId="7" xfId="0" applyNumberFormat="1" applyFont="1" applyFill="1" applyBorder="1" applyAlignment="1" applyProtection="1">
      <alignment horizontal="right" vertical="center"/>
      <protection locked="0"/>
    </xf>
    <xf numFmtId="0" fontId="3" fillId="4" borderId="19" xfId="0" applyFont="1" applyFill="1" applyBorder="1" applyAlignment="1" applyProtection="1">
      <alignment horizontal="left" vertical="center" wrapText="1" indent="1"/>
      <protection locked="0"/>
    </xf>
    <xf numFmtId="0" fontId="0" fillId="0" borderId="19" xfId="0" applyBorder="1" applyAlignment="1" applyProtection="1">
      <alignment horizontal="left" vertical="center" wrapText="1" indent="1"/>
      <protection locked="0"/>
    </xf>
    <xf numFmtId="165" fontId="3" fillId="4" borderId="20" xfId="0" applyNumberFormat="1" applyFont="1" applyFill="1" applyBorder="1" applyAlignment="1" applyProtection="1">
      <alignment horizontal="center" vertical="center"/>
      <protection locked="0"/>
    </xf>
    <xf numFmtId="165" fontId="3" fillId="4" borderId="19" xfId="0" applyNumberFormat="1" applyFont="1" applyFill="1" applyBorder="1" applyAlignment="1" applyProtection="1">
      <alignment horizontal="center" vertical="center"/>
      <protection locked="0"/>
    </xf>
    <xf numFmtId="165" fontId="3" fillId="4" borderId="78" xfId="0" applyNumberFormat="1" applyFont="1" applyFill="1" applyBorder="1" applyAlignment="1" applyProtection="1">
      <alignment horizontal="center" vertical="center"/>
      <protection locked="0"/>
    </xf>
    <xf numFmtId="165" fontId="3" fillId="0" borderId="20" xfId="0" applyNumberFormat="1" applyFont="1" applyBorder="1" applyAlignment="1" applyProtection="1">
      <alignment horizontal="center" vertical="center"/>
      <protection locked="0"/>
    </xf>
    <xf numFmtId="165" fontId="3" fillId="0" borderId="7" xfId="0" applyNumberFormat="1" applyFont="1" applyBorder="1" applyAlignment="1" applyProtection="1">
      <alignment horizontal="center" vertical="center"/>
      <protection locked="0"/>
    </xf>
    <xf numFmtId="165" fontId="3" fillId="0" borderId="19" xfId="0" applyNumberFormat="1" applyFont="1" applyBorder="1" applyAlignment="1" applyProtection="1">
      <alignment horizontal="center" vertical="center"/>
      <protection locked="0"/>
    </xf>
    <xf numFmtId="165" fontId="3" fillId="0" borderId="63" xfId="0" applyNumberFormat="1" applyFont="1" applyBorder="1" applyAlignment="1" applyProtection="1">
      <alignment horizontal="center" vertical="center"/>
      <protection locked="0"/>
    </xf>
    <xf numFmtId="165" fontId="3" fillId="0" borderId="78" xfId="0" applyNumberFormat="1" applyFont="1" applyBorder="1" applyAlignment="1" applyProtection="1">
      <alignment horizontal="center" vertical="center"/>
      <protection locked="0"/>
    </xf>
    <xf numFmtId="165" fontId="3" fillId="0" borderId="7" xfId="0" applyNumberFormat="1" applyFont="1" applyBorder="1" applyAlignment="1" applyProtection="1">
      <alignment horizontal="right" vertical="center"/>
      <protection locked="0"/>
    </xf>
    <xf numFmtId="165" fontId="3" fillId="0" borderId="20" xfId="0" applyNumberFormat="1" applyFont="1" applyBorder="1" applyAlignment="1" applyProtection="1">
      <alignment vertical="center"/>
      <protection locked="0"/>
    </xf>
    <xf numFmtId="165" fontId="3" fillId="0" borderId="7" xfId="0" applyNumberFormat="1" applyFont="1" applyBorder="1" applyAlignment="1" applyProtection="1">
      <alignment vertical="center"/>
      <protection locked="0"/>
    </xf>
    <xf numFmtId="165" fontId="3" fillId="0" borderId="19" xfId="0" applyNumberFormat="1" applyFont="1" applyBorder="1" applyAlignment="1" applyProtection="1">
      <alignment vertical="center"/>
      <protection locked="0"/>
    </xf>
    <xf numFmtId="165" fontId="3" fillId="0" borderId="63" xfId="0" applyNumberFormat="1" applyFont="1" applyBorder="1" applyAlignment="1" applyProtection="1">
      <alignment vertical="center"/>
      <protection locked="0"/>
    </xf>
    <xf numFmtId="165" fontId="3" fillId="0" borderId="82" xfId="0" applyNumberFormat="1" applyFont="1" applyBorder="1" applyAlignment="1" applyProtection="1">
      <alignment vertical="center"/>
      <protection locked="0"/>
    </xf>
    <xf numFmtId="165" fontId="3" fillId="0" borderId="76" xfId="0" applyNumberFormat="1" applyFont="1" applyBorder="1" applyAlignment="1" applyProtection="1">
      <alignment vertical="center"/>
      <protection locked="0"/>
    </xf>
    <xf numFmtId="165" fontId="3" fillId="0" borderId="83" xfId="0" applyNumberFormat="1" applyFont="1" applyBorder="1" applyAlignment="1" applyProtection="1">
      <alignment vertical="center"/>
      <protection locked="0"/>
    </xf>
    <xf numFmtId="165" fontId="3" fillId="0" borderId="84" xfId="0" applyNumberFormat="1" applyFont="1" applyBorder="1" applyAlignment="1" applyProtection="1">
      <alignment vertical="center"/>
      <protection locked="0"/>
    </xf>
    <xf numFmtId="165" fontId="3" fillId="0" borderId="85" xfId="0" applyNumberFormat="1" applyFont="1" applyBorder="1" applyAlignment="1" applyProtection="1">
      <alignment vertical="center"/>
      <protection locked="0"/>
    </xf>
    <xf numFmtId="165" fontId="3" fillId="0" borderId="86" xfId="0" applyNumberFormat="1" applyFont="1" applyBorder="1" applyAlignment="1" applyProtection="1">
      <alignment vertical="center"/>
      <protection locked="0"/>
    </xf>
    <xf numFmtId="165" fontId="3" fillId="21" borderId="89" xfId="0" applyNumberFormat="1" applyFont="1" applyFill="1" applyBorder="1" applyAlignment="1" applyProtection="1">
      <alignment vertical="center"/>
      <protection locked="0"/>
    </xf>
    <xf numFmtId="165" fontId="3" fillId="0" borderId="77" xfId="0" applyNumberFormat="1" applyFont="1" applyBorder="1" applyAlignment="1" applyProtection="1">
      <alignment vertical="center"/>
      <protection locked="0"/>
    </xf>
    <xf numFmtId="165" fontId="3" fillId="0" borderId="90" xfId="0" applyNumberFormat="1" applyFont="1" applyBorder="1" applyAlignment="1" applyProtection="1">
      <alignment vertical="center"/>
      <protection locked="0"/>
    </xf>
    <xf numFmtId="165" fontId="3" fillId="21" borderId="91" xfId="0" applyNumberFormat="1" applyFont="1" applyFill="1" applyBorder="1" applyAlignment="1" applyProtection="1">
      <alignment vertical="center"/>
      <protection locked="0"/>
    </xf>
    <xf numFmtId="165" fontId="3" fillId="0" borderId="89" xfId="0" applyNumberFormat="1" applyFont="1" applyBorder="1" applyAlignment="1" applyProtection="1">
      <alignment vertical="center"/>
      <protection locked="0"/>
    </xf>
    <xf numFmtId="165" fontId="3" fillId="21" borderId="92" xfId="0" applyNumberFormat="1" applyFont="1" applyFill="1" applyBorder="1" applyAlignment="1" applyProtection="1">
      <alignment vertical="center"/>
      <protection locked="0"/>
    </xf>
    <xf numFmtId="166" fontId="3" fillId="0" borderId="0" xfId="0" applyNumberFormat="1" applyFont="1" applyAlignment="1">
      <alignment vertical="center"/>
    </xf>
    <xf numFmtId="0" fontId="17" fillId="0" borderId="0" xfId="0" applyFont="1" applyAlignment="1">
      <alignment horizontal="left" vertical="center"/>
    </xf>
    <xf numFmtId="0" fontId="4" fillId="2" borderId="0" xfId="0" applyFont="1" applyFill="1"/>
    <xf numFmtId="0" fontId="17" fillId="0" borderId="0" xfId="0" applyFont="1" applyAlignment="1">
      <alignment vertical="center"/>
    </xf>
    <xf numFmtId="49" fontId="3" fillId="4" borderId="7" xfId="0" applyNumberFormat="1" applyFont="1" applyFill="1" applyBorder="1" applyAlignment="1" applyProtection="1">
      <alignment horizontal="center" vertical="center"/>
      <protection locked="0"/>
    </xf>
    <xf numFmtId="165" fontId="3" fillId="4" borderId="65" xfId="0" applyNumberFormat="1" applyFont="1" applyFill="1" applyBorder="1" applyAlignment="1" applyProtection="1">
      <alignment horizontal="right" vertical="center" indent="1"/>
      <protection locked="0"/>
    </xf>
    <xf numFmtId="165" fontId="3" fillId="4" borderId="72" xfId="0" applyNumberFormat="1" applyFont="1" applyFill="1" applyBorder="1" applyAlignment="1" applyProtection="1">
      <alignment horizontal="right" vertical="center" indent="1"/>
      <protection locked="0"/>
    </xf>
    <xf numFmtId="165" fontId="3" fillId="4" borderId="71" xfId="0" applyNumberFormat="1" applyFont="1" applyFill="1" applyBorder="1" applyAlignment="1" applyProtection="1">
      <alignment horizontal="right" vertical="center" indent="1"/>
      <protection locked="0"/>
    </xf>
    <xf numFmtId="165" fontId="3" fillId="4" borderId="70" xfId="0" applyNumberFormat="1" applyFont="1" applyFill="1" applyBorder="1" applyAlignment="1" applyProtection="1">
      <alignment horizontal="right" vertical="center" indent="1"/>
      <protection locked="0"/>
    </xf>
    <xf numFmtId="165" fontId="3" fillId="4" borderId="69" xfId="0" applyNumberFormat="1" applyFont="1" applyFill="1" applyBorder="1" applyAlignment="1" applyProtection="1">
      <alignment horizontal="right" vertical="center" indent="1"/>
      <protection locked="0"/>
    </xf>
    <xf numFmtId="165" fontId="3" fillId="0" borderId="71" xfId="0" applyNumberFormat="1" applyFont="1" applyBorder="1" applyAlignment="1" applyProtection="1">
      <alignment horizontal="right" vertical="center"/>
      <protection locked="0"/>
    </xf>
    <xf numFmtId="165" fontId="3" fillId="4" borderId="73" xfId="0" applyNumberFormat="1" applyFont="1" applyFill="1" applyBorder="1" applyAlignment="1" applyProtection="1">
      <alignment horizontal="right" vertical="center" indent="1"/>
      <protection locked="0"/>
    </xf>
    <xf numFmtId="0" fontId="3" fillId="4" borderId="0" xfId="0" applyFont="1" applyFill="1" applyAlignment="1">
      <alignment vertical="center"/>
    </xf>
    <xf numFmtId="0" fontId="0" fillId="4" borderId="0" xfId="0" applyFill="1" applyAlignment="1">
      <alignment vertical="center"/>
    </xf>
    <xf numFmtId="165" fontId="3" fillId="4" borderId="78" xfId="0" applyNumberFormat="1" applyFont="1" applyFill="1" applyBorder="1" applyAlignment="1" applyProtection="1">
      <alignment horizontal="right" vertical="center"/>
      <protection locked="0"/>
    </xf>
    <xf numFmtId="165" fontId="3" fillId="4" borderId="19" xfId="0" applyNumberFormat="1" applyFont="1" applyFill="1" applyBorder="1" applyAlignment="1" applyProtection="1">
      <alignment horizontal="right" vertical="center"/>
      <protection locked="0"/>
    </xf>
    <xf numFmtId="165" fontId="3" fillId="4" borderId="63" xfId="0" applyNumberFormat="1" applyFont="1" applyFill="1" applyBorder="1" applyAlignment="1" applyProtection="1">
      <alignment horizontal="right" vertical="center"/>
      <protection locked="0"/>
    </xf>
    <xf numFmtId="165" fontId="3" fillId="0" borderId="0" xfId="0" applyNumberFormat="1" applyFont="1" applyAlignment="1" applyProtection="1">
      <alignment vertical="center"/>
      <protection locked="0"/>
    </xf>
    <xf numFmtId="165" fontId="3" fillId="4" borderId="80" xfId="0" applyNumberFormat="1" applyFont="1" applyFill="1" applyBorder="1" applyAlignment="1" applyProtection="1">
      <alignment horizontal="right" vertical="center"/>
      <protection locked="0"/>
    </xf>
    <xf numFmtId="165" fontId="3" fillId="0" borderId="41" xfId="0" applyNumberFormat="1" applyFont="1" applyBorder="1" applyAlignment="1" applyProtection="1">
      <alignment vertical="center"/>
      <protection locked="0"/>
    </xf>
    <xf numFmtId="165" fontId="3" fillId="0" borderId="78" xfId="0" applyNumberFormat="1" applyFont="1" applyBorder="1" applyAlignment="1" applyProtection="1">
      <alignment horizontal="right" vertical="center"/>
      <protection locked="0"/>
    </xf>
    <xf numFmtId="165" fontId="3" fillId="0" borderId="63" xfId="0" applyNumberFormat="1" applyFont="1" applyBorder="1" applyAlignment="1" applyProtection="1">
      <alignment horizontal="right" vertical="center"/>
      <protection locked="0"/>
    </xf>
    <xf numFmtId="165" fontId="3" fillId="0" borderId="19" xfId="0" applyNumberFormat="1" applyFont="1" applyBorder="1" applyAlignment="1" applyProtection="1">
      <alignment horizontal="right" vertical="center"/>
      <protection locked="0"/>
    </xf>
    <xf numFmtId="165" fontId="3" fillId="0" borderId="80" xfId="0" applyNumberFormat="1" applyFont="1" applyBorder="1" applyAlignment="1" applyProtection="1">
      <alignment horizontal="right" vertical="center"/>
      <protection locked="0"/>
    </xf>
    <xf numFmtId="165" fontId="35" fillId="4" borderId="8" xfId="0" applyNumberFormat="1" applyFont="1" applyFill="1" applyBorder="1" applyAlignment="1" applyProtection="1">
      <alignment vertical="center" wrapText="1"/>
      <protection locked="0"/>
    </xf>
    <xf numFmtId="165" fontId="3" fillId="4" borderId="84" xfId="0" applyNumberFormat="1" applyFont="1" applyFill="1" applyBorder="1" applyAlignment="1" applyProtection="1">
      <alignment horizontal="right" vertical="center"/>
      <protection locked="0"/>
    </xf>
    <xf numFmtId="165" fontId="3" fillId="4" borderId="122" xfId="0" applyNumberFormat="1" applyFont="1" applyFill="1" applyBorder="1" applyAlignment="1" applyProtection="1">
      <alignment horizontal="right" vertical="center"/>
      <protection locked="0"/>
    </xf>
    <xf numFmtId="165" fontId="3" fillId="4" borderId="123" xfId="0" applyNumberFormat="1" applyFont="1" applyFill="1" applyBorder="1" applyAlignment="1" applyProtection="1">
      <alignment horizontal="right" vertical="center"/>
      <protection locked="0"/>
    </xf>
    <xf numFmtId="165" fontId="3" fillId="4" borderId="93" xfId="0" applyNumberFormat="1" applyFont="1" applyFill="1" applyBorder="1" applyAlignment="1" applyProtection="1">
      <alignment horizontal="right" vertical="center"/>
      <protection locked="0"/>
    </xf>
    <xf numFmtId="0" fontId="12" fillId="0" borderId="0" xfId="0" applyFont="1" applyAlignment="1">
      <alignment horizontal="right" vertical="center"/>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center" vertical="top" wrapText="1"/>
    </xf>
    <xf numFmtId="173" fontId="0" fillId="0" borderId="0" xfId="2" applyFont="1" applyBorder="1" applyAlignment="1" applyProtection="1">
      <alignment horizontal="center"/>
    </xf>
    <xf numFmtId="49" fontId="5" fillId="2" borderId="0" xfId="0" applyNumberFormat="1" applyFont="1" applyFill="1" applyAlignment="1">
      <alignment vertical="top" wrapText="1"/>
    </xf>
    <xf numFmtId="49" fontId="5" fillId="2" borderId="0" xfId="0" applyNumberFormat="1" applyFont="1" applyFill="1" applyAlignment="1">
      <alignment vertical="center" wrapText="1"/>
    </xf>
    <xf numFmtId="0" fontId="5" fillId="2" borderId="0" xfId="0" applyFont="1" applyFill="1" applyAlignment="1">
      <alignment vertical="top" wrapText="1"/>
    </xf>
    <xf numFmtId="0" fontId="6" fillId="0" borderId="0" xfId="0" applyFont="1" applyAlignment="1">
      <alignment horizontal="center" vertical="center" wrapText="1"/>
    </xf>
    <xf numFmtId="174" fontId="6" fillId="0" borderId="0" xfId="0" applyNumberFormat="1" applyFont="1" applyAlignment="1" applyProtection="1">
      <alignment horizontal="center" vertical="center" wrapText="1"/>
      <protection locked="0"/>
    </xf>
    <xf numFmtId="0" fontId="6" fillId="0" borderId="0" xfId="0" applyFont="1" applyAlignment="1">
      <alignment vertical="center" wrapText="1"/>
    </xf>
    <xf numFmtId="0" fontId="6" fillId="0" borderId="3" xfId="0" applyFont="1" applyBorder="1" applyAlignment="1">
      <alignment vertical="top" wrapText="1"/>
    </xf>
    <xf numFmtId="0" fontId="6" fillId="0" borderId="3" xfId="0" applyFont="1" applyBorder="1" applyAlignment="1">
      <alignment horizontal="right" vertical="center"/>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0" xfId="0" applyFont="1" applyAlignment="1">
      <alignment vertical="top" wrapText="1"/>
    </xf>
    <xf numFmtId="0" fontId="6" fillId="14" borderId="0" xfId="0" applyFont="1" applyFill="1" applyAlignment="1">
      <alignment horizontal="right" vertical="center"/>
    </xf>
    <xf numFmtId="0" fontId="36" fillId="14" borderId="0" xfId="0" applyFont="1" applyFill="1" applyAlignment="1">
      <alignment horizontal="center" vertical="center" wrapText="1"/>
    </xf>
    <xf numFmtId="0" fontId="6" fillId="14" borderId="0" xfId="0" applyFont="1" applyFill="1" applyAlignment="1">
      <alignment horizontal="center" vertical="center" wrapText="1"/>
    </xf>
    <xf numFmtId="0" fontId="6" fillId="14" borderId="0" xfId="0" applyFont="1" applyFill="1" applyAlignment="1">
      <alignment vertical="center" wrapText="1"/>
    </xf>
    <xf numFmtId="0" fontId="34" fillId="14" borderId="76" xfId="0" applyFont="1" applyFill="1" applyBorder="1" applyAlignment="1">
      <alignment horizontal="center" vertical="center" wrapText="1"/>
    </xf>
    <xf numFmtId="0" fontId="34" fillId="14" borderId="0" xfId="0" applyFont="1" applyFill="1" applyAlignment="1">
      <alignment horizontal="center" vertical="center"/>
    </xf>
    <xf numFmtId="0" fontId="34" fillId="14" borderId="41" xfId="0" applyFont="1" applyFill="1" applyBorder="1" applyAlignment="1">
      <alignment horizontal="center" vertical="center" wrapText="1"/>
    </xf>
    <xf numFmtId="0" fontId="34" fillId="14" borderId="76" xfId="0" applyFont="1" applyFill="1" applyBorder="1" applyAlignment="1">
      <alignment horizontal="center" vertical="center"/>
    </xf>
    <xf numFmtId="0" fontId="34" fillId="14" borderId="83" xfId="0" applyFont="1" applyFill="1" applyBorder="1" applyAlignment="1">
      <alignment horizontal="center" vertical="center" wrapText="1"/>
    </xf>
    <xf numFmtId="0" fontId="34" fillId="14" borderId="12" xfId="0" applyFont="1" applyFill="1" applyBorder="1" applyAlignment="1">
      <alignment horizontal="center" vertical="center" wrapText="1"/>
    </xf>
    <xf numFmtId="0" fontId="0" fillId="14" borderId="0" xfId="0" applyFill="1"/>
    <xf numFmtId="0" fontId="34" fillId="14" borderId="3" xfId="0" applyFont="1" applyFill="1" applyBorder="1" applyAlignment="1">
      <alignment vertical="center" wrapText="1"/>
    </xf>
    <xf numFmtId="0" fontId="34" fillId="14" borderId="0" xfId="0" applyFont="1" applyFill="1" applyAlignment="1">
      <alignment horizontal="center" vertical="center" wrapText="1"/>
    </xf>
    <xf numFmtId="0" fontId="34" fillId="14" borderId="12" xfId="0" applyFont="1" applyFill="1" applyBorder="1" applyAlignment="1">
      <alignment horizontal="center" vertical="center"/>
    </xf>
    <xf numFmtId="0" fontId="34" fillId="14" borderId="82" xfId="0" applyFont="1" applyFill="1" applyBorder="1" applyAlignment="1">
      <alignment horizontal="center" vertical="center"/>
    </xf>
    <xf numFmtId="0" fontId="37" fillId="23" borderId="19" xfId="0" applyFont="1" applyFill="1" applyBorder="1" applyAlignment="1">
      <alignment vertical="center" wrapText="1"/>
    </xf>
    <xf numFmtId="0" fontId="38" fillId="23" borderId="9" xfId="0" applyFont="1" applyFill="1" applyBorder="1" applyAlignment="1">
      <alignment vertical="center"/>
    </xf>
    <xf numFmtId="0" fontId="5" fillId="23" borderId="9" xfId="0" applyFont="1" applyFill="1" applyBorder="1" applyAlignment="1">
      <alignment vertical="center"/>
    </xf>
    <xf numFmtId="0" fontId="5" fillId="23" borderId="9" xfId="0" applyFont="1" applyFill="1" applyBorder="1" applyAlignment="1">
      <alignment horizontal="left" vertical="center" indent="1"/>
    </xf>
    <xf numFmtId="15" fontId="39" fillId="23" borderId="9" xfId="0" applyNumberFormat="1" applyFont="1" applyFill="1" applyBorder="1" applyAlignment="1">
      <alignment horizontal="center" vertical="center"/>
    </xf>
    <xf numFmtId="0" fontId="5" fillId="23" borderId="9" xfId="0" applyFont="1" applyFill="1" applyBorder="1"/>
    <xf numFmtId="0" fontId="5" fillId="23" borderId="20" xfId="0" applyFont="1" applyFill="1" applyBorder="1"/>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2" fontId="14" fillId="0" borderId="7" xfId="0" applyNumberFormat="1" applyFont="1" applyBorder="1" applyAlignment="1">
      <alignment horizontal="center" vertical="center" wrapText="1"/>
    </xf>
    <xf numFmtId="165" fontId="14" fillId="0" borderId="7" xfId="2" applyNumberFormat="1" applyFont="1" applyBorder="1" applyAlignment="1" applyProtection="1">
      <alignment vertical="center"/>
    </xf>
    <xf numFmtId="165" fontId="14" fillId="0" borderId="7" xfId="0" applyNumberFormat="1" applyFont="1" applyBorder="1" applyAlignment="1">
      <alignment horizontal="center" vertical="center"/>
    </xf>
    <xf numFmtId="175" fontId="0" fillId="0" borderId="7" xfId="0" applyNumberFormat="1" applyBorder="1" applyAlignment="1">
      <alignment horizontal="right" vertical="center" indent="1"/>
    </xf>
    <xf numFmtId="49" fontId="0" fillId="0" borderId="7" xfId="0" applyNumberFormat="1" applyBorder="1" applyAlignment="1">
      <alignment horizontal="left" vertical="top" wrapText="1" indent="1"/>
    </xf>
    <xf numFmtId="174" fontId="0" fillId="0" borderId="0" xfId="0" applyNumberFormat="1" applyAlignment="1">
      <alignment vertical="center"/>
    </xf>
    <xf numFmtId="2" fontId="0" fillId="0" borderId="0" xfId="0" applyNumberFormat="1" applyAlignment="1">
      <alignment vertical="center"/>
    </xf>
    <xf numFmtId="14" fontId="0" fillId="0" borderId="0" xfId="0" applyNumberFormat="1" applyAlignment="1">
      <alignment vertical="center"/>
    </xf>
    <xf numFmtId="0" fontId="14" fillId="0" borderId="19" xfId="0" applyFont="1" applyBorder="1" applyAlignment="1">
      <alignment horizontal="center" vertical="center"/>
    </xf>
    <xf numFmtId="0" fontId="31" fillId="0" borderId="9" xfId="0" applyFont="1" applyBorder="1" applyAlignment="1">
      <alignment horizontal="center" vertical="center"/>
    </xf>
    <xf numFmtId="0" fontId="14" fillId="0" borderId="9" xfId="0" applyFont="1" applyBorder="1" applyAlignment="1">
      <alignment horizontal="center" vertical="center" wrapText="1"/>
    </xf>
    <xf numFmtId="0" fontId="14" fillId="0" borderId="9" xfId="0" applyFont="1" applyBorder="1" applyAlignment="1">
      <alignment horizontal="left" vertical="center" wrapText="1" indent="1"/>
    </xf>
    <xf numFmtId="14" fontId="14" fillId="0" borderId="9" xfId="0" applyNumberFormat="1" applyFont="1" applyBorder="1" applyAlignment="1">
      <alignment horizontal="center" vertical="center"/>
    </xf>
    <xf numFmtId="165" fontId="14" fillId="0" borderId="9" xfId="2" applyNumberFormat="1" applyFont="1" applyBorder="1" applyAlignment="1" applyProtection="1">
      <alignment vertical="center"/>
    </xf>
    <xf numFmtId="165" fontId="14" fillId="0" borderId="9" xfId="0" applyNumberFormat="1" applyFont="1" applyBorder="1" applyAlignment="1">
      <alignment horizontal="center" vertical="center"/>
    </xf>
    <xf numFmtId="175" fontId="0" fillId="0" borderId="20" xfId="0" applyNumberFormat="1" applyBorder="1" applyAlignment="1">
      <alignment horizontal="right" vertical="center" indent="1"/>
    </xf>
    <xf numFmtId="0" fontId="38" fillId="23" borderId="19" xfId="0" applyFont="1" applyFill="1" applyBorder="1" applyAlignment="1">
      <alignment vertical="center"/>
    </xf>
    <xf numFmtId="14" fontId="39" fillId="23" borderId="9" xfId="0" applyNumberFormat="1" applyFont="1" applyFill="1" applyBorder="1" applyAlignment="1">
      <alignment horizontal="center" vertical="center"/>
    </xf>
    <xf numFmtId="0" fontId="5" fillId="23" borderId="20" xfId="0" applyFont="1" applyFill="1" applyBorder="1" applyAlignment="1">
      <alignment vertical="center"/>
    </xf>
    <xf numFmtId="0" fontId="0" fillId="0" borderId="7" xfId="0" applyBorder="1" applyAlignment="1">
      <alignment horizontal="left" vertical="top" wrapText="1" indent="1"/>
    </xf>
    <xf numFmtId="49" fontId="14" fillId="0" borderId="7" xfId="0" applyNumberFormat="1" applyFont="1" applyBorder="1" applyAlignment="1">
      <alignment horizontal="center" vertical="center" wrapText="1"/>
    </xf>
    <xf numFmtId="165" fontId="14" fillId="0" borderId="7" xfId="2" applyNumberFormat="1" applyFont="1" applyBorder="1" applyAlignment="1" applyProtection="1">
      <alignment horizontal="center" vertical="center"/>
    </xf>
    <xf numFmtId="175" fontId="0" fillId="0" borderId="0" xfId="0" applyNumberFormat="1" applyAlignment="1">
      <alignment vertical="center"/>
    </xf>
    <xf numFmtId="0" fontId="14" fillId="0" borderId="12" xfId="0" applyFont="1" applyBorder="1" applyAlignment="1">
      <alignment horizontal="center" vertical="center"/>
    </xf>
    <xf numFmtId="49" fontId="14" fillId="0" borderId="12" xfId="0" applyNumberFormat="1" applyFont="1" applyBorder="1" applyAlignment="1">
      <alignment horizontal="center" vertical="center" wrapText="1"/>
    </xf>
    <xf numFmtId="0" fontId="14" fillId="0" borderId="12" xfId="0" applyFont="1" applyBorder="1" applyAlignment="1">
      <alignment horizontal="left" vertical="center" wrapText="1" indent="1"/>
    </xf>
    <xf numFmtId="14" fontId="14" fillId="0" borderId="12" xfId="0" applyNumberFormat="1" applyFont="1" applyBorder="1" applyAlignment="1">
      <alignment horizontal="center" vertical="center"/>
    </xf>
    <xf numFmtId="0" fontId="14" fillId="0" borderId="12" xfId="0" applyFont="1" applyBorder="1" applyAlignment="1">
      <alignment horizontal="center" vertical="center" wrapText="1"/>
    </xf>
    <xf numFmtId="165" fontId="14" fillId="0" borderId="12" xfId="2" applyNumberFormat="1" applyFont="1" applyBorder="1" applyAlignment="1" applyProtection="1">
      <alignment horizontal="center" vertical="center"/>
    </xf>
    <xf numFmtId="175" fontId="0" fillId="0" borderId="0" xfId="0" applyNumberFormat="1" applyAlignment="1">
      <alignment horizontal="right" vertical="center" indent="1"/>
    </xf>
    <xf numFmtId="0" fontId="0" fillId="0" borderId="0" xfId="0" applyAlignment="1">
      <alignment horizontal="left" vertical="top" wrapText="1" indent="1"/>
    </xf>
    <xf numFmtId="0" fontId="14" fillId="2" borderId="127" xfId="0" applyFont="1" applyFill="1" applyBorder="1" applyAlignment="1">
      <alignment vertical="center" wrapText="1"/>
    </xf>
    <xf numFmtId="0" fontId="0" fillId="2" borderId="128" xfId="0" applyFill="1" applyBorder="1" applyAlignment="1">
      <alignment vertical="center"/>
    </xf>
    <xf numFmtId="165" fontId="28" fillId="2" borderId="129" xfId="0" applyNumberFormat="1" applyFont="1" applyFill="1" applyBorder="1" applyAlignment="1">
      <alignment vertical="center" wrapText="1"/>
    </xf>
    <xf numFmtId="165" fontId="14" fillId="0" borderId="0" xfId="2" applyNumberFormat="1" applyFont="1" applyBorder="1" applyAlignment="1" applyProtection="1">
      <alignment horizontal="center" vertical="center"/>
    </xf>
    <xf numFmtId="0" fontId="9" fillId="0" borderId="0" xfId="0" applyFont="1" applyAlignment="1">
      <alignment vertical="top"/>
    </xf>
    <xf numFmtId="0" fontId="0" fillId="0" borderId="0" xfId="0" applyAlignment="1">
      <alignment vertical="top"/>
    </xf>
    <xf numFmtId="175" fontId="0" fillId="0" borderId="0" xfId="0" applyNumberFormat="1" applyAlignment="1">
      <alignment horizontal="center" vertical="top"/>
    </xf>
    <xf numFmtId="0" fontId="28" fillId="0" borderId="0" xfId="0" applyFont="1" applyAlignment="1">
      <alignment horizontal="right" vertical="center" wrapText="1"/>
    </xf>
    <xf numFmtId="0" fontId="3" fillId="0" borderId="0" xfId="0" applyFont="1"/>
    <xf numFmtId="0" fontId="12" fillId="0" borderId="0" xfId="0" applyFont="1" applyAlignment="1">
      <alignment vertical="center"/>
    </xf>
    <xf numFmtId="0" fontId="0" fillId="0" borderId="12" xfId="0" applyBorder="1" applyAlignment="1">
      <alignment vertical="center"/>
    </xf>
    <xf numFmtId="165" fontId="14" fillId="0" borderId="7" xfId="0" applyNumberFormat="1" applyFont="1" applyBorder="1" applyAlignment="1">
      <alignment vertical="center"/>
    </xf>
    <xf numFmtId="49" fontId="3" fillId="0" borderId="0" xfId="0" applyNumberFormat="1" applyFont="1" applyAlignment="1">
      <alignment vertical="center"/>
    </xf>
    <xf numFmtId="1" fontId="17" fillId="0" borderId="0" xfId="0" applyNumberFormat="1" applyFont="1" applyAlignment="1">
      <alignment horizontal="center" vertical="center"/>
    </xf>
    <xf numFmtId="0" fontId="16" fillId="0" borderId="0" xfId="0" applyFont="1" applyAlignment="1">
      <alignment horizontal="center" vertical="center"/>
    </xf>
    <xf numFmtId="0" fontId="3" fillId="0" borderId="42" xfId="0" applyFont="1" applyBorder="1" applyAlignment="1">
      <alignment vertical="center"/>
    </xf>
    <xf numFmtId="0" fontId="0" fillId="0" borderId="28" xfId="0" applyBorder="1" applyAlignment="1">
      <alignment vertical="center"/>
    </xf>
    <xf numFmtId="0" fontId="0" fillId="0" borderId="3" xfId="0" applyBorder="1" applyAlignment="1">
      <alignment vertical="center"/>
    </xf>
    <xf numFmtId="0" fontId="20" fillId="0" borderId="0" xfId="0" applyFont="1" applyAlignment="1">
      <alignment vertical="center" wrapText="1"/>
    </xf>
    <xf numFmtId="0" fontId="20" fillId="0" borderId="0" xfId="0" applyFont="1" applyAlignment="1">
      <alignment vertical="center"/>
    </xf>
    <xf numFmtId="0" fontId="51" fillId="0" borderId="0" xfId="0" applyFont="1" applyAlignment="1">
      <alignment horizontal="left" vertical="center"/>
    </xf>
    <xf numFmtId="165" fontId="14" fillId="5" borderId="60" xfId="0" applyNumberFormat="1" applyFont="1" applyFill="1" applyBorder="1" applyAlignment="1" applyProtection="1">
      <alignment vertical="center"/>
      <protection locked="0"/>
    </xf>
    <xf numFmtId="165" fontId="14" fillId="5" borderId="76" xfId="0" applyNumberFormat="1" applyFont="1" applyFill="1" applyBorder="1" applyAlignment="1" applyProtection="1">
      <alignment vertical="center"/>
      <protection locked="0"/>
    </xf>
    <xf numFmtId="165" fontId="14" fillId="5" borderId="7" xfId="0" applyNumberFormat="1" applyFont="1" applyFill="1" applyBorder="1" applyAlignment="1" applyProtection="1">
      <alignment vertical="center"/>
      <protection locked="0"/>
    </xf>
    <xf numFmtId="165" fontId="14" fillId="5" borderId="36" xfId="0" applyNumberFormat="1" applyFont="1" applyFill="1" applyBorder="1" applyAlignment="1" applyProtection="1">
      <alignment vertical="center"/>
      <protection locked="0"/>
    </xf>
    <xf numFmtId="165" fontId="14" fillId="5" borderId="17" xfId="0" applyNumberFormat="1" applyFont="1" applyFill="1" applyBorder="1" applyAlignment="1" applyProtection="1">
      <alignment vertical="center"/>
      <protection locked="0"/>
    </xf>
    <xf numFmtId="165" fontId="14" fillId="5" borderId="146" xfId="0" applyNumberFormat="1" applyFont="1" applyFill="1" applyBorder="1" applyAlignment="1" applyProtection="1">
      <alignment vertical="center"/>
      <protection locked="0"/>
    </xf>
    <xf numFmtId="0" fontId="14" fillId="0" borderId="20" xfId="0" applyFont="1" applyBorder="1" applyAlignment="1">
      <alignment horizontal="center" vertical="center" wrapText="1"/>
    </xf>
    <xf numFmtId="0" fontId="14" fillId="4" borderId="7" xfId="0" applyFont="1" applyFill="1" applyBorder="1" applyAlignment="1">
      <alignment horizontal="left" vertical="center" wrapText="1" indent="1"/>
    </xf>
    <xf numFmtId="0" fontId="3" fillId="0" borderId="7" xfId="0" applyFont="1" applyBorder="1" applyAlignment="1">
      <alignment horizontal="center" vertical="center" wrapText="1"/>
    </xf>
    <xf numFmtId="0" fontId="17" fillId="4" borderId="0" xfId="0" applyFont="1" applyFill="1" applyAlignment="1">
      <alignment vertical="center"/>
    </xf>
    <xf numFmtId="0" fontId="3" fillId="0" borderId="0" xfId="0" applyFont="1" applyAlignment="1">
      <alignment wrapText="1"/>
    </xf>
    <xf numFmtId="0" fontId="26" fillId="0" borderId="0" xfId="0" applyFont="1"/>
    <xf numFmtId="49" fontId="26" fillId="0" borderId="0" xfId="0" applyNumberFormat="1" applyFont="1"/>
    <xf numFmtId="0" fontId="11" fillId="0" borderId="0" xfId="0" applyFont="1"/>
    <xf numFmtId="0" fontId="26" fillId="0" borderId="0" xfId="0" applyFont="1" applyAlignment="1">
      <alignment horizontal="center"/>
    </xf>
    <xf numFmtId="0" fontId="17" fillId="0" borderId="3" xfId="0" applyFont="1" applyBorder="1" applyAlignment="1">
      <alignment vertical="center" wrapText="1"/>
    </xf>
    <xf numFmtId="0" fontId="57" fillId="0" borderId="0" xfId="0" applyFont="1" applyAlignment="1">
      <alignment vertical="center"/>
    </xf>
    <xf numFmtId="0" fontId="57" fillId="0" borderId="0" xfId="0" applyFont="1" applyAlignment="1">
      <alignment horizontal="center" vertical="center"/>
    </xf>
    <xf numFmtId="0" fontId="0" fillId="0" borderId="0" xfId="0" applyAlignment="1">
      <alignment horizontal="left" vertical="center"/>
    </xf>
    <xf numFmtId="0" fontId="45" fillId="0" borderId="0" xfId="0" applyFont="1" applyAlignment="1">
      <alignment vertical="center"/>
    </xf>
    <xf numFmtId="0" fontId="68" fillId="0" borderId="0" xfId="0" applyFont="1" applyAlignment="1">
      <alignment horizontal="right" vertical="center"/>
    </xf>
    <xf numFmtId="0" fontId="44" fillId="5" borderId="9" xfId="0" applyFont="1" applyFill="1" applyBorder="1" applyAlignment="1">
      <alignment horizontal="center" vertical="center"/>
    </xf>
    <xf numFmtId="180" fontId="0" fillId="0" borderId="0" xfId="0" applyNumberFormat="1" applyAlignment="1">
      <alignment vertical="center"/>
    </xf>
    <xf numFmtId="0" fontId="69" fillId="0" borderId="0" xfId="0" applyFont="1" applyAlignment="1">
      <alignment vertical="center"/>
    </xf>
    <xf numFmtId="0" fontId="0" fillId="4" borderId="0" xfId="0" applyFill="1" applyAlignment="1">
      <alignment horizontal="right" vertical="center"/>
    </xf>
    <xf numFmtId="173" fontId="12" fillId="0" borderId="0" xfId="2" applyFont="1" applyBorder="1" applyAlignment="1" applyProtection="1">
      <alignment horizontal="right" vertical="center"/>
    </xf>
    <xf numFmtId="0" fontId="17" fillId="0" borderId="7" xfId="0" applyFont="1" applyBorder="1" applyAlignment="1">
      <alignment horizontal="center" vertical="center"/>
    </xf>
    <xf numFmtId="0" fontId="0" fillId="0" borderId="42" xfId="0" applyBorder="1" applyAlignment="1">
      <alignment vertical="center"/>
    </xf>
    <xf numFmtId="0" fontId="17" fillId="0" borderId="9" xfId="0" applyFont="1" applyBorder="1" applyAlignment="1">
      <alignment horizontal="center" vertical="center"/>
    </xf>
    <xf numFmtId="0" fontId="17" fillId="0" borderId="12" xfId="0" applyFon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59" fillId="0" borderId="0" xfId="0" applyFont="1" applyAlignment="1">
      <alignment vertical="center"/>
    </xf>
    <xf numFmtId="0" fontId="46" fillId="0" borderId="0" xfId="0" applyFont="1" applyAlignment="1">
      <alignment vertical="center"/>
    </xf>
    <xf numFmtId="49" fontId="0" fillId="0" borderId="0" xfId="0" applyNumberFormat="1" applyAlignment="1">
      <alignment vertical="center"/>
    </xf>
    <xf numFmtId="1" fontId="12" fillId="0" borderId="0" xfId="0" applyNumberFormat="1" applyFont="1" applyAlignment="1">
      <alignment horizontal="center" vertical="center"/>
    </xf>
    <xf numFmtId="0" fontId="67" fillId="0" borderId="0" xfId="0" applyFont="1" applyAlignment="1">
      <alignment horizontal="right" vertical="center"/>
    </xf>
    <xf numFmtId="0" fontId="71" fillId="0" borderId="0" xfId="0" applyFont="1" applyAlignment="1">
      <alignment horizontal="center" vertical="center"/>
    </xf>
    <xf numFmtId="0" fontId="17" fillId="0" borderId="3" xfId="0" applyFont="1" applyBorder="1" applyAlignment="1">
      <alignment vertical="center"/>
    </xf>
    <xf numFmtId="0" fontId="71" fillId="0" borderId="3" xfId="0" applyFont="1" applyBorder="1" applyAlignment="1">
      <alignment horizontal="center" vertical="center"/>
    </xf>
    <xf numFmtId="14" fontId="0" fillId="0" borderId="0" xfId="0" applyNumberFormat="1" applyAlignment="1">
      <alignment horizontal="left" vertical="center"/>
    </xf>
    <xf numFmtId="0" fontId="45" fillId="0" borderId="7" xfId="0" applyFont="1" applyBorder="1" applyAlignment="1">
      <alignment horizontal="center" vertical="center"/>
    </xf>
    <xf numFmtId="0" fontId="18" fillId="0" borderId="17" xfId="0" applyFont="1" applyBorder="1" applyAlignment="1">
      <alignment horizontal="center" vertical="center"/>
    </xf>
    <xf numFmtId="182" fontId="45" fillId="0" borderId="17" xfId="2" applyNumberFormat="1" applyFont="1" applyBorder="1" applyAlignment="1" applyProtection="1">
      <alignment vertical="center"/>
    </xf>
    <xf numFmtId="0" fontId="51" fillId="0" borderId="0" xfId="0" applyFont="1" applyAlignment="1">
      <alignment horizontal="center" vertical="center"/>
    </xf>
    <xf numFmtId="0" fontId="45" fillId="0" borderId="17" xfId="0" applyFont="1" applyBorder="1" applyAlignment="1">
      <alignment horizontal="center" vertical="center"/>
    </xf>
    <xf numFmtId="0" fontId="18" fillId="0" borderId="7" xfId="0" applyFont="1" applyBorder="1" applyAlignment="1">
      <alignment horizontal="center" vertical="center"/>
    </xf>
    <xf numFmtId="182" fontId="45" fillId="0" borderId="7" xfId="1" applyNumberFormat="1" applyFont="1" applyBorder="1" applyAlignment="1" applyProtection="1">
      <alignment vertical="center"/>
    </xf>
    <xf numFmtId="0" fontId="52" fillId="0" borderId="0" xfId="0" applyFont="1" applyAlignment="1">
      <alignment vertical="center"/>
    </xf>
    <xf numFmtId="0" fontId="45" fillId="0" borderId="153" xfId="0" applyFont="1" applyBorder="1" applyAlignment="1">
      <alignment horizontal="center" vertical="center"/>
    </xf>
    <xf numFmtId="0" fontId="20" fillId="0" borderId="3" xfId="0" applyFont="1" applyBorder="1" applyAlignment="1">
      <alignment vertical="center"/>
    </xf>
    <xf numFmtId="0" fontId="51" fillId="0" borderId="106" xfId="0" applyFont="1" applyBorder="1" applyAlignment="1">
      <alignment horizontal="center" vertical="center"/>
    </xf>
    <xf numFmtId="0" fontId="28" fillId="31" borderId="7" xfId="0" applyFont="1" applyFill="1" applyBorder="1" applyAlignment="1">
      <alignment horizontal="center" vertical="center"/>
    </xf>
    <xf numFmtId="182" fontId="28" fillId="31" borderId="7" xfId="2" applyNumberFormat="1" applyFont="1" applyFill="1" applyBorder="1" applyAlignment="1" applyProtection="1">
      <alignment vertical="center"/>
    </xf>
    <xf numFmtId="182" fontId="45" fillId="0" borderId="19" xfId="2" applyNumberFormat="1" applyFont="1" applyBorder="1" applyAlignment="1" applyProtection="1">
      <alignment vertical="center"/>
    </xf>
    <xf numFmtId="0" fontId="51" fillId="0" borderId="0" xfId="0" applyFont="1" applyAlignment="1">
      <alignment vertical="center"/>
    </xf>
    <xf numFmtId="182" fontId="45" fillId="0" borderId="19" xfId="1" applyNumberFormat="1" applyFont="1" applyBorder="1" applyAlignment="1" applyProtection="1">
      <alignment vertical="center"/>
    </xf>
    <xf numFmtId="0" fontId="28" fillId="14" borderId="7" xfId="0" applyFont="1" applyFill="1" applyBorder="1" applyAlignment="1">
      <alignment horizontal="center" vertical="center"/>
    </xf>
    <xf numFmtId="182" fontId="28" fillId="14" borderId="7" xfId="2" applyNumberFormat="1" applyFont="1" applyFill="1" applyBorder="1" applyAlignment="1" applyProtection="1">
      <alignment vertical="center"/>
    </xf>
    <xf numFmtId="182" fontId="45" fillId="0" borderId="28" xfId="2" applyNumberFormat="1" applyFont="1" applyBorder="1" applyAlignment="1" applyProtection="1">
      <alignment vertical="center"/>
    </xf>
    <xf numFmtId="0" fontId="20" fillId="4" borderId="0" xfId="0" applyFont="1" applyFill="1" applyAlignment="1">
      <alignment vertical="center"/>
    </xf>
    <xf numFmtId="0" fontId="51" fillId="0" borderId="106" xfId="0" applyFont="1" applyBorder="1" applyAlignment="1">
      <alignment horizontal="left" vertical="center"/>
    </xf>
    <xf numFmtId="0" fontId="20" fillId="0" borderId="12" xfId="0" applyFont="1" applyBorder="1" applyAlignment="1">
      <alignment vertical="center"/>
    </xf>
    <xf numFmtId="173" fontId="18" fillId="0" borderId="12" xfId="2" applyFont="1" applyBorder="1" applyAlignment="1" applyProtection="1">
      <alignment horizontal="right" vertical="center"/>
    </xf>
    <xf numFmtId="182" fontId="45" fillId="0" borderId="7" xfId="2" applyNumberFormat="1" applyFont="1" applyBorder="1" applyAlignment="1" applyProtection="1">
      <alignment vertical="center"/>
    </xf>
    <xf numFmtId="0" fontId="20" fillId="0" borderId="0" xfId="0" applyFont="1" applyAlignment="1">
      <alignment horizontal="left" vertical="center"/>
    </xf>
    <xf numFmtId="0" fontId="72" fillId="0" borderId="0" xfId="0" applyFont="1" applyAlignment="1">
      <alignment horizontal="left" vertical="center"/>
    </xf>
    <xf numFmtId="0" fontId="17" fillId="0" borderId="6" xfId="0" applyFont="1" applyBorder="1" applyAlignment="1">
      <alignment vertical="center"/>
    </xf>
    <xf numFmtId="0" fontId="12" fillId="15" borderId="7" xfId="0" applyFont="1" applyFill="1" applyBorder="1" applyAlignment="1">
      <alignment horizontal="center" vertical="center"/>
    </xf>
    <xf numFmtId="182" fontId="12" fillId="15" borderId="7" xfId="2" applyNumberFormat="1" applyFont="1" applyFill="1" applyBorder="1" applyAlignment="1" applyProtection="1">
      <alignment vertical="center"/>
    </xf>
    <xf numFmtId="183" fontId="0" fillId="0" borderId="0" xfId="0" applyNumberFormat="1" applyAlignment="1">
      <alignment vertical="center"/>
    </xf>
    <xf numFmtId="173" fontId="18" fillId="0" borderId="0" xfId="2" applyFont="1" applyBorder="1" applyAlignment="1" applyProtection="1">
      <alignment horizontal="right" vertical="center"/>
    </xf>
    <xf numFmtId="0" fontId="74" fillId="0" borderId="0" xfId="0" applyFont="1" applyAlignment="1">
      <alignment horizontal="left" vertical="center"/>
    </xf>
    <xf numFmtId="0" fontId="75" fillId="0" borderId="0" xfId="0" applyFont="1" applyAlignment="1">
      <alignment horizontal="left" vertical="center"/>
    </xf>
    <xf numFmtId="0" fontId="0" fillId="0" borderId="87" xfId="0" applyBorder="1" applyAlignment="1">
      <alignment vertical="center"/>
    </xf>
    <xf numFmtId="0" fontId="45" fillId="0" borderId="76" xfId="0" applyFont="1" applyBorder="1" applyAlignment="1">
      <alignment horizontal="center" vertical="center"/>
    </xf>
    <xf numFmtId="0" fontId="45" fillId="0" borderId="123" xfId="0" applyFont="1" applyBorder="1" applyAlignment="1">
      <alignment horizontal="center" vertical="center"/>
    </xf>
    <xf numFmtId="0" fontId="57" fillId="0" borderId="28" xfId="0" applyFont="1" applyBorder="1" applyAlignment="1">
      <alignment vertical="center"/>
    </xf>
    <xf numFmtId="0" fontId="52" fillId="0" borderId="106" xfId="0" applyFont="1" applyBorder="1" applyAlignment="1">
      <alignment horizontal="center" vertical="center"/>
    </xf>
    <xf numFmtId="182" fontId="28" fillId="14" borderId="20" xfId="2" applyNumberFormat="1" applyFont="1" applyFill="1" applyBorder="1" applyAlignment="1" applyProtection="1">
      <alignment vertical="center"/>
    </xf>
    <xf numFmtId="182" fontId="45" fillId="0" borderId="76" xfId="1" applyNumberFormat="1" applyFont="1" applyBorder="1" applyAlignment="1" applyProtection="1">
      <alignment vertical="center"/>
    </xf>
    <xf numFmtId="0" fontId="57" fillId="0" borderId="3" xfId="0" applyFont="1" applyBorder="1" applyAlignment="1">
      <alignment vertical="center"/>
    </xf>
    <xf numFmtId="0" fontId="17" fillId="0" borderId="106" xfId="0" applyFont="1" applyBorder="1" applyAlignment="1">
      <alignment horizontal="center" vertical="center"/>
    </xf>
    <xf numFmtId="0" fontId="18" fillId="0" borderId="0" xfId="0" applyFont="1" applyAlignment="1">
      <alignment horizontal="right" vertical="center"/>
    </xf>
    <xf numFmtId="0" fontId="17" fillId="0" borderId="106" xfId="0" applyFont="1" applyBorder="1" applyAlignment="1">
      <alignment vertical="center"/>
    </xf>
    <xf numFmtId="0" fontId="28" fillId="14" borderId="76" xfId="0" applyFont="1" applyFill="1" applyBorder="1" applyAlignment="1">
      <alignment horizontal="center" vertical="center"/>
    </xf>
    <xf numFmtId="182" fontId="28" fillId="14" borderId="82" xfId="2" applyNumberFormat="1" applyFont="1" applyFill="1" applyBorder="1" applyAlignment="1" applyProtection="1">
      <alignment vertical="center"/>
    </xf>
    <xf numFmtId="182" fontId="45" fillId="0" borderId="7" xfId="0" applyNumberFormat="1" applyFont="1" applyBorder="1" applyAlignment="1">
      <alignment vertical="center"/>
    </xf>
    <xf numFmtId="0" fontId="17" fillId="0" borderId="28" xfId="0" applyFont="1" applyBorder="1" applyAlignment="1">
      <alignment horizontal="center" vertical="center"/>
    </xf>
    <xf numFmtId="0" fontId="17" fillId="0" borderId="3" xfId="0" applyFont="1" applyBorder="1" applyAlignment="1">
      <alignment horizontal="center" vertical="center"/>
    </xf>
    <xf numFmtId="0" fontId="17" fillId="0" borderId="106" xfId="0" applyFont="1" applyBorder="1" applyAlignment="1">
      <alignment horizontal="left" vertical="center"/>
    </xf>
    <xf numFmtId="0" fontId="12" fillId="15" borderId="20" xfId="0" applyFont="1" applyFill="1" applyBorder="1" applyAlignment="1">
      <alignment horizontal="center" vertical="center"/>
    </xf>
    <xf numFmtId="183" fontId="32" fillId="0" borderId="0" xfId="0" applyNumberFormat="1" applyFont="1" applyAlignment="1">
      <alignment vertical="center"/>
    </xf>
    <xf numFmtId="185" fontId="0" fillId="0" borderId="0" xfId="0" applyNumberFormat="1" applyAlignment="1">
      <alignment vertical="center"/>
    </xf>
    <xf numFmtId="0" fontId="16" fillId="0" borderId="0" xfId="0" applyFont="1" applyAlignment="1">
      <alignment horizontal="left" vertical="center"/>
    </xf>
    <xf numFmtId="0" fontId="18" fillId="0" borderId="0" xfId="0" applyFont="1" applyAlignment="1">
      <alignment horizontal="right" vertical="center" indent="1"/>
    </xf>
    <xf numFmtId="0" fontId="12" fillId="0" borderId="0" xfId="0" applyFont="1" applyAlignment="1">
      <alignment horizontal="left" vertical="center"/>
    </xf>
    <xf numFmtId="0" fontId="13" fillId="0" borderId="83" xfId="0" applyFont="1" applyBorder="1" applyAlignment="1">
      <alignment vertical="center"/>
    </xf>
    <xf numFmtId="0" fontId="76" fillId="0" borderId="76" xfId="0" applyFont="1" applyBorder="1" applyAlignment="1">
      <alignment vertical="center" wrapText="1"/>
    </xf>
    <xf numFmtId="0" fontId="3" fillId="0" borderId="76" xfId="0" applyFont="1" applyBorder="1" applyAlignment="1">
      <alignment horizontal="left" vertical="center"/>
    </xf>
    <xf numFmtId="182" fontId="77" fillId="0" borderId="7" xfId="0" applyNumberFormat="1" applyFont="1" applyBorder="1" applyAlignment="1">
      <alignment horizontal="left" vertical="center" indent="2"/>
    </xf>
    <xf numFmtId="182" fontId="45" fillId="0" borderId="7" xfId="2" applyNumberFormat="1" applyFont="1" applyBorder="1" applyAlignment="1" applyProtection="1">
      <alignment horizontal="left" vertical="center" indent="2"/>
    </xf>
    <xf numFmtId="0" fontId="78" fillId="0" borderId="41" xfId="0" applyFont="1" applyBorder="1" applyAlignment="1">
      <alignment vertical="center" wrapText="1"/>
    </xf>
    <xf numFmtId="0" fontId="3" fillId="0" borderId="41" xfId="0" applyFont="1" applyBorder="1" applyAlignment="1">
      <alignment horizontal="left" vertical="center"/>
    </xf>
    <xf numFmtId="182" fontId="77" fillId="0" borderId="7" xfId="2" applyNumberFormat="1" applyFont="1" applyBorder="1" applyAlignment="1" applyProtection="1">
      <alignment horizontal="left" vertical="center" indent="2"/>
    </xf>
    <xf numFmtId="184" fontId="37" fillId="0" borderId="0" xfId="0" applyNumberFormat="1" applyFont="1" applyAlignment="1">
      <alignment vertical="center"/>
    </xf>
    <xf numFmtId="0" fontId="37" fillId="0" borderId="0" xfId="0" applyFont="1" applyAlignment="1">
      <alignment vertical="center"/>
    </xf>
    <xf numFmtId="0" fontId="32" fillId="0" borderId="0" xfId="0" applyFont="1" applyAlignment="1">
      <alignment vertical="center"/>
    </xf>
    <xf numFmtId="166" fontId="17" fillId="0" borderId="0" xfId="0" applyNumberFormat="1" applyFont="1" applyAlignment="1">
      <alignment vertical="center"/>
    </xf>
    <xf numFmtId="0" fontId="3" fillId="0" borderId="41" xfId="0" applyFont="1" applyBorder="1" applyAlignment="1">
      <alignment vertical="center"/>
    </xf>
    <xf numFmtId="166" fontId="3" fillId="0" borderId="0" xfId="1" applyFont="1" applyBorder="1" applyAlignment="1" applyProtection="1">
      <alignment horizontal="left" vertical="center"/>
    </xf>
    <xf numFmtId="0" fontId="14" fillId="0" borderId="12" xfId="0" applyFont="1" applyBorder="1" applyAlignment="1">
      <alignment horizontal="left" vertical="center"/>
    </xf>
    <xf numFmtId="0" fontId="20" fillId="0" borderId="82" xfId="0" applyFont="1" applyBorder="1" applyAlignment="1">
      <alignment horizontal="center" vertical="center"/>
    </xf>
    <xf numFmtId="0" fontId="12" fillId="27" borderId="7" xfId="0" applyFont="1" applyFill="1" applyBorder="1" applyAlignment="1">
      <alignment horizontal="center" vertical="center"/>
    </xf>
    <xf numFmtId="182" fontId="79" fillId="27" borderId="7" xfId="0" applyNumberFormat="1" applyFont="1" applyFill="1" applyBorder="1" applyAlignment="1">
      <alignment horizontal="left" vertical="center"/>
    </xf>
    <xf numFmtId="186" fontId="12" fillId="30" borderId="20" xfId="0" applyNumberFormat="1" applyFont="1" applyFill="1" applyBorder="1" applyAlignment="1">
      <alignment horizontal="left" vertical="center"/>
    </xf>
    <xf numFmtId="182" fontId="12" fillId="27" borderId="7" xfId="2" applyNumberFormat="1" applyFont="1" applyFill="1" applyBorder="1" applyAlignment="1" applyProtection="1">
      <alignment vertical="center"/>
    </xf>
    <xf numFmtId="0" fontId="3" fillId="0" borderId="76" xfId="0" applyFont="1" applyBorder="1" applyAlignment="1">
      <alignment vertical="center"/>
    </xf>
    <xf numFmtId="0" fontId="45" fillId="0" borderId="19" xfId="0" applyFont="1" applyBorder="1" applyAlignment="1">
      <alignment horizontal="center" vertical="center"/>
    </xf>
    <xf numFmtId="166" fontId="17" fillId="0" borderId="0" xfId="0" applyNumberFormat="1" applyFont="1" applyAlignment="1">
      <alignment horizontal="center" vertical="center"/>
    </xf>
    <xf numFmtId="0" fontId="17" fillId="0" borderId="41" xfId="0" applyFont="1" applyBorder="1" applyAlignment="1">
      <alignment vertical="center"/>
    </xf>
    <xf numFmtId="187" fontId="3" fillId="0" borderId="0" xfId="0" applyNumberFormat="1" applyFont="1" applyAlignment="1">
      <alignment vertical="center"/>
    </xf>
    <xf numFmtId="164" fontId="17" fillId="0" borderId="0" xfId="1" applyNumberFormat="1" applyFont="1" applyBorder="1" applyAlignment="1" applyProtection="1">
      <alignment horizontal="left" vertical="center"/>
    </xf>
    <xf numFmtId="0" fontId="14" fillId="0" borderId="0" xfId="0" applyFont="1" applyAlignment="1">
      <alignment horizontal="left" vertical="center"/>
    </xf>
    <xf numFmtId="173" fontId="12" fillId="0" borderId="0" xfId="2" applyFont="1" applyBorder="1" applyAlignment="1" applyProtection="1">
      <alignment vertical="center"/>
    </xf>
    <xf numFmtId="184" fontId="3" fillId="0" borderId="0" xfId="1" applyNumberFormat="1" applyFont="1" applyBorder="1" applyAlignment="1" applyProtection="1">
      <alignment horizontal="left" vertical="center"/>
    </xf>
    <xf numFmtId="0" fontId="14" fillId="0" borderId="76" xfId="0" applyFont="1" applyBorder="1" applyAlignment="1">
      <alignment vertical="center"/>
    </xf>
    <xf numFmtId="0" fontId="14" fillId="0" borderId="17" xfId="0" applyFont="1" applyBorder="1" applyAlignment="1">
      <alignment vertical="center"/>
    </xf>
    <xf numFmtId="0" fontId="34" fillId="14" borderId="17" xfId="0" applyFont="1" applyFill="1" applyBorder="1" applyAlignment="1">
      <alignment horizontal="center" vertical="center"/>
    </xf>
    <xf numFmtId="0" fontId="51" fillId="0" borderId="76" xfId="0" applyFont="1" applyBorder="1" applyAlignment="1">
      <alignment horizontal="center" vertical="center"/>
    </xf>
    <xf numFmtId="0" fontId="32" fillId="0" borderId="0" xfId="0" applyFont="1" applyAlignment="1">
      <alignment horizontal="center" vertical="center" wrapText="1"/>
    </xf>
    <xf numFmtId="0" fontId="51" fillId="0" borderId="41" xfId="0" applyFont="1" applyBorder="1" applyAlignment="1">
      <alignment horizontal="center" vertical="center"/>
    </xf>
    <xf numFmtId="188" fontId="3" fillId="0" borderId="0" xfId="0" applyNumberFormat="1" applyFont="1" applyAlignment="1">
      <alignment vertical="center"/>
    </xf>
    <xf numFmtId="0" fontId="51" fillId="0" borderId="17" xfId="0" applyFont="1" applyBorder="1" applyAlignment="1">
      <alignment horizontal="center" vertical="center"/>
    </xf>
    <xf numFmtId="182" fontId="79" fillId="22" borderId="7" xfId="0" applyNumberFormat="1" applyFont="1" applyFill="1" applyBorder="1" applyAlignment="1">
      <alignment horizontal="left" vertical="center" indent="2"/>
    </xf>
    <xf numFmtId="0" fontId="3" fillId="14" borderId="0" xfId="0" applyFont="1" applyFill="1" applyAlignment="1">
      <alignment horizontal="left" vertical="center" indent="2"/>
    </xf>
    <xf numFmtId="0" fontId="12" fillId="27" borderId="7" xfId="0" applyFont="1" applyFill="1" applyBorder="1" applyAlignment="1">
      <alignment horizontal="center"/>
    </xf>
    <xf numFmtId="182" fontId="28" fillId="18" borderId="19" xfId="2" applyNumberFormat="1" applyFont="1" applyFill="1" applyBorder="1" applyAlignment="1" applyProtection="1">
      <alignment vertical="center"/>
    </xf>
    <xf numFmtId="0" fontId="14" fillId="0" borderId="42" xfId="0" applyFont="1" applyBorder="1" applyAlignment="1">
      <alignment vertical="center"/>
    </xf>
    <xf numFmtId="165" fontId="28" fillId="12" borderId="154" xfId="0" applyNumberFormat="1" applyFont="1" applyFill="1" applyBorder="1" applyAlignment="1">
      <alignment vertical="center"/>
    </xf>
    <xf numFmtId="183" fontId="14" fillId="0" borderId="0" xfId="0" applyNumberFormat="1" applyFont="1" applyAlignment="1">
      <alignment vertical="center"/>
    </xf>
    <xf numFmtId="0" fontId="21" fillId="0" borderId="0" xfId="0" applyFont="1" applyAlignment="1">
      <alignment vertical="center"/>
    </xf>
    <xf numFmtId="0" fontId="17" fillId="0" borderId="76" xfId="0" applyFont="1" applyBorder="1" applyAlignment="1">
      <alignment horizontal="left" vertical="center"/>
    </xf>
    <xf numFmtId="0" fontId="17" fillId="0" borderId="17" xfId="0" applyFont="1" applyBorder="1" applyAlignment="1">
      <alignment horizontal="left" vertical="center"/>
    </xf>
    <xf numFmtId="0" fontId="3" fillId="0" borderId="9" xfId="0" applyFont="1" applyBorder="1" applyAlignment="1">
      <alignment horizontal="left" vertical="center"/>
    </xf>
    <xf numFmtId="0" fontId="3" fillId="0" borderId="20" xfId="0" applyFont="1" applyBorder="1" applyAlignment="1">
      <alignment vertical="center"/>
    </xf>
    <xf numFmtId="0" fontId="18" fillId="0" borderId="76" xfId="0" applyFont="1" applyBorder="1" applyAlignment="1">
      <alignment horizontal="center" vertical="center"/>
    </xf>
    <xf numFmtId="0" fontId="12" fillId="27" borderId="76" xfId="0" applyFont="1" applyFill="1" applyBorder="1" applyAlignment="1">
      <alignment horizontal="center" vertical="center"/>
    </xf>
    <xf numFmtId="0" fontId="3" fillId="0" borderId="7" xfId="0" applyFont="1" applyBorder="1" applyAlignment="1">
      <alignment horizontal="left" vertical="center"/>
    </xf>
    <xf numFmtId="0" fontId="0" fillId="0" borderId="76" xfId="0" applyBorder="1" applyAlignment="1">
      <alignment vertical="center"/>
    </xf>
    <xf numFmtId="0" fontId="45" fillId="0" borderId="3" xfId="0" applyFont="1" applyBorder="1" applyAlignment="1">
      <alignment horizontal="center" vertical="center"/>
    </xf>
    <xf numFmtId="182" fontId="45" fillId="0" borderId="20" xfId="2" applyNumberFormat="1" applyFont="1" applyBorder="1" applyAlignment="1" applyProtection="1">
      <alignment horizontal="left" vertical="center" indent="2"/>
    </xf>
    <xf numFmtId="0" fontId="45" fillId="0" borderId="9" xfId="0" applyFont="1" applyBorder="1" applyAlignment="1">
      <alignment horizontal="center" vertical="center"/>
    </xf>
    <xf numFmtId="0" fontId="12" fillId="0" borderId="0" xfId="0" applyFont="1" applyAlignment="1">
      <alignment horizontal="left" vertical="center" indent="1"/>
    </xf>
    <xf numFmtId="183" fontId="17" fillId="0" borderId="0" xfId="2" applyNumberFormat="1" applyFont="1" applyBorder="1" applyAlignment="1" applyProtection="1">
      <alignment vertical="center"/>
    </xf>
    <xf numFmtId="0" fontId="14" fillId="0" borderId="7" xfId="0" applyFont="1" applyBorder="1" applyAlignment="1">
      <alignment horizontal="left" vertical="center"/>
    </xf>
    <xf numFmtId="0" fontId="14" fillId="0" borderId="76" xfId="0" applyFont="1" applyBorder="1" applyAlignment="1">
      <alignment horizontal="left" vertical="center"/>
    </xf>
    <xf numFmtId="165" fontId="81" fillId="0" borderId="20" xfId="2" applyNumberFormat="1" applyFont="1" applyBorder="1" applyAlignment="1" applyProtection="1">
      <alignment horizontal="left" vertical="center"/>
    </xf>
    <xf numFmtId="165" fontId="18" fillId="0" borderId="20" xfId="2" applyNumberFormat="1" applyFont="1" applyBorder="1" applyAlignment="1" applyProtection="1">
      <alignment horizontal="left" vertical="center"/>
    </xf>
    <xf numFmtId="0" fontId="12" fillId="0" borderId="42" xfId="0" applyFont="1" applyBorder="1" applyAlignment="1">
      <alignment vertical="center"/>
    </xf>
    <xf numFmtId="0" fontId="14" fillId="0" borderId="41" xfId="0" applyFont="1" applyBorder="1" applyAlignment="1">
      <alignment horizontal="left" vertical="center"/>
    </xf>
    <xf numFmtId="165" fontId="81" fillId="0" borderId="7" xfId="2" applyNumberFormat="1" applyFont="1" applyBorder="1" applyAlignment="1" applyProtection="1">
      <alignment horizontal="left" vertical="center"/>
    </xf>
    <xf numFmtId="0" fontId="14" fillId="0" borderId="17" xfId="0" applyFont="1" applyBorder="1" applyAlignment="1">
      <alignment horizontal="left" vertical="center"/>
    </xf>
    <xf numFmtId="165" fontId="81" fillId="0" borderId="41" xfId="2" applyNumberFormat="1" applyFont="1" applyBorder="1" applyAlignment="1" applyProtection="1">
      <alignment horizontal="left" vertical="center"/>
    </xf>
    <xf numFmtId="165" fontId="18" fillId="7" borderId="20" xfId="1" applyNumberFormat="1" applyFont="1" applyFill="1" applyBorder="1" applyAlignment="1" applyProtection="1">
      <alignment horizontal="left" vertical="center"/>
      <protection locked="0"/>
    </xf>
    <xf numFmtId="165" fontId="79" fillId="27" borderId="7" xfId="2" applyNumberFormat="1" applyFont="1" applyFill="1" applyBorder="1" applyAlignment="1" applyProtection="1">
      <alignment horizontal="left" vertical="center"/>
    </xf>
    <xf numFmtId="165" fontId="12" fillId="27" borderId="7" xfId="2" applyNumberFormat="1" applyFont="1" applyFill="1" applyBorder="1" applyAlignment="1" applyProtection="1">
      <alignment horizontal="left" vertical="center"/>
    </xf>
    <xf numFmtId="0" fontId="14" fillId="4" borderId="0" xfId="0" applyFont="1" applyFill="1" applyAlignment="1">
      <alignment vertical="center"/>
    </xf>
    <xf numFmtId="0" fontId="14" fillId="0" borderId="0" xfId="0" applyFont="1" applyAlignment="1">
      <alignment vertical="center" wrapText="1"/>
    </xf>
    <xf numFmtId="0" fontId="52" fillId="0" borderId="0" xfId="0" applyFont="1" applyAlignment="1">
      <alignment horizontal="left" vertical="center" wrapText="1"/>
    </xf>
    <xf numFmtId="0" fontId="82" fillId="0" borderId="0" xfId="0" applyFont="1" applyAlignment="1">
      <alignment horizontal="center" vertical="center" wrapText="1"/>
    </xf>
    <xf numFmtId="0" fontId="18" fillId="0" borderId="0" xfId="0" applyFont="1" applyAlignment="1">
      <alignment horizontal="right"/>
    </xf>
    <xf numFmtId="0" fontId="83" fillId="0" borderId="0" xfId="0" applyFont="1" applyAlignment="1">
      <alignment vertical="top"/>
    </xf>
    <xf numFmtId="0" fontId="18" fillId="0" borderId="0" xfId="0" applyFont="1" applyAlignment="1">
      <alignment horizontal="center" vertical="center"/>
    </xf>
    <xf numFmtId="0" fontId="18" fillId="22" borderId="7" xfId="0" applyFont="1" applyFill="1" applyBorder="1" applyAlignment="1">
      <alignment horizontal="center" vertical="center" wrapText="1"/>
    </xf>
    <xf numFmtId="0" fontId="0" fillId="0" borderId="2" xfId="0" applyBorder="1" applyAlignment="1">
      <alignment vertical="center" wrapText="1"/>
    </xf>
    <xf numFmtId="0" fontId="9" fillId="4" borderId="4" xfId="0" applyFont="1" applyFill="1" applyBorder="1" applyAlignment="1">
      <alignment horizontal="right" vertical="center"/>
    </xf>
    <xf numFmtId="0" fontId="14" fillId="0" borderId="81" xfId="0" applyFont="1" applyBorder="1" applyAlignment="1">
      <alignment horizontal="left" vertical="center" indent="1"/>
    </xf>
    <xf numFmtId="0" fontId="14" fillId="4" borderId="7" xfId="0" applyFont="1" applyFill="1" applyBorder="1" applyAlignment="1" applyProtection="1">
      <alignment horizontal="left" vertical="center" indent="1"/>
      <protection locked="0"/>
    </xf>
    <xf numFmtId="182" fontId="14" fillId="4" borderId="80" xfId="0" applyNumberFormat="1" applyFont="1" applyFill="1" applyBorder="1" applyAlignment="1" applyProtection="1">
      <alignment vertical="center"/>
      <protection locked="0"/>
    </xf>
    <xf numFmtId="0" fontId="14" fillId="4" borderId="7" xfId="0" applyFont="1" applyFill="1" applyBorder="1" applyAlignment="1">
      <alignment horizontal="left" vertical="center" indent="1"/>
    </xf>
    <xf numFmtId="0" fontId="14" fillId="0" borderId="88" xfId="0" applyFont="1" applyBorder="1" applyAlignment="1">
      <alignment horizontal="left" vertical="center" indent="1"/>
    </xf>
    <xf numFmtId="0" fontId="17" fillId="0" borderId="157" xfId="0" applyFont="1" applyBorder="1" applyAlignment="1">
      <alignment vertical="center"/>
    </xf>
    <xf numFmtId="182" fontId="12" fillId="27" borderId="137" xfId="0" applyNumberFormat="1" applyFont="1" applyFill="1" applyBorder="1" applyAlignment="1">
      <alignment vertical="center"/>
    </xf>
    <xf numFmtId="182" fontId="12" fillId="27" borderId="132" xfId="0" applyNumberFormat="1" applyFont="1" applyFill="1" applyBorder="1" applyAlignment="1">
      <alignment vertical="center"/>
    </xf>
    <xf numFmtId="0" fontId="17" fillId="0" borderId="2" xfId="0" applyFont="1" applyBorder="1" applyAlignment="1">
      <alignment vertical="center"/>
    </xf>
    <xf numFmtId="0" fontId="0" fillId="0" borderId="160" xfId="0" applyBorder="1" applyAlignment="1">
      <alignment vertical="center"/>
    </xf>
    <xf numFmtId="0" fontId="17" fillId="0" borderId="157" xfId="0" applyFont="1" applyBorder="1" applyAlignment="1">
      <alignment horizontal="center" vertical="center"/>
    </xf>
    <xf numFmtId="0" fontId="14" fillId="0" borderId="161" xfId="0" applyFont="1" applyBorder="1" applyAlignment="1">
      <alignment horizontal="left" vertical="center" indent="1"/>
    </xf>
    <xf numFmtId="0" fontId="14" fillId="0" borderId="162" xfId="0" applyFont="1" applyBorder="1" applyAlignment="1">
      <alignment horizontal="left" vertical="center" indent="1"/>
    </xf>
    <xf numFmtId="0" fontId="17" fillId="0" borderId="157" xfId="0" applyFont="1" applyBorder="1" applyAlignment="1">
      <alignment horizontal="right" vertical="center"/>
    </xf>
    <xf numFmtId="0" fontId="18" fillId="0" borderId="157" xfId="0" applyFont="1" applyBorder="1" applyAlignment="1">
      <alignment horizontal="right" vertical="center"/>
    </xf>
    <xf numFmtId="0" fontId="0" fillId="0" borderId="157" xfId="0" applyBorder="1" applyAlignment="1">
      <alignment vertical="center"/>
    </xf>
    <xf numFmtId="0" fontId="17" fillId="0" borderId="2" xfId="0" applyFont="1" applyBorder="1" applyAlignment="1">
      <alignment horizontal="left" vertical="center"/>
    </xf>
    <xf numFmtId="183" fontId="0" fillId="0" borderId="6" xfId="0" applyNumberFormat="1" applyBorder="1" applyAlignment="1">
      <alignment vertical="center"/>
    </xf>
    <xf numFmtId="0" fontId="14" fillId="4" borderId="7" xfId="0" applyFont="1" applyFill="1" applyBorder="1" applyAlignment="1" applyProtection="1">
      <alignment horizontal="left" vertical="center" wrapText="1" indent="1"/>
      <protection locked="0"/>
    </xf>
    <xf numFmtId="182" fontId="28" fillId="14" borderId="136" xfId="0" applyNumberFormat="1" applyFont="1" applyFill="1" applyBorder="1" applyAlignment="1">
      <alignment vertical="center"/>
    </xf>
    <xf numFmtId="0" fontId="16" fillId="0" borderId="0" xfId="0" applyFont="1" applyAlignment="1">
      <alignment vertical="center" wrapText="1"/>
    </xf>
    <xf numFmtId="0" fontId="0" fillId="0" borderId="0" xfId="0" applyAlignment="1">
      <alignment horizontal="center"/>
    </xf>
    <xf numFmtId="164" fontId="0" fillId="0" borderId="0" xfId="0" applyNumberFormat="1"/>
    <xf numFmtId="0" fontId="34" fillId="2" borderId="7" xfId="0" applyFont="1" applyFill="1" applyBorder="1" applyAlignment="1">
      <alignment horizontal="center" vertical="center"/>
    </xf>
    <xf numFmtId="0" fontId="34" fillId="2" borderId="7" xfId="0" applyFont="1" applyFill="1" applyBorder="1" applyAlignment="1">
      <alignment horizontal="center" vertical="center" wrapText="1"/>
    </xf>
    <xf numFmtId="164" fontId="34" fillId="2" borderId="7" xfId="0" applyNumberFormat="1" applyFont="1" applyFill="1" applyBorder="1" applyAlignment="1">
      <alignment horizontal="center" vertical="center"/>
    </xf>
    <xf numFmtId="0" fontId="17" fillId="0" borderId="0" xfId="0" applyFont="1" applyAlignment="1">
      <alignment vertical="top"/>
    </xf>
    <xf numFmtId="0" fontId="54" fillId="2" borderId="19" xfId="0" applyFont="1" applyFill="1" applyBorder="1" applyAlignment="1">
      <alignment horizontal="left" vertical="center" indent="1"/>
    </xf>
    <xf numFmtId="0" fontId="19" fillId="0" borderId="7" xfId="0" applyFont="1" applyBorder="1" applyAlignment="1">
      <alignment horizontal="left" vertical="center" wrapText="1" indent="1"/>
    </xf>
    <xf numFmtId="0" fontId="35" fillId="0" borderId="7" xfId="0" applyFont="1" applyBorder="1" applyAlignment="1">
      <alignment horizontal="center" vertical="center" wrapText="1"/>
    </xf>
    <xf numFmtId="0" fontId="3" fillId="0" borderId="7" xfId="0" applyFont="1" applyBorder="1" applyAlignment="1">
      <alignment horizontal="center" vertical="center"/>
    </xf>
    <xf numFmtId="0" fontId="19" fillId="14" borderId="7" xfId="0" applyFont="1" applyFill="1" applyBorder="1" applyAlignment="1">
      <alignment horizontal="center" vertical="center" wrapText="1"/>
    </xf>
    <xf numFmtId="164" fontId="19" fillId="0" borderId="7" xfId="0" applyNumberFormat="1" applyFont="1" applyBorder="1" applyAlignment="1">
      <alignment horizontal="center" vertical="center"/>
    </xf>
    <xf numFmtId="0" fontId="3" fillId="0" borderId="19" xfId="0" applyFont="1" applyBorder="1" applyAlignment="1">
      <alignment horizontal="center" vertical="center" wrapText="1"/>
    </xf>
    <xf numFmtId="0" fontId="14" fillId="0" borderId="0" xfId="0" applyFont="1" applyAlignment="1">
      <alignment vertical="top" wrapText="1"/>
    </xf>
    <xf numFmtId="0" fontId="44" fillId="33" borderId="7" xfId="0" applyFont="1" applyFill="1" applyBorder="1" applyAlignment="1">
      <alignment horizontal="right" vertical="center" indent="1"/>
    </xf>
    <xf numFmtId="0" fontId="48" fillId="33" borderId="7" xfId="0" applyFont="1" applyFill="1" applyBorder="1" applyAlignment="1">
      <alignment horizontal="center" vertical="center" wrapText="1"/>
    </xf>
    <xf numFmtId="0" fontId="44" fillId="14" borderId="7" xfId="0" applyFont="1" applyFill="1" applyBorder="1" applyAlignment="1">
      <alignment horizontal="center" vertical="center" wrapText="1"/>
    </xf>
    <xf numFmtId="164" fontId="44" fillId="33" borderId="7" xfId="0" applyNumberFormat="1" applyFont="1" applyFill="1" applyBorder="1" applyAlignment="1">
      <alignment horizontal="center" vertical="center"/>
    </xf>
    <xf numFmtId="0" fontId="14" fillId="0" borderId="19" xfId="0" applyFont="1" applyBorder="1" applyAlignment="1">
      <alignment horizontal="left" vertical="center" wrapText="1" indent="1"/>
    </xf>
    <xf numFmtId="165" fontId="19" fillId="0" borderId="7" xfId="0" applyNumberFormat="1" applyFont="1" applyBorder="1" applyAlignment="1">
      <alignment horizontal="center" vertical="center"/>
    </xf>
    <xf numFmtId="164" fontId="19" fillId="14" borderId="7" xfId="0" applyNumberFormat="1" applyFont="1" applyFill="1" applyBorder="1" applyAlignment="1">
      <alignment horizontal="center" vertical="center"/>
    </xf>
    <xf numFmtId="0" fontId="44" fillId="33" borderId="7" xfId="0" applyFont="1" applyFill="1" applyBorder="1" applyAlignment="1">
      <alignment horizontal="right" vertical="center" wrapText="1" indent="1"/>
    </xf>
    <xf numFmtId="0" fontId="0" fillId="0" borderId="20" xfId="0" applyBorder="1" applyAlignment="1">
      <alignment horizontal="center" vertical="center" wrapText="1"/>
    </xf>
    <xf numFmtId="165" fontId="14" fillId="14" borderId="7" xfId="0" applyNumberFormat="1" applyFont="1" applyFill="1" applyBorder="1" applyAlignment="1">
      <alignment vertical="center"/>
    </xf>
    <xf numFmtId="0" fontId="3" fillId="0" borderId="19" xfId="0" applyFont="1" applyBorder="1" applyAlignment="1">
      <alignment horizontal="center" vertical="center"/>
    </xf>
    <xf numFmtId="0" fontId="12" fillId="33" borderId="19" xfId="0" applyFont="1" applyFill="1" applyBorder="1" applyAlignment="1">
      <alignment horizontal="right" vertical="center" indent="1"/>
    </xf>
    <xf numFmtId="0" fontId="17" fillId="33" borderId="19" xfId="0" applyFont="1" applyFill="1" applyBorder="1" applyAlignment="1">
      <alignment horizontal="center" vertical="center"/>
    </xf>
    <xf numFmtId="0" fontId="3" fillId="33" borderId="7" xfId="0" applyFont="1" applyFill="1" applyBorder="1" applyAlignment="1">
      <alignment horizontal="center" vertical="center"/>
    </xf>
    <xf numFmtId="0" fontId="12" fillId="33" borderId="20" xfId="0" applyFont="1" applyFill="1" applyBorder="1" applyAlignment="1">
      <alignment horizontal="center" vertical="center"/>
    </xf>
    <xf numFmtId="165" fontId="12" fillId="14" borderId="7" xfId="0" applyNumberFormat="1" applyFont="1" applyFill="1" applyBorder="1" applyAlignment="1">
      <alignment vertical="center"/>
    </xf>
    <xf numFmtId="165" fontId="12" fillId="33" borderId="7" xfId="0" applyNumberFormat="1" applyFont="1" applyFill="1" applyBorder="1" applyAlignment="1">
      <alignment vertical="center"/>
    </xf>
    <xf numFmtId="0" fontId="0" fillId="0" borderId="20" xfId="0" applyBorder="1" applyAlignment="1">
      <alignment horizontal="center" vertical="center"/>
    </xf>
    <xf numFmtId="165" fontId="14" fillId="14" borderId="7" xfId="0" applyNumberFormat="1" applyFont="1" applyFill="1" applyBorder="1" applyAlignment="1">
      <alignment vertical="center" wrapText="1"/>
    </xf>
    <xf numFmtId="165" fontId="14" fillId="0" borderId="7" xfId="0" applyNumberFormat="1" applyFont="1" applyBorder="1" applyAlignment="1">
      <alignment vertical="center" wrapText="1"/>
    </xf>
    <xf numFmtId="0" fontId="17" fillId="0" borderId="20" xfId="0" applyFont="1" applyBorder="1" applyAlignment="1">
      <alignment horizontal="center" vertical="center" wrapText="1"/>
    </xf>
    <xf numFmtId="0" fontId="17" fillId="14" borderId="20" xfId="0" applyFont="1" applyFill="1" applyBorder="1" applyAlignment="1">
      <alignment horizontal="center" vertical="center" wrapText="1"/>
    </xf>
    <xf numFmtId="0" fontId="0" fillId="14" borderId="20" xfId="0" applyFill="1" applyBorder="1" applyAlignment="1">
      <alignment horizontal="center" vertical="center" wrapText="1"/>
    </xf>
    <xf numFmtId="0" fontId="3" fillId="4" borderId="7" xfId="0" applyFont="1" applyFill="1" applyBorder="1" applyAlignment="1">
      <alignment horizontal="center" vertical="center" wrapText="1"/>
    </xf>
    <xf numFmtId="165" fontId="12" fillId="0" borderId="7" xfId="0" applyNumberFormat="1" applyFont="1" applyBorder="1" applyAlignment="1">
      <alignment vertical="center"/>
    </xf>
    <xf numFmtId="0" fontId="3" fillId="33" borderId="7" xfId="0" applyFont="1" applyFill="1" applyBorder="1" applyAlignment="1">
      <alignment horizontal="center" vertical="center" wrapText="1"/>
    </xf>
    <xf numFmtId="0" fontId="12" fillId="14" borderId="20" xfId="0" applyFont="1" applyFill="1" applyBorder="1" applyAlignment="1">
      <alignment horizontal="center" vertical="center"/>
    </xf>
    <xf numFmtId="164" fontId="12" fillId="33" borderId="7" xfId="0" applyNumberFormat="1" applyFont="1" applyFill="1" applyBorder="1" applyAlignment="1">
      <alignment vertical="center"/>
    </xf>
    <xf numFmtId="0" fontId="21" fillId="28" borderId="19" xfId="0" applyFont="1" applyFill="1" applyBorder="1" applyAlignment="1">
      <alignment vertical="center"/>
    </xf>
    <xf numFmtId="0" fontId="21" fillId="28" borderId="9" xfId="0" applyFont="1" applyFill="1" applyBorder="1" applyAlignment="1">
      <alignment vertical="center"/>
    </xf>
    <xf numFmtId="0" fontId="21" fillId="28" borderId="20" xfId="0" applyFont="1" applyFill="1" applyBorder="1" applyAlignment="1">
      <alignment vertical="center"/>
    </xf>
    <xf numFmtId="0" fontId="3" fillId="4" borderId="7" xfId="0" applyFont="1" applyFill="1" applyBorder="1" applyAlignment="1">
      <alignment horizontal="center" vertical="center"/>
    </xf>
    <xf numFmtId="0" fontId="0" fillId="14" borderId="20" xfId="0" applyFill="1" applyBorder="1" applyAlignment="1">
      <alignment horizontal="center" vertical="center"/>
    </xf>
    <xf numFmtId="0" fontId="3" fillId="0" borderId="20" xfId="0" applyFont="1" applyBorder="1" applyAlignment="1">
      <alignment horizontal="center" vertical="center" wrapText="1"/>
    </xf>
    <xf numFmtId="0" fontId="3" fillId="14" borderId="20" xfId="0" applyFont="1" applyFill="1" applyBorder="1" applyAlignment="1">
      <alignment horizontal="center" vertical="center" wrapText="1"/>
    </xf>
    <xf numFmtId="0" fontId="3" fillId="0" borderId="83" xfId="0" applyFont="1" applyBorder="1" applyAlignment="1">
      <alignment horizontal="center" vertical="center" wrapText="1"/>
    </xf>
    <xf numFmtId="0" fontId="17" fillId="0" borderId="82" xfId="0" applyFont="1" applyBorder="1" applyAlignment="1">
      <alignment horizontal="center" vertical="center" wrapText="1"/>
    </xf>
    <xf numFmtId="0" fontId="17" fillId="14" borderId="82" xfId="0" applyFont="1" applyFill="1" applyBorder="1" applyAlignment="1">
      <alignment horizontal="center" vertical="center" wrapText="1"/>
    </xf>
    <xf numFmtId="0" fontId="12" fillId="33" borderId="19" xfId="0" applyFont="1" applyFill="1" applyBorder="1" applyAlignment="1">
      <alignment horizontal="right" vertical="center" wrapText="1" indent="1"/>
    </xf>
    <xf numFmtId="0" fontId="17" fillId="33" borderId="19" xfId="0" applyFont="1" applyFill="1" applyBorder="1" applyAlignment="1">
      <alignment horizontal="center" vertical="center" wrapText="1"/>
    </xf>
    <xf numFmtId="0" fontId="12" fillId="33" borderId="20" xfId="0" applyFont="1" applyFill="1" applyBorder="1" applyAlignment="1">
      <alignment horizontal="center" vertical="center" wrapText="1"/>
    </xf>
    <xf numFmtId="0" fontId="12" fillId="14" borderId="20" xfId="0" applyFont="1" applyFill="1" applyBorder="1" applyAlignment="1">
      <alignment horizontal="center" vertical="center" wrapText="1"/>
    </xf>
    <xf numFmtId="165" fontId="0" fillId="0" borderId="0" xfId="0" applyNumberFormat="1" applyAlignment="1">
      <alignment vertical="center" wrapText="1"/>
    </xf>
    <xf numFmtId="0" fontId="34" fillId="2" borderId="19" xfId="0" applyFont="1" applyFill="1" applyBorder="1" applyAlignment="1">
      <alignment horizontal="center" vertical="center"/>
    </xf>
    <xf numFmtId="0" fontId="14" fillId="4" borderId="19" xfId="0" applyFont="1" applyFill="1" applyBorder="1" applyAlignment="1">
      <alignment horizontal="left" vertical="center" wrapText="1" indent="1"/>
    </xf>
    <xf numFmtId="0" fontId="9" fillId="0" borderId="0" xfId="0" applyFont="1" applyAlignment="1">
      <alignment horizontal="center" vertical="top"/>
    </xf>
    <xf numFmtId="0" fontId="14" fillId="4" borderId="19" xfId="0" applyFont="1" applyFill="1" applyBorder="1" applyAlignment="1">
      <alignment horizontal="left" vertical="center" wrapText="1" indent="6"/>
    </xf>
    <xf numFmtId="0" fontId="14" fillId="0" borderId="0" xfId="0" applyFont="1" applyAlignment="1">
      <alignment horizontal="left" vertical="top" wrapText="1" indent="1"/>
    </xf>
    <xf numFmtId="0" fontId="14" fillId="4" borderId="19" xfId="0" applyFont="1" applyFill="1" applyBorder="1" applyAlignment="1">
      <alignment horizontal="left" vertical="center" indent="1"/>
    </xf>
    <xf numFmtId="0" fontId="3" fillId="0" borderId="20" xfId="0" applyFont="1" applyBorder="1" applyAlignment="1">
      <alignment horizontal="center" vertical="center"/>
    </xf>
    <xf numFmtId="0" fontId="3" fillId="0" borderId="82" xfId="0" applyFont="1" applyBorder="1" applyAlignment="1">
      <alignment horizontal="center" vertical="center" wrapText="1"/>
    </xf>
    <xf numFmtId="0" fontId="12" fillId="27" borderId="19" xfId="0" applyFont="1" applyFill="1" applyBorder="1" applyAlignment="1">
      <alignment horizontal="right" vertical="center" wrapText="1" indent="1"/>
    </xf>
    <xf numFmtId="0" fontId="3" fillId="27" borderId="7" xfId="0" applyFont="1" applyFill="1" applyBorder="1" applyAlignment="1">
      <alignment horizontal="center" vertical="center" wrapText="1"/>
    </xf>
    <xf numFmtId="0" fontId="12" fillId="27" borderId="2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165" fontId="14" fillId="4" borderId="7" xfId="0" applyNumberFormat="1" applyFont="1" applyFill="1" applyBorder="1" applyAlignment="1">
      <alignment vertical="center" wrapText="1"/>
    </xf>
    <xf numFmtId="0" fontId="14" fillId="0" borderId="19" xfId="0" applyFont="1" applyBorder="1" applyAlignment="1">
      <alignment horizontal="left" vertical="center" wrapText="1" indent="6"/>
    </xf>
    <xf numFmtId="0" fontId="14" fillId="4" borderId="19" xfId="0" applyFont="1" applyFill="1" applyBorder="1" applyAlignment="1">
      <alignment horizontal="left" vertical="top" wrapText="1" indent="1"/>
    </xf>
    <xf numFmtId="49" fontId="0" fillId="0" borderId="0" xfId="0" applyNumberFormat="1" applyAlignment="1">
      <alignment horizontal="center" vertical="center"/>
    </xf>
    <xf numFmtId="0" fontId="0" fillId="0" borderId="0" xfId="0" applyAlignment="1">
      <alignment wrapText="1"/>
    </xf>
    <xf numFmtId="9" fontId="0" fillId="0" borderId="0" xfId="0" applyNumberFormat="1" applyAlignment="1">
      <alignment horizontal="center" vertical="center"/>
    </xf>
    <xf numFmtId="168" fontId="0" fillId="0" borderId="0" xfId="0" applyNumberFormat="1" applyAlignment="1">
      <alignment horizontal="center" vertical="center"/>
    </xf>
    <xf numFmtId="9" fontId="17" fillId="0" borderId="0" xfId="0" applyNumberFormat="1" applyFont="1" applyAlignment="1">
      <alignment horizontal="center" vertical="center"/>
    </xf>
    <xf numFmtId="164" fontId="0" fillId="0" borderId="0" xfId="2" applyNumberFormat="1" applyFont="1" applyBorder="1" applyAlignment="1" applyProtection="1">
      <alignment vertical="center"/>
    </xf>
    <xf numFmtId="49" fontId="3" fillId="0" borderId="0" xfId="0" applyNumberFormat="1" applyFont="1"/>
    <xf numFmtId="165" fontId="3" fillId="21" borderId="77" xfId="0" applyNumberFormat="1" applyFont="1" applyFill="1" applyBorder="1" applyAlignment="1" applyProtection="1">
      <alignment horizontal="right" vertical="center"/>
      <protection locked="0"/>
    </xf>
    <xf numFmtId="165" fontId="3" fillId="4" borderId="20" xfId="0" applyNumberFormat="1" applyFont="1" applyFill="1" applyBorder="1" applyAlignment="1" applyProtection="1">
      <alignment horizontal="right" vertical="center"/>
      <protection locked="0"/>
    </xf>
    <xf numFmtId="165" fontId="3" fillId="0" borderId="20" xfId="0" applyNumberFormat="1" applyFont="1" applyBorder="1" applyAlignment="1" applyProtection="1">
      <alignment horizontal="right" vertical="center"/>
      <protection locked="0"/>
    </xf>
    <xf numFmtId="165" fontId="3" fillId="4" borderId="87" xfId="0" applyNumberFormat="1" applyFont="1" applyFill="1" applyBorder="1" applyAlignment="1" applyProtection="1">
      <alignment horizontal="right" vertical="center"/>
      <protection locked="0"/>
    </xf>
    <xf numFmtId="165" fontId="3" fillId="4" borderId="182" xfId="0" applyNumberFormat="1" applyFont="1" applyFill="1" applyBorder="1" applyAlignment="1" applyProtection="1">
      <alignment horizontal="right" vertical="center" indent="1"/>
      <protection locked="0"/>
    </xf>
    <xf numFmtId="165" fontId="3" fillId="4" borderId="90" xfId="0" applyNumberFormat="1" applyFont="1" applyFill="1" applyBorder="1" applyAlignment="1" applyProtection="1">
      <alignment horizontal="right" vertical="center"/>
      <protection locked="0"/>
    </xf>
    <xf numFmtId="165" fontId="3" fillId="0" borderId="90" xfId="0" applyNumberFormat="1" applyFont="1" applyBorder="1" applyAlignment="1" applyProtection="1">
      <alignment horizontal="right" vertical="center"/>
      <protection locked="0"/>
    </xf>
    <xf numFmtId="165" fontId="3" fillId="4" borderId="74" xfId="0" applyNumberFormat="1" applyFont="1" applyFill="1" applyBorder="1" applyAlignment="1" applyProtection="1">
      <alignment horizontal="right" vertical="center" indent="1"/>
      <protection locked="0"/>
    </xf>
    <xf numFmtId="165" fontId="3" fillId="4" borderId="81" xfId="0" applyNumberFormat="1" applyFont="1" applyFill="1" applyBorder="1" applyAlignment="1" applyProtection="1">
      <alignment horizontal="right" vertical="center"/>
      <protection locked="0"/>
    </xf>
    <xf numFmtId="165" fontId="3" fillId="0" borderId="81" xfId="0" applyNumberFormat="1" applyFont="1" applyBorder="1" applyAlignment="1" applyProtection="1">
      <alignment horizontal="right" vertical="center"/>
      <protection locked="0"/>
    </xf>
    <xf numFmtId="165" fontId="14" fillId="5" borderId="123" xfId="0" applyNumberFormat="1" applyFont="1" applyFill="1" applyBorder="1" applyAlignment="1" applyProtection="1">
      <alignment vertical="center"/>
      <protection locked="0"/>
    </xf>
    <xf numFmtId="165" fontId="14" fillId="5" borderId="104" xfId="0" applyNumberFormat="1" applyFont="1" applyFill="1" applyBorder="1" applyAlignment="1" applyProtection="1">
      <alignment vertical="center"/>
      <protection locked="0"/>
    </xf>
    <xf numFmtId="0" fontId="28" fillId="0" borderId="0" xfId="0" applyFont="1" applyAlignment="1">
      <alignment horizontal="right" vertical="center" indent="1"/>
    </xf>
    <xf numFmtId="182" fontId="28" fillId="0" borderId="0" xfId="2" applyNumberFormat="1" applyFont="1" applyBorder="1" applyAlignment="1" applyProtection="1">
      <alignment vertical="center"/>
    </xf>
    <xf numFmtId="0" fontId="52" fillId="0" borderId="3" xfId="0" applyFont="1" applyBorder="1" applyAlignment="1">
      <alignment horizontal="center" vertical="center"/>
    </xf>
    <xf numFmtId="0" fontId="28" fillId="0" borderId="9" xfId="0" applyFont="1" applyBorder="1" applyAlignment="1">
      <alignment horizontal="center" vertical="center"/>
    </xf>
    <xf numFmtId="0" fontId="28" fillId="0" borderId="9" xfId="0" applyFont="1" applyBorder="1" applyAlignment="1">
      <alignment horizontal="right" vertical="center" indent="1"/>
    </xf>
    <xf numFmtId="0" fontId="17" fillId="0" borderId="201" xfId="0" applyFont="1" applyBorder="1" applyAlignment="1">
      <alignment vertical="center"/>
    </xf>
    <xf numFmtId="0" fontId="52" fillId="0" borderId="199" xfId="0" applyFont="1" applyBorder="1" applyAlignment="1">
      <alignment horizontal="center" vertical="center"/>
    </xf>
    <xf numFmtId="49" fontId="3" fillId="0" borderId="19" xfId="0" applyNumberFormat="1" applyFont="1" applyBorder="1" applyAlignment="1">
      <alignment horizontal="center" vertical="center"/>
    </xf>
    <xf numFmtId="165" fontId="3" fillId="42" borderId="7" xfId="0" applyNumberFormat="1" applyFont="1" applyFill="1" applyBorder="1" applyAlignment="1" applyProtection="1">
      <alignment horizontal="right" vertical="center"/>
      <protection locked="0"/>
    </xf>
    <xf numFmtId="165" fontId="3" fillId="43" borderId="7" xfId="0" applyNumberFormat="1" applyFont="1" applyFill="1" applyBorder="1" applyAlignment="1" applyProtection="1">
      <alignment horizontal="right" vertical="center"/>
      <protection locked="0"/>
    </xf>
    <xf numFmtId="165" fontId="35" fillId="42" borderId="7" xfId="0" applyNumberFormat="1" applyFont="1" applyFill="1" applyBorder="1" applyAlignment="1" applyProtection="1">
      <alignment vertical="center" wrapText="1"/>
      <protection locked="0"/>
    </xf>
    <xf numFmtId="0" fontId="14" fillId="0" borderId="7" xfId="0" applyFont="1" applyBorder="1" applyAlignment="1">
      <alignment horizontal="left" vertical="center" wrapText="1" indent="1"/>
    </xf>
    <xf numFmtId="0" fontId="12" fillId="0" borderId="0" xfId="0" applyFont="1" applyAlignment="1">
      <alignment horizontal="center" vertical="center"/>
    </xf>
    <xf numFmtId="0" fontId="3" fillId="0" borderId="17" xfId="0" applyFont="1" applyBorder="1" applyAlignment="1">
      <alignment horizontal="left" vertical="center" wrapText="1" indent="1"/>
    </xf>
    <xf numFmtId="49" fontId="98" fillId="0" borderId="0" xfId="0" applyNumberFormat="1" applyFont="1"/>
    <xf numFmtId="0" fontId="26" fillId="2" borderId="0" xfId="0" applyFont="1" applyFill="1" applyAlignment="1">
      <alignment vertical="center"/>
    </xf>
    <xf numFmtId="0" fontId="98" fillId="0" borderId="0" xfId="0" applyFont="1"/>
    <xf numFmtId="0" fontId="97" fillId="0" borderId="0" xfId="0" applyFont="1" applyAlignment="1">
      <alignment vertical="center"/>
    </xf>
    <xf numFmtId="49" fontId="20" fillId="0" borderId="0" xfId="0" applyNumberFormat="1" applyFont="1" applyAlignment="1">
      <alignment vertical="center"/>
    </xf>
    <xf numFmtId="0" fontId="4" fillId="0" borderId="0" xfId="0" applyFont="1" applyAlignment="1">
      <alignment vertical="center" wrapText="1"/>
    </xf>
    <xf numFmtId="0" fontId="4" fillId="0" borderId="0" xfId="0" applyFont="1" applyAlignment="1">
      <alignment horizontal="left" vertical="center" wrapText="1" indent="2"/>
    </xf>
    <xf numFmtId="164" fontId="20" fillId="0" borderId="0" xfId="0" applyNumberFormat="1" applyFont="1" applyAlignment="1">
      <alignment horizontal="left" vertical="center" wrapText="1"/>
    </xf>
    <xf numFmtId="0" fontId="3" fillId="0" borderId="0" xfId="0" applyFont="1" applyAlignment="1">
      <alignment vertical="top"/>
    </xf>
    <xf numFmtId="0" fontId="12" fillId="0" borderId="0" xfId="0" applyFont="1" applyAlignment="1">
      <alignment horizontal="left" vertical="center" wrapText="1" indent="8"/>
    </xf>
    <xf numFmtId="164" fontId="3" fillId="0" borderId="0" xfId="0" applyNumberFormat="1" applyFont="1" applyAlignment="1">
      <alignment vertical="top"/>
    </xf>
    <xf numFmtId="183" fontId="28" fillId="0" borderId="0" xfId="0" applyNumberFormat="1" applyFont="1" applyAlignment="1">
      <alignment vertical="center"/>
    </xf>
    <xf numFmtId="172" fontId="28" fillId="0" borderId="0" xfId="0" applyNumberFormat="1" applyFont="1" applyAlignment="1">
      <alignment vertical="center"/>
    </xf>
    <xf numFmtId="0" fontId="53" fillId="14" borderId="203" xfId="0" applyFont="1" applyFill="1" applyBorder="1" applyAlignment="1">
      <alignment horizontal="center" vertical="center" textRotation="90" wrapText="1"/>
    </xf>
    <xf numFmtId="0" fontId="53" fillId="14" borderId="60" xfId="0" applyFont="1" applyFill="1" applyBorder="1" applyAlignment="1">
      <alignment horizontal="center" vertical="center" wrapText="1"/>
    </xf>
    <xf numFmtId="0" fontId="3" fillId="14" borderId="86" xfId="0" applyFont="1" applyFill="1" applyBorder="1" applyAlignment="1">
      <alignment vertical="center"/>
    </xf>
    <xf numFmtId="0" fontId="3" fillId="14" borderId="12" xfId="0" applyFont="1" applyFill="1" applyBorder="1" applyAlignment="1">
      <alignment vertical="center"/>
    </xf>
    <xf numFmtId="164" fontId="28" fillId="14" borderId="195" xfId="0" applyNumberFormat="1" applyFont="1" applyFill="1" applyBorder="1" applyAlignment="1">
      <alignment horizontal="center" vertical="center" wrapText="1"/>
    </xf>
    <xf numFmtId="0" fontId="14" fillId="0" borderId="60" xfId="0" applyFont="1" applyBorder="1" applyAlignment="1">
      <alignment horizontal="center" vertical="center" wrapText="1"/>
    </xf>
    <xf numFmtId="0" fontId="14" fillId="0" borderId="60" xfId="0" applyFont="1" applyBorder="1" applyAlignment="1">
      <alignment horizontal="left" vertical="center" wrapText="1" indent="1"/>
    </xf>
    <xf numFmtId="0" fontId="3" fillId="0" borderId="60" xfId="0" applyFont="1" applyBorder="1" applyAlignment="1">
      <alignment horizontal="left" vertical="center" wrapText="1" indent="1"/>
    </xf>
    <xf numFmtId="165" fontId="14" fillId="40" borderId="60" xfId="0" applyNumberFormat="1" applyFont="1" applyFill="1" applyBorder="1" applyAlignment="1">
      <alignment vertical="center"/>
    </xf>
    <xf numFmtId="0" fontId="14" fillId="0" borderId="76" xfId="0" applyFont="1" applyBorder="1" applyAlignment="1">
      <alignment horizontal="center" vertical="center" wrapText="1"/>
    </xf>
    <xf numFmtId="0" fontId="14" fillId="0" borderId="76" xfId="0" applyFont="1" applyBorder="1" applyAlignment="1">
      <alignment horizontal="left" vertical="center" wrapText="1" indent="1"/>
    </xf>
    <xf numFmtId="0" fontId="3" fillId="0" borderId="76" xfId="0" applyFont="1" applyBorder="1" applyAlignment="1">
      <alignment horizontal="left" vertical="center" wrapText="1" indent="1"/>
    </xf>
    <xf numFmtId="0" fontId="3" fillId="0" borderId="60" xfId="0" applyFont="1" applyBorder="1" applyAlignment="1">
      <alignment vertical="center" wrapText="1"/>
    </xf>
    <xf numFmtId="0" fontId="12" fillId="0" borderId="60" xfId="0" applyFont="1" applyBorder="1" applyAlignment="1">
      <alignment horizontal="right" vertical="center" wrapText="1" indent="1"/>
    </xf>
    <xf numFmtId="0" fontId="17" fillId="0" borderId="62" xfId="0" applyFont="1" applyBorder="1" applyAlignment="1">
      <alignment vertical="center" wrapText="1"/>
    </xf>
    <xf numFmtId="0" fontId="14" fillId="0" borderId="17" xfId="0" applyFont="1" applyBorder="1" applyAlignment="1">
      <alignment horizontal="center" vertical="center" wrapText="1"/>
    </xf>
    <xf numFmtId="0" fontId="14" fillId="0" borderId="17"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19" xfId="0" applyFont="1" applyBorder="1" applyAlignment="1">
      <alignment horizontal="left" vertical="center" wrapText="1" indent="1"/>
    </xf>
    <xf numFmtId="0" fontId="14" fillId="0" borderId="146" xfId="0" applyFont="1" applyBorder="1" applyAlignment="1">
      <alignment horizontal="center" vertical="center" wrapText="1"/>
    </xf>
    <xf numFmtId="0" fontId="14" fillId="0" borderId="146" xfId="0" applyFont="1" applyBorder="1" applyAlignment="1">
      <alignment horizontal="left" vertical="center" wrapText="1" indent="1"/>
    </xf>
    <xf numFmtId="0" fontId="3" fillId="0" borderId="36" xfId="0" applyFont="1" applyBorder="1" applyAlignment="1">
      <alignment horizontal="left" vertical="center" wrapText="1" indent="1"/>
    </xf>
    <xf numFmtId="0" fontId="17" fillId="0" borderId="0" xfId="0" applyFont="1" applyAlignment="1">
      <alignment horizontal="right" vertical="center" textRotation="90" wrapText="1"/>
    </xf>
    <xf numFmtId="0" fontId="3" fillId="0" borderId="7" xfId="0" applyFont="1" applyBorder="1" applyAlignment="1">
      <alignment horizontal="left" vertical="center" wrapText="1" indent="1"/>
    </xf>
    <xf numFmtId="0" fontId="14" fillId="0" borderId="36" xfId="0" applyFont="1" applyBorder="1" applyAlignment="1">
      <alignment horizontal="center" vertical="center" wrapText="1"/>
    </xf>
    <xf numFmtId="0" fontId="14" fillId="0" borderId="36" xfId="0" applyFont="1" applyBorder="1" applyAlignment="1">
      <alignment horizontal="left" vertical="center" wrapText="1" indent="1"/>
    </xf>
    <xf numFmtId="179" fontId="3" fillId="0" borderId="0" xfId="0" applyNumberFormat="1" applyFont="1" applyAlignment="1">
      <alignment vertical="center"/>
    </xf>
    <xf numFmtId="0" fontId="3" fillId="36" borderId="0" xfId="0" applyFont="1" applyFill="1" applyAlignment="1">
      <alignment horizontal="left" vertical="center"/>
    </xf>
    <xf numFmtId="0" fontId="3" fillId="36" borderId="0" xfId="0" applyFont="1" applyFill="1" applyAlignment="1">
      <alignment horizontal="center" vertical="center"/>
    </xf>
    <xf numFmtId="165" fontId="5" fillId="14" borderId="76" xfId="0" applyNumberFormat="1" applyFont="1" applyFill="1" applyBorder="1" applyAlignment="1">
      <alignment horizontal="left" vertical="center"/>
    </xf>
    <xf numFmtId="165" fontId="5" fillId="14" borderId="84" xfId="0" applyNumberFormat="1" applyFont="1" applyFill="1" applyBorder="1" applyAlignment="1">
      <alignment horizontal="left" vertical="center"/>
    </xf>
    <xf numFmtId="0" fontId="5" fillId="0" borderId="0" xfId="0" applyFont="1" applyAlignment="1">
      <alignment horizontal="right" vertical="center" wrapText="1" indent="1"/>
    </xf>
    <xf numFmtId="165" fontId="5" fillId="0" borderId="0" xfId="0" applyNumberFormat="1" applyFont="1" applyAlignment="1">
      <alignment horizontal="left" vertical="center"/>
    </xf>
    <xf numFmtId="0" fontId="3" fillId="0" borderId="193" xfId="0" applyFont="1" applyBorder="1" applyAlignment="1">
      <alignment horizontal="center" vertical="center" wrapText="1"/>
    </xf>
    <xf numFmtId="0" fontId="14" fillId="0" borderId="62" xfId="0" applyFont="1" applyBorder="1" applyAlignment="1">
      <alignment horizontal="left" vertical="center" wrapText="1" indent="1"/>
    </xf>
    <xf numFmtId="0" fontId="14" fillId="39" borderId="193" xfId="0" applyFont="1" applyFill="1" applyBorder="1" applyAlignment="1">
      <alignment horizontal="center" vertical="center" wrapText="1"/>
    </xf>
    <xf numFmtId="0" fontId="14" fillId="39" borderId="62" xfId="0" applyFont="1" applyFill="1" applyBorder="1" applyAlignment="1">
      <alignment horizontal="left" vertical="center" wrapText="1" indent="1"/>
    </xf>
    <xf numFmtId="0" fontId="95" fillId="39" borderId="66" xfId="0" applyFont="1" applyFill="1" applyBorder="1" applyAlignment="1">
      <alignment horizontal="right" vertical="center" wrapText="1" indent="1"/>
    </xf>
    <xf numFmtId="0" fontId="3" fillId="4" borderId="17"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76" xfId="0" applyFont="1" applyFill="1" applyBorder="1" applyAlignment="1">
      <alignment horizontal="left" vertical="center" wrapText="1" indent="1"/>
    </xf>
    <xf numFmtId="0" fontId="14" fillId="0" borderId="142" xfId="0" applyFont="1" applyBorder="1" applyAlignment="1">
      <alignment horizontal="center" vertical="center" wrapText="1"/>
    </xf>
    <xf numFmtId="0" fontId="14" fillId="0" borderId="142" xfId="0" applyFont="1" applyBorder="1" applyAlignment="1">
      <alignment horizontal="left" vertical="center" wrapText="1" indent="1"/>
    </xf>
    <xf numFmtId="0" fontId="3" fillId="4" borderId="60" xfId="0" applyFont="1" applyFill="1" applyBorder="1" applyAlignment="1">
      <alignment horizontal="left" vertical="center" wrapText="1" indent="1"/>
    </xf>
    <xf numFmtId="0" fontId="3" fillId="0" borderId="142" xfId="0" applyFont="1" applyBorder="1" applyAlignment="1">
      <alignment vertical="center" wrapText="1"/>
    </xf>
    <xf numFmtId="0" fontId="3" fillId="0" borderId="41" xfId="0" applyFont="1" applyBorder="1" applyAlignment="1">
      <alignment vertical="center" wrapText="1"/>
    </xf>
    <xf numFmtId="0" fontId="3" fillId="4" borderId="36" xfId="0" applyFont="1" applyFill="1" applyBorder="1" applyAlignment="1">
      <alignment horizontal="left" vertical="center" wrapText="1" indent="1"/>
    </xf>
    <xf numFmtId="0" fontId="3" fillId="0" borderId="146" xfId="0" applyFont="1" applyBorder="1" applyAlignment="1">
      <alignment vertical="center" wrapText="1"/>
    </xf>
    <xf numFmtId="0" fontId="3" fillId="0" borderId="62" xfId="0" applyFont="1" applyBorder="1" applyAlignment="1">
      <alignment vertical="center" wrapText="1"/>
    </xf>
    <xf numFmtId="0" fontId="55" fillId="0" borderId="0" xfId="0" applyFont="1" applyAlignment="1">
      <alignment vertical="center"/>
    </xf>
    <xf numFmtId="0" fontId="3" fillId="0" borderId="66" xfId="0" applyFont="1" applyBorder="1" applyAlignment="1">
      <alignment horizontal="left" vertical="center" wrapText="1" indent="1"/>
    </xf>
    <xf numFmtId="49" fontId="3" fillId="0" borderId="0" xfId="0" applyNumberFormat="1" applyFont="1" applyAlignment="1">
      <alignment horizontal="left" vertical="center" wrapText="1"/>
    </xf>
    <xf numFmtId="179" fontId="3" fillId="0" borderId="0" xfId="0" applyNumberFormat="1" applyFont="1" applyAlignment="1">
      <alignment horizontal="left" vertical="center"/>
    </xf>
    <xf numFmtId="0" fontId="3" fillId="36" borderId="0" xfId="0" applyFont="1" applyFill="1" applyAlignment="1">
      <alignment horizontal="center" vertical="center" wrapText="1"/>
    </xf>
    <xf numFmtId="165" fontId="5" fillId="14" borderId="7" xfId="0" applyNumberFormat="1" applyFont="1" applyFill="1" applyBorder="1" applyAlignment="1">
      <alignment horizontal="left" vertical="center"/>
    </xf>
    <xf numFmtId="164" fontId="20" fillId="0" borderId="0" xfId="0" applyNumberFormat="1" applyFont="1" applyAlignment="1">
      <alignment vertical="center"/>
    </xf>
    <xf numFmtId="49" fontId="20" fillId="0" borderId="0" xfId="0" applyNumberFormat="1" applyFont="1" applyAlignment="1">
      <alignment vertical="center" wrapText="1"/>
    </xf>
    <xf numFmtId="0" fontId="53" fillId="14" borderId="139" xfId="0" applyFont="1" applyFill="1" applyBorder="1" applyAlignment="1">
      <alignment horizontal="center" vertical="center" textRotation="90" wrapText="1"/>
    </xf>
    <xf numFmtId="0" fontId="53" fillId="14" borderId="104" xfId="0" applyFont="1" applyFill="1" applyBorder="1" applyAlignment="1">
      <alignment horizontal="center" vertical="center" wrapText="1"/>
    </xf>
    <xf numFmtId="164" fontId="53" fillId="14" borderId="104" xfId="0" applyNumberFormat="1" applyFont="1" applyFill="1" applyBorder="1" applyAlignment="1">
      <alignment horizontal="center" vertical="center" wrapText="1"/>
    </xf>
    <xf numFmtId="164" fontId="53" fillId="14" borderId="195" xfId="0" applyNumberFormat="1" applyFont="1" applyFill="1" applyBorder="1" applyAlignment="1">
      <alignment horizontal="center" vertical="center" wrapText="1"/>
    </xf>
    <xf numFmtId="0" fontId="24" fillId="0" borderId="0" xfId="0" applyFont="1" applyAlignment="1">
      <alignment horizontal="right" vertical="center"/>
    </xf>
    <xf numFmtId="172" fontId="28" fillId="0" borderId="0" xfId="0" applyNumberFormat="1" applyFont="1" applyAlignment="1">
      <alignment horizontal="left" vertical="center" indent="3"/>
    </xf>
    <xf numFmtId="165" fontId="28" fillId="0" borderId="0" xfId="0" applyNumberFormat="1" applyFont="1" applyAlignment="1">
      <alignment horizontal="left" vertical="center" indent="3"/>
    </xf>
    <xf numFmtId="0" fontId="15" fillId="0" borderId="0" xfId="0" applyFont="1" applyAlignment="1">
      <alignment horizontal="right" vertical="center"/>
    </xf>
    <xf numFmtId="174" fontId="3" fillId="0" borderId="0" xfId="0" applyNumberFormat="1" applyFont="1" applyAlignment="1">
      <alignment horizontal="right" vertical="center"/>
    </xf>
    <xf numFmtId="165" fontId="14" fillId="29" borderId="60" xfId="0" applyNumberFormat="1" applyFont="1" applyFill="1" applyBorder="1" applyAlignment="1">
      <alignment vertical="center"/>
    </xf>
    <xf numFmtId="165" fontId="14" fillId="29" borderId="60" xfId="0" applyNumberFormat="1" applyFont="1" applyFill="1" applyBorder="1" applyAlignment="1">
      <alignment horizontal="left" vertical="center"/>
    </xf>
    <xf numFmtId="165" fontId="14" fillId="29" borderId="143" xfId="0" applyNumberFormat="1" applyFont="1" applyFill="1" applyBorder="1" applyAlignment="1">
      <alignment vertical="center"/>
    </xf>
    <xf numFmtId="0" fontId="14" fillId="39" borderId="201" xfId="0" applyFont="1" applyFill="1" applyBorder="1" applyAlignment="1">
      <alignment horizontal="center" vertical="center" wrapText="1"/>
    </xf>
    <xf numFmtId="0" fontId="14" fillId="39" borderId="199" xfId="0" applyFont="1" applyFill="1" applyBorder="1" applyAlignment="1">
      <alignment horizontal="left" vertical="center" wrapText="1" indent="1"/>
    </xf>
    <xf numFmtId="0" fontId="95" fillId="39" borderId="200" xfId="0" applyFont="1" applyFill="1" applyBorder="1" applyAlignment="1">
      <alignment horizontal="right" vertical="center" wrapText="1" indent="1"/>
    </xf>
    <xf numFmtId="165" fontId="14" fillId="40" borderId="104" xfId="0" applyNumberFormat="1" applyFont="1" applyFill="1" applyBorder="1" applyAlignment="1">
      <alignment vertical="center"/>
    </xf>
    <xf numFmtId="165" fontId="14" fillId="29" borderId="104" xfId="0" applyNumberFormat="1" applyFont="1" applyFill="1" applyBorder="1" applyAlignment="1">
      <alignment vertical="center"/>
    </xf>
    <xf numFmtId="165" fontId="14" fillId="29" borderId="104" xfId="0" applyNumberFormat="1" applyFont="1" applyFill="1" applyBorder="1" applyAlignment="1">
      <alignment horizontal="left" vertical="center"/>
    </xf>
    <xf numFmtId="165" fontId="14" fillId="29" borderId="195" xfId="0" applyNumberFormat="1" applyFont="1" applyFill="1" applyBorder="1" applyAlignment="1">
      <alignment vertical="center"/>
    </xf>
    <xf numFmtId="165" fontId="14" fillId="29" borderId="142" xfId="0" applyNumberFormat="1" applyFont="1" applyFill="1" applyBorder="1" applyAlignment="1">
      <alignment vertical="center"/>
    </xf>
    <xf numFmtId="165" fontId="14" fillId="29" borderId="142" xfId="0" applyNumberFormat="1" applyFont="1" applyFill="1" applyBorder="1" applyAlignment="1">
      <alignment horizontal="left" vertical="center"/>
    </xf>
    <xf numFmtId="165" fontId="14" fillId="29" borderId="149" xfId="0" applyNumberFormat="1" applyFont="1" applyFill="1" applyBorder="1" applyAlignment="1">
      <alignment vertical="center"/>
    </xf>
    <xf numFmtId="0" fontId="14" fillId="0" borderId="104" xfId="0" applyFont="1" applyBorder="1" applyAlignment="1">
      <alignment horizontal="center" vertical="center" wrapText="1"/>
    </xf>
    <xf numFmtId="0" fontId="14" fillId="0" borderId="104" xfId="0" applyFont="1" applyBorder="1" applyAlignment="1">
      <alignment horizontal="left" vertical="center" wrapText="1" indent="1"/>
    </xf>
    <xf numFmtId="0" fontId="3" fillId="0" borderId="104" xfId="0" applyFont="1" applyBorder="1" applyAlignment="1">
      <alignment horizontal="left" vertical="center" wrapText="1" indent="1"/>
    </xf>
    <xf numFmtId="165" fontId="14" fillId="41" borderId="0" xfId="0" applyNumberFormat="1" applyFont="1" applyFill="1" applyAlignment="1">
      <alignment vertical="center"/>
    </xf>
    <xf numFmtId="0" fontId="4" fillId="0" borderId="0" xfId="0" applyFont="1"/>
    <xf numFmtId="0" fontId="5" fillId="0" borderId="0" xfId="0" applyFont="1" applyAlignment="1">
      <alignment vertical="center" wrapText="1"/>
    </xf>
    <xf numFmtId="176" fontId="3" fillId="0" borderId="0" xfId="0" applyNumberFormat="1" applyFont="1" applyAlignment="1">
      <alignment vertical="center"/>
    </xf>
    <xf numFmtId="165" fontId="3" fillId="0" borderId="0" xfId="0" applyNumberFormat="1" applyFont="1" applyAlignment="1">
      <alignment vertical="center"/>
    </xf>
    <xf numFmtId="14" fontId="3" fillId="0" borderId="0" xfId="0" applyNumberFormat="1" applyFont="1" applyAlignment="1">
      <alignment vertical="center"/>
    </xf>
    <xf numFmtId="0" fontId="0" fillId="0" borderId="15" xfId="0" applyBorder="1" applyAlignment="1">
      <alignment vertical="center"/>
    </xf>
    <xf numFmtId="165" fontId="17" fillId="0" borderId="0" xfId="0" applyNumberFormat="1" applyFont="1" applyAlignment="1">
      <alignment horizontal="center" vertical="center"/>
    </xf>
    <xf numFmtId="0" fontId="3" fillId="0" borderId="0" xfId="0" applyFont="1" applyAlignment="1">
      <alignment horizontal="left" vertical="center" indent="1"/>
    </xf>
    <xf numFmtId="49" fontId="22" fillId="0" borderId="0" xfId="0" applyNumberFormat="1" applyFont="1" applyAlignment="1">
      <alignment vertical="top"/>
    </xf>
    <xf numFmtId="0" fontId="15" fillId="0" borderId="0" xfId="0" applyFont="1" applyAlignment="1">
      <alignment vertical="top"/>
    </xf>
    <xf numFmtId="49" fontId="5" fillId="0" borderId="0" xfId="0" applyNumberFormat="1" applyFont="1" applyAlignment="1">
      <alignment vertical="center"/>
    </xf>
    <xf numFmtId="164" fontId="6" fillId="0" borderId="0" xfId="0" applyNumberFormat="1" applyFont="1" applyAlignment="1">
      <alignment vertical="center"/>
    </xf>
    <xf numFmtId="164" fontId="6" fillId="0" borderId="37" xfId="0" applyNumberFormat="1" applyFont="1" applyBorder="1" applyAlignment="1">
      <alignment vertical="center"/>
    </xf>
    <xf numFmtId="0" fontId="17" fillId="0" borderId="37" xfId="0" applyFont="1" applyBorder="1" applyAlignment="1">
      <alignment vertical="center" wrapText="1"/>
    </xf>
    <xf numFmtId="0" fontId="0" fillId="0" borderId="37" xfId="0" applyBorder="1" applyAlignment="1">
      <alignment vertical="center"/>
    </xf>
    <xf numFmtId="0" fontId="17" fillId="0" borderId="37" xfId="0" applyFont="1" applyBorder="1" applyAlignment="1">
      <alignment vertical="center"/>
    </xf>
    <xf numFmtId="0" fontId="26" fillId="0" borderId="0" xfId="0" applyFont="1" applyAlignment="1">
      <alignment horizontal="center" vertical="center"/>
    </xf>
    <xf numFmtId="0" fontId="7" fillId="0" borderId="0" xfId="0" applyFont="1" applyAlignment="1">
      <alignment vertical="center"/>
    </xf>
    <xf numFmtId="164" fontId="17" fillId="0" borderId="0" xfId="0" applyNumberFormat="1" applyFont="1" applyAlignment="1">
      <alignment horizontal="center" vertical="center"/>
    </xf>
    <xf numFmtId="0" fontId="32" fillId="0" borderId="0" xfId="0" applyFont="1" applyAlignment="1">
      <alignment vertical="center" wrapText="1"/>
    </xf>
    <xf numFmtId="1" fontId="30" fillId="0" borderId="0" xfId="0" applyNumberFormat="1" applyFont="1" applyAlignment="1">
      <alignment vertical="top" wrapText="1"/>
    </xf>
    <xf numFmtId="1" fontId="30" fillId="0" borderId="0" xfId="0" applyNumberFormat="1" applyFont="1" applyAlignment="1">
      <alignment wrapText="1"/>
    </xf>
    <xf numFmtId="0" fontId="34" fillId="0" borderId="0" xfId="0" applyFont="1" applyAlignment="1">
      <alignment horizontal="center" vertical="center"/>
    </xf>
    <xf numFmtId="0" fontId="3" fillId="0" borderId="15" xfId="0" applyFont="1" applyBorder="1" applyAlignment="1">
      <alignment vertical="center" wrapText="1"/>
    </xf>
    <xf numFmtId="0" fontId="17" fillId="35" borderId="40" xfId="0" applyFont="1" applyFill="1" applyBorder="1" applyAlignment="1">
      <alignment horizontal="center" vertical="center"/>
    </xf>
    <xf numFmtId="0" fontId="17" fillId="35" borderId="44" xfId="0" applyFont="1" applyFill="1" applyBorder="1" applyAlignment="1">
      <alignment horizontal="center" vertical="center"/>
    </xf>
    <xf numFmtId="0" fontId="17" fillId="35" borderId="45" xfId="0" applyFont="1" applyFill="1" applyBorder="1" applyAlignment="1">
      <alignment horizontal="center" vertical="center"/>
    </xf>
    <xf numFmtId="0" fontId="17" fillId="35" borderId="184" xfId="0" applyFont="1" applyFill="1" applyBorder="1" applyAlignment="1">
      <alignment horizontal="center" vertical="center"/>
    </xf>
    <xf numFmtId="0" fontId="17" fillId="35" borderId="157" xfId="0" applyFont="1" applyFill="1" applyBorder="1" applyAlignment="1">
      <alignment horizontal="center" vertical="center"/>
    </xf>
    <xf numFmtId="0" fontId="17" fillId="35" borderId="168" xfId="0" applyFont="1" applyFill="1" applyBorder="1" applyAlignment="1">
      <alignment horizontal="center" vertical="center"/>
    </xf>
    <xf numFmtId="0" fontId="17" fillId="35" borderId="188" xfId="0" applyFont="1" applyFill="1" applyBorder="1" applyAlignment="1">
      <alignment horizontal="center" vertical="center"/>
    </xf>
    <xf numFmtId="0" fontId="17" fillId="35" borderId="42" xfId="0" applyFont="1" applyFill="1" applyBorder="1" applyAlignment="1">
      <alignment horizontal="center" vertical="center"/>
    </xf>
    <xf numFmtId="0" fontId="17" fillId="35" borderId="179" xfId="0" applyFont="1" applyFill="1" applyBorder="1" applyAlignment="1">
      <alignment horizontal="center" vertical="center"/>
    </xf>
    <xf numFmtId="0" fontId="17" fillId="35" borderId="177" xfId="0" applyFont="1" applyFill="1" applyBorder="1" applyAlignment="1">
      <alignment horizontal="center" vertical="center"/>
    </xf>
    <xf numFmtId="0" fontId="32" fillId="0" borderId="0" xfId="0" applyFont="1" applyAlignment="1">
      <alignment wrapText="1"/>
    </xf>
    <xf numFmtId="1" fontId="30" fillId="0" borderId="47" xfId="0" applyNumberFormat="1" applyFont="1" applyBorder="1" applyAlignment="1">
      <alignment wrapText="1"/>
    </xf>
    <xf numFmtId="0" fontId="32" fillId="7" borderId="108" xfId="0" applyFont="1" applyFill="1" applyBorder="1" applyAlignment="1">
      <alignment horizontal="center" vertical="center"/>
    </xf>
    <xf numFmtId="0" fontId="32" fillId="7" borderId="185" xfId="0" applyFont="1" applyFill="1" applyBorder="1" applyAlignment="1">
      <alignment horizontal="center" vertical="center"/>
    </xf>
    <xf numFmtId="0" fontId="32" fillId="7" borderId="187" xfId="0" applyFont="1" applyFill="1" applyBorder="1" applyAlignment="1">
      <alignment horizontal="center" vertical="center"/>
    </xf>
    <xf numFmtId="0" fontId="32" fillId="7" borderId="186" xfId="0" applyFont="1" applyFill="1" applyBorder="1" applyAlignment="1">
      <alignment horizontal="center" vertical="center"/>
    </xf>
    <xf numFmtId="49" fontId="32" fillId="7" borderId="47" xfId="0" applyNumberFormat="1" applyFont="1" applyFill="1" applyBorder="1" applyAlignment="1">
      <alignment horizontal="center" vertical="center"/>
    </xf>
    <xf numFmtId="49" fontId="32" fillId="7" borderId="189" xfId="0" applyNumberFormat="1" applyFont="1" applyFill="1" applyBorder="1" applyAlignment="1">
      <alignment horizontal="center" vertical="center"/>
    </xf>
    <xf numFmtId="49" fontId="32" fillId="7" borderId="186" xfId="0" applyNumberFormat="1" applyFont="1" applyFill="1" applyBorder="1" applyAlignment="1">
      <alignment horizontal="center" vertical="center"/>
    </xf>
    <xf numFmtId="0" fontId="32" fillId="7" borderId="190" xfId="0" applyFont="1" applyFill="1" applyBorder="1" applyAlignment="1">
      <alignment horizontal="center" vertical="center"/>
    </xf>
    <xf numFmtId="0" fontId="32" fillId="7" borderId="189" xfId="0" applyFont="1" applyFill="1" applyBorder="1" applyAlignment="1">
      <alignment horizontal="center" vertical="center"/>
    </xf>
    <xf numFmtId="0" fontId="32" fillId="7" borderId="41" xfId="0" applyFont="1" applyFill="1" applyBorder="1" applyAlignment="1">
      <alignment horizontal="center" vertical="center"/>
    </xf>
    <xf numFmtId="0" fontId="32" fillId="7" borderId="42" xfId="0" applyFont="1" applyFill="1" applyBorder="1" applyAlignment="1">
      <alignment horizontal="center" vertical="center"/>
    </xf>
    <xf numFmtId="0" fontId="32" fillId="7" borderId="43" xfId="0" applyFont="1" applyFill="1" applyBorder="1" applyAlignment="1">
      <alignment horizontal="center" vertical="center"/>
    </xf>
    <xf numFmtId="190" fontId="32" fillId="7" borderId="41" xfId="0" applyNumberFormat="1" applyFont="1" applyFill="1" applyBorder="1" applyAlignment="1">
      <alignment horizontal="center" vertical="center"/>
    </xf>
    <xf numFmtId="0" fontId="32" fillId="7" borderId="112" xfId="0" applyFont="1" applyFill="1" applyBorder="1" applyAlignment="1">
      <alignment horizontal="center" vertical="center"/>
    </xf>
    <xf numFmtId="190" fontId="32" fillId="7" borderId="185" xfId="0" applyNumberFormat="1" applyFont="1" applyFill="1" applyBorder="1" applyAlignment="1">
      <alignment horizontal="center" vertical="center"/>
    </xf>
    <xf numFmtId="0" fontId="0" fillId="0" borderId="0" xfId="0" applyAlignment="1">
      <alignment horizontal="center" vertical="center" wrapText="1"/>
    </xf>
    <xf numFmtId="0" fontId="3" fillId="0" borderId="101" xfId="0" applyFont="1" applyBorder="1" applyAlignment="1">
      <alignment horizontal="center" vertical="center" wrapText="1"/>
    </xf>
    <xf numFmtId="0" fontId="3" fillId="0" borderId="101" xfId="0" applyFont="1" applyBorder="1" applyAlignment="1">
      <alignment vertical="center" wrapText="1"/>
    </xf>
    <xf numFmtId="0" fontId="26" fillId="0" borderId="0" xfId="0" applyFont="1" applyAlignment="1">
      <alignment horizontal="right" vertical="center" textRotation="90" wrapText="1"/>
    </xf>
    <xf numFmtId="0" fontId="0" fillId="0" borderId="101" xfId="0" applyBorder="1" applyAlignment="1">
      <alignment vertical="center" wrapText="1"/>
    </xf>
    <xf numFmtId="0" fontId="3" fillId="0" borderId="183" xfId="0" applyFont="1" applyBorder="1" applyAlignment="1">
      <alignment vertical="center" wrapText="1"/>
    </xf>
    <xf numFmtId="0" fontId="0" fillId="0" borderId="181" xfId="0" applyBorder="1" applyAlignment="1">
      <alignment vertical="center" wrapText="1"/>
    </xf>
    <xf numFmtId="0" fontId="3" fillId="0" borderId="181" xfId="0" applyFont="1" applyBorder="1" applyAlignment="1">
      <alignment vertical="center" wrapText="1"/>
    </xf>
    <xf numFmtId="0" fontId="3" fillId="0" borderId="58" xfId="0" applyFont="1" applyBorder="1" applyAlignment="1">
      <alignment vertical="center" wrapText="1"/>
    </xf>
    <xf numFmtId="0" fontId="3" fillId="0" borderId="101" xfId="0" applyFont="1" applyBorder="1" applyAlignment="1">
      <alignment horizontal="right" vertical="center" wrapText="1"/>
    </xf>
    <xf numFmtId="0" fontId="3" fillId="0" borderId="175" xfId="0" applyFont="1" applyBorder="1" applyAlignment="1">
      <alignment horizontal="center" vertical="center" wrapText="1"/>
    </xf>
    <xf numFmtId="0" fontId="26" fillId="4" borderId="120" xfId="0" applyFont="1" applyFill="1" applyBorder="1" applyAlignment="1">
      <alignment vertical="center" wrapText="1"/>
    </xf>
    <xf numFmtId="0" fontId="0" fillId="0" borderId="15" xfId="0" applyBorder="1" applyAlignment="1">
      <alignment vertical="center" wrapText="1"/>
    </xf>
    <xf numFmtId="0" fontId="0" fillId="0" borderId="46" xfId="0" applyBorder="1" applyAlignment="1">
      <alignment vertical="center" wrapText="1"/>
    </xf>
    <xf numFmtId="0" fontId="3" fillId="0" borderId="46" xfId="0" applyFont="1" applyBorder="1" applyAlignment="1">
      <alignment vertical="center" wrapText="1"/>
    </xf>
    <xf numFmtId="0" fontId="3" fillId="0" borderId="0" xfId="0" applyFont="1" applyAlignment="1">
      <alignment horizontal="right" vertical="center" wrapText="1"/>
    </xf>
    <xf numFmtId="0" fontId="3" fillId="0" borderId="24" xfId="0" applyFont="1" applyBorder="1" applyAlignment="1">
      <alignment horizontal="center" vertical="center" wrapText="1"/>
    </xf>
    <xf numFmtId="0" fontId="26" fillId="4" borderId="59" xfId="0" applyFont="1" applyFill="1" applyBorder="1" applyAlignment="1">
      <alignment vertical="center" wrapText="1"/>
    </xf>
    <xf numFmtId="0" fontId="0" fillId="0" borderId="24" xfId="0" applyBorder="1" applyAlignment="1">
      <alignment vertical="center" wrapText="1"/>
    </xf>
    <xf numFmtId="0" fontId="3" fillId="0" borderId="24" xfId="0" applyFont="1" applyBorder="1" applyAlignment="1">
      <alignment vertical="center" wrapText="1"/>
    </xf>
    <xf numFmtId="0" fontId="26" fillId="4" borderId="0" xfId="0" applyFont="1" applyFill="1" applyAlignment="1">
      <alignment horizontal="center" vertical="center" wrapText="1"/>
    </xf>
    <xf numFmtId="0" fontId="3" fillId="0" borderId="15" xfId="0" applyFont="1" applyBorder="1" applyAlignment="1">
      <alignment horizontal="center" vertical="center" wrapText="1"/>
    </xf>
    <xf numFmtId="0" fontId="0" fillId="0" borderId="46" xfId="0" applyBorder="1" applyAlignment="1">
      <alignment horizontal="center" vertical="center" wrapText="1"/>
    </xf>
    <xf numFmtId="0" fontId="3" fillId="0" borderId="46" xfId="0" applyFont="1" applyBorder="1" applyAlignment="1">
      <alignment horizontal="center" vertical="center" wrapText="1"/>
    </xf>
    <xf numFmtId="0" fontId="3" fillId="0" borderId="58" xfId="0" applyFont="1" applyBorder="1" applyAlignment="1">
      <alignment horizontal="center" vertical="center" wrapText="1"/>
    </xf>
    <xf numFmtId="1" fontId="20" fillId="0" borderId="0" xfId="0" applyNumberFormat="1" applyFont="1" applyAlignment="1">
      <alignment horizontal="center" vertical="center"/>
    </xf>
    <xf numFmtId="0" fontId="3" fillId="6" borderId="70" xfId="0" applyFont="1" applyFill="1" applyBorder="1" applyAlignment="1">
      <alignment horizontal="center" vertical="center" wrapText="1"/>
    </xf>
    <xf numFmtId="165" fontId="35" fillId="16" borderId="121" xfId="0" applyNumberFormat="1" applyFont="1" applyFill="1" applyBorder="1" applyAlignment="1">
      <alignment horizontal="right" vertical="center"/>
    </xf>
    <xf numFmtId="165" fontId="3" fillId="21" borderId="65" xfId="0" applyNumberFormat="1" applyFont="1" applyFill="1" applyBorder="1" applyAlignment="1">
      <alignment vertical="center"/>
    </xf>
    <xf numFmtId="165" fontId="3" fillId="21" borderId="74" xfId="0" applyNumberFormat="1" applyFont="1" applyFill="1" applyBorder="1" applyAlignment="1">
      <alignment vertical="center"/>
    </xf>
    <xf numFmtId="165" fontId="3" fillId="21" borderId="182" xfId="0" applyNumberFormat="1" applyFont="1" applyFill="1" applyBorder="1" applyAlignment="1">
      <alignment horizontal="right" vertical="center" indent="1"/>
    </xf>
    <xf numFmtId="164" fontId="0" fillId="4" borderId="0" xfId="0" applyNumberFormat="1" applyFill="1" applyAlignment="1">
      <alignment vertical="center"/>
    </xf>
    <xf numFmtId="0" fontId="0" fillId="4" borderId="15" xfId="0" applyFill="1" applyBorder="1" applyAlignment="1">
      <alignment vertical="center"/>
    </xf>
    <xf numFmtId="0" fontId="3" fillId="6" borderId="63" xfId="0" applyFont="1" applyFill="1" applyBorder="1" applyAlignment="1">
      <alignment horizontal="center" vertical="center" wrapText="1"/>
    </xf>
    <xf numFmtId="165" fontId="35" fillId="16" borderId="91" xfId="0" applyNumberFormat="1" applyFont="1" applyFill="1" applyBorder="1" applyAlignment="1">
      <alignment horizontal="right" vertical="center"/>
    </xf>
    <xf numFmtId="165" fontId="3" fillId="21" borderId="78" xfId="0" applyNumberFormat="1" applyFont="1" applyFill="1" applyBorder="1" applyAlignment="1">
      <alignment vertical="center"/>
    </xf>
    <xf numFmtId="165" fontId="3" fillId="21" borderId="81" xfId="0" applyNumberFormat="1" applyFont="1" applyFill="1" applyBorder="1" applyAlignment="1">
      <alignment vertical="center"/>
    </xf>
    <xf numFmtId="165" fontId="3" fillId="21" borderId="90" xfId="0" applyNumberFormat="1" applyFont="1" applyFill="1" applyBorder="1" applyAlignment="1">
      <alignment horizontal="right" vertical="center"/>
    </xf>
    <xf numFmtId="0" fontId="3" fillId="6" borderId="93" xfId="0" applyFont="1" applyFill="1" applyBorder="1" applyAlignment="1">
      <alignment horizontal="center" vertical="center" wrapText="1"/>
    </xf>
    <xf numFmtId="165" fontId="3" fillId="21" borderId="122" xfId="0" applyNumberFormat="1" applyFont="1" applyFill="1" applyBorder="1" applyAlignment="1">
      <alignment vertical="center"/>
    </xf>
    <xf numFmtId="165" fontId="3" fillId="21" borderId="152" xfId="0" applyNumberFormat="1" applyFont="1" applyFill="1" applyBorder="1" applyAlignment="1">
      <alignment vertical="center"/>
    </xf>
    <xf numFmtId="165" fontId="3" fillId="9" borderId="38" xfId="0" applyNumberFormat="1" applyFont="1" applyFill="1" applyBorder="1" applyAlignment="1">
      <alignment vertical="center"/>
    </xf>
    <xf numFmtId="164" fontId="3" fillId="14" borderId="100" xfId="0" applyNumberFormat="1" applyFont="1" applyFill="1" applyBorder="1" applyAlignment="1">
      <alignment horizontal="right" vertical="center"/>
    </xf>
    <xf numFmtId="164" fontId="3" fillId="17" borderId="95" xfId="0" applyNumberFormat="1" applyFont="1" applyFill="1" applyBorder="1" applyAlignment="1">
      <alignment horizontal="right" vertical="center"/>
    </xf>
    <xf numFmtId="165" fontId="3" fillId="16" borderId="97" xfId="0" applyNumberFormat="1" applyFont="1" applyFill="1" applyBorder="1" applyAlignment="1">
      <alignment horizontal="right" vertical="center"/>
    </xf>
    <xf numFmtId="165" fontId="3" fillId="9" borderId="97" xfId="0" applyNumberFormat="1" applyFont="1" applyFill="1" applyBorder="1" applyAlignment="1">
      <alignment horizontal="right" vertical="center"/>
    </xf>
    <xf numFmtId="165" fontId="3" fillId="9" borderId="124" xfId="0" applyNumberFormat="1" applyFont="1" applyFill="1" applyBorder="1" applyAlignment="1">
      <alignment horizontal="right" vertical="center"/>
    </xf>
    <xf numFmtId="165" fontId="3" fillId="9" borderId="96" xfId="0" applyNumberFormat="1" applyFont="1" applyFill="1" applyBorder="1" applyAlignment="1">
      <alignment horizontal="right" vertical="center"/>
    </xf>
    <xf numFmtId="165" fontId="3" fillId="9" borderId="99" xfId="0" applyNumberFormat="1" applyFont="1" applyFill="1" applyBorder="1" applyAlignment="1">
      <alignment horizontal="right" vertical="center"/>
    </xf>
    <xf numFmtId="165" fontId="3" fillId="9" borderId="124" xfId="0" applyNumberFormat="1" applyFont="1" applyFill="1" applyBorder="1" applyAlignment="1">
      <alignment vertical="center"/>
    </xf>
    <xf numFmtId="165" fontId="3" fillId="9" borderId="96" xfId="0" applyNumberFormat="1" applyFont="1" applyFill="1" applyBorder="1" applyAlignment="1">
      <alignment vertical="center"/>
    </xf>
    <xf numFmtId="165" fontId="3" fillId="9" borderId="98" xfId="0" applyNumberFormat="1" applyFont="1" applyFill="1" applyBorder="1" applyAlignment="1">
      <alignment vertical="center"/>
    </xf>
    <xf numFmtId="165" fontId="3" fillId="9" borderId="100" xfId="0" applyNumberFormat="1" applyFont="1" applyFill="1" applyBorder="1" applyAlignment="1">
      <alignment vertical="center"/>
    </xf>
    <xf numFmtId="165" fontId="3" fillId="9" borderId="100" xfId="0" applyNumberFormat="1" applyFont="1" applyFill="1" applyBorder="1" applyAlignment="1">
      <alignment horizontal="right" vertical="center"/>
    </xf>
    <xf numFmtId="165" fontId="3" fillId="9" borderId="178" xfId="0" applyNumberFormat="1" applyFont="1" applyFill="1" applyBorder="1" applyAlignment="1">
      <alignment horizontal="right" vertical="center"/>
    </xf>
    <xf numFmtId="165" fontId="3" fillId="9" borderId="94" xfId="0" applyNumberFormat="1" applyFont="1" applyFill="1" applyBorder="1" applyAlignment="1">
      <alignment horizontal="right" vertical="center"/>
    </xf>
    <xf numFmtId="165" fontId="3" fillId="9" borderId="95" xfId="0" applyNumberFormat="1" applyFont="1" applyFill="1" applyBorder="1" applyAlignment="1">
      <alignment horizontal="right" vertical="center"/>
    </xf>
    <xf numFmtId="165" fontId="3" fillId="9" borderId="174" xfId="0" applyNumberFormat="1" applyFont="1" applyFill="1" applyBorder="1" applyAlignment="1">
      <alignment horizontal="right" vertical="center"/>
    </xf>
    <xf numFmtId="164" fontId="3" fillId="0" borderId="0" xfId="0" applyNumberFormat="1" applyFont="1" applyAlignment="1">
      <alignment vertical="center"/>
    </xf>
    <xf numFmtId="0" fontId="3" fillId="0" borderId="101" xfId="0" applyFont="1" applyBorder="1" applyAlignment="1">
      <alignment vertical="center"/>
    </xf>
    <xf numFmtId="165" fontId="3" fillId="9" borderId="7" xfId="0" applyNumberFormat="1" applyFont="1" applyFill="1" applyBorder="1" applyAlignment="1">
      <alignment vertical="center"/>
    </xf>
    <xf numFmtId="0" fontId="3" fillId="0" borderId="9" xfId="0" applyFont="1" applyBorder="1" applyAlignment="1">
      <alignment vertical="center"/>
    </xf>
    <xf numFmtId="0" fontId="12" fillId="0" borderId="0" xfId="0" applyFont="1" applyAlignment="1">
      <alignment vertical="center" wrapText="1"/>
    </xf>
    <xf numFmtId="49" fontId="28" fillId="0" borderId="3" xfId="0" applyNumberFormat="1" applyFont="1" applyBorder="1" applyAlignment="1">
      <alignment horizontal="center" vertical="center"/>
    </xf>
    <xf numFmtId="165" fontId="3" fillId="13" borderId="7" xfId="0" applyNumberFormat="1" applyFont="1" applyFill="1" applyBorder="1" applyAlignment="1">
      <alignment vertical="center"/>
    </xf>
    <xf numFmtId="165" fontId="3" fillId="13" borderId="7" xfId="0" applyNumberFormat="1" applyFont="1" applyFill="1" applyBorder="1" applyAlignment="1">
      <alignment vertical="center" wrapText="1"/>
    </xf>
    <xf numFmtId="0" fontId="93" fillId="4" borderId="59" xfId="0" applyFont="1" applyFill="1" applyBorder="1" applyAlignment="1">
      <alignment horizontal="center" vertical="center"/>
    </xf>
    <xf numFmtId="0" fontId="3" fillId="0" borderId="6" xfId="0" applyFont="1" applyBorder="1" applyAlignment="1">
      <alignment vertical="center"/>
    </xf>
    <xf numFmtId="1" fontId="3" fillId="4" borderId="71" xfId="0" applyNumberFormat="1" applyFont="1" applyFill="1" applyBorder="1" applyAlignment="1" applyProtection="1">
      <alignment horizontal="center" vertical="center"/>
      <protection locked="0"/>
    </xf>
    <xf numFmtId="1" fontId="3" fillId="6" borderId="70" xfId="0" applyNumberFormat="1" applyFont="1" applyFill="1" applyBorder="1" applyAlignment="1" applyProtection="1">
      <alignment horizontal="center" vertical="center"/>
      <protection locked="0"/>
    </xf>
    <xf numFmtId="0" fontId="28" fillId="0" borderId="0" xfId="0" applyFont="1" applyAlignment="1">
      <alignment vertical="center" wrapText="1"/>
    </xf>
    <xf numFmtId="0" fontId="28" fillId="0" borderId="37" xfId="0" applyFont="1" applyBorder="1" applyAlignment="1">
      <alignment vertical="center" wrapText="1"/>
    </xf>
    <xf numFmtId="170" fontId="26" fillId="0" borderId="0" xfId="0" applyNumberFormat="1" applyFont="1" applyAlignment="1">
      <alignment horizontal="center" vertical="center"/>
    </xf>
    <xf numFmtId="0" fontId="30" fillId="0" borderId="0" xfId="0" applyFont="1" applyAlignment="1">
      <alignment vertical="top" wrapText="1"/>
    </xf>
    <xf numFmtId="0" fontId="30" fillId="0" borderId="0" xfId="0" applyFont="1" applyAlignment="1">
      <alignment vertical="center" wrapText="1"/>
    </xf>
    <xf numFmtId="0" fontId="31" fillId="0" borderId="0" xfId="0" applyFont="1" applyAlignment="1">
      <alignment horizontal="center" vertical="center"/>
    </xf>
    <xf numFmtId="0" fontId="32" fillId="0" borderId="46" xfId="0" applyFont="1" applyBorder="1" applyAlignment="1">
      <alignment wrapText="1"/>
    </xf>
    <xf numFmtId="0" fontId="30" fillId="0" borderId="47" xfId="0" applyFont="1" applyBorder="1" applyAlignment="1">
      <alignment vertical="center" wrapText="1"/>
    </xf>
    <xf numFmtId="0" fontId="32" fillId="7" borderId="108" xfId="0" applyFont="1" applyFill="1" applyBorder="1" applyAlignment="1">
      <alignment horizontal="center" vertical="center" wrapText="1"/>
    </xf>
    <xf numFmtId="0" fontId="32" fillId="7" borderId="185" xfId="0" applyFont="1" applyFill="1" applyBorder="1" applyAlignment="1">
      <alignment horizontal="center" vertical="center" wrapText="1"/>
    </xf>
    <xf numFmtId="0" fontId="32" fillId="7" borderId="190" xfId="0" applyFont="1" applyFill="1" applyBorder="1" applyAlignment="1">
      <alignment horizontal="center" vertical="center" wrapText="1"/>
    </xf>
    <xf numFmtId="0" fontId="32" fillId="7" borderId="187" xfId="0" applyFont="1" applyFill="1" applyBorder="1" applyAlignment="1">
      <alignment horizontal="center" vertical="center" wrapText="1"/>
    </xf>
    <xf numFmtId="0" fontId="32" fillId="7" borderId="186" xfId="0" applyFont="1" applyFill="1" applyBorder="1" applyAlignment="1">
      <alignment horizontal="center" vertical="center" wrapText="1"/>
    </xf>
    <xf numFmtId="0" fontId="3" fillId="0" borderId="6" xfId="0" applyFont="1" applyBorder="1" applyAlignment="1">
      <alignment horizontal="left" vertical="center"/>
    </xf>
    <xf numFmtId="0" fontId="3" fillId="0" borderId="109" xfId="0" applyFont="1" applyBorder="1" applyAlignment="1">
      <alignment horizontal="left" vertical="center"/>
    </xf>
    <xf numFmtId="0" fontId="3" fillId="0" borderId="24" xfId="0" applyFont="1" applyBorder="1" applyAlignment="1">
      <alignment horizontal="left" vertical="center"/>
    </xf>
    <xf numFmtId="0" fontId="3" fillId="0" borderId="46" xfId="0" applyFont="1" applyBorder="1" applyAlignment="1">
      <alignment horizontal="left" vertical="center"/>
    </xf>
    <xf numFmtId="0" fontId="28" fillId="4" borderId="59" xfId="0" applyFont="1" applyFill="1" applyBorder="1" applyAlignment="1">
      <alignment horizontal="center" vertical="center"/>
    </xf>
    <xf numFmtId="165" fontId="3" fillId="0" borderId="0" xfId="0" applyNumberFormat="1" applyFont="1" applyAlignment="1">
      <alignment vertical="center" wrapText="1"/>
    </xf>
    <xf numFmtId="0" fontId="3" fillId="0" borderId="109" xfId="0" applyFont="1" applyBorder="1" applyAlignment="1">
      <alignment vertical="center"/>
    </xf>
    <xf numFmtId="0" fontId="3" fillId="0" borderId="24" xfId="0" applyFont="1" applyBorder="1" applyAlignment="1">
      <alignment vertical="center"/>
    </xf>
    <xf numFmtId="0" fontId="3" fillId="0" borderId="46" xfId="0" applyFont="1" applyBorder="1" applyAlignment="1">
      <alignment vertical="center"/>
    </xf>
    <xf numFmtId="0" fontId="3" fillId="0" borderId="6" xfId="0" applyFont="1" applyBorder="1" applyAlignment="1">
      <alignment vertical="center" wrapText="1"/>
    </xf>
    <xf numFmtId="0" fontId="3" fillId="0" borderId="109" xfId="0" applyFont="1" applyBorder="1" applyAlignment="1">
      <alignment vertical="center" wrapText="1"/>
    </xf>
    <xf numFmtId="165" fontId="3" fillId="0" borderId="0" xfId="0" applyNumberFormat="1" applyFont="1" applyAlignment="1">
      <alignment horizontal="center" vertical="center"/>
    </xf>
    <xf numFmtId="165" fontId="3" fillId="0" borderId="0" xfId="0" applyNumberFormat="1" applyFont="1" applyAlignment="1">
      <alignment horizontal="center" vertical="center" wrapText="1"/>
    </xf>
    <xf numFmtId="0" fontId="28" fillId="4" borderId="0" xfId="0" applyFont="1" applyFill="1" applyAlignment="1">
      <alignment horizontal="center" vertical="center"/>
    </xf>
    <xf numFmtId="0" fontId="3" fillId="0" borderId="6" xfId="0" applyFont="1" applyBorder="1" applyAlignment="1">
      <alignment horizontal="center" vertical="center"/>
    </xf>
    <xf numFmtId="0" fontId="3" fillId="0" borderId="109" xfId="0" applyFont="1" applyBorder="1" applyAlignment="1">
      <alignment horizontal="center" vertical="center"/>
    </xf>
    <xf numFmtId="0" fontId="3" fillId="0" borderId="24" xfId="0" applyFont="1" applyBorder="1" applyAlignment="1">
      <alignment horizontal="center" vertical="center"/>
    </xf>
    <xf numFmtId="0" fontId="3" fillId="0" borderId="46" xfId="0" applyFont="1" applyBorder="1" applyAlignment="1">
      <alignment horizontal="center" vertical="center"/>
    </xf>
    <xf numFmtId="165" fontId="35" fillId="16" borderId="64" xfId="0" applyNumberFormat="1" applyFont="1" applyFill="1" applyBorder="1" applyAlignment="1">
      <alignment vertical="center"/>
    </xf>
    <xf numFmtId="165" fontId="3" fillId="21" borderId="60" xfId="0" applyNumberFormat="1" applyFont="1" applyFill="1" applyBorder="1" applyAlignment="1">
      <alignment vertical="center"/>
    </xf>
    <xf numFmtId="165" fontId="35" fillId="16" borderId="77" xfId="0" applyNumberFormat="1" applyFont="1" applyFill="1" applyBorder="1" applyAlignment="1">
      <alignment vertical="center"/>
    </xf>
    <xf numFmtId="165" fontId="3" fillId="21" borderId="7" xfId="0" applyNumberFormat="1" applyFont="1" applyFill="1" applyBorder="1" applyAlignment="1">
      <alignment vertical="center"/>
    </xf>
    <xf numFmtId="0" fontId="3" fillId="14" borderId="95" xfId="0" applyFont="1" applyFill="1" applyBorder="1" applyAlignment="1">
      <alignment vertical="center" wrapText="1"/>
    </xf>
    <xf numFmtId="165" fontId="3" fillId="17" borderId="96" xfId="0" applyNumberFormat="1" applyFont="1" applyFill="1" applyBorder="1" applyAlignment="1">
      <alignment vertical="center" wrapText="1"/>
    </xf>
    <xf numFmtId="165" fontId="35" fillId="16" borderId="97" xfId="0" applyNumberFormat="1" applyFont="1" applyFill="1" applyBorder="1" applyAlignment="1">
      <alignment vertical="center"/>
    </xf>
    <xf numFmtId="165" fontId="3" fillId="14" borderId="98" xfId="0" applyNumberFormat="1" applyFont="1" applyFill="1" applyBorder="1" applyAlignment="1">
      <alignment vertical="center"/>
    </xf>
    <xf numFmtId="165" fontId="3" fillId="9" borderId="95" xfId="0" applyNumberFormat="1" applyFont="1" applyFill="1" applyBorder="1" applyAlignment="1">
      <alignment vertical="center"/>
    </xf>
    <xf numFmtId="165" fontId="3" fillId="9" borderId="99" xfId="0" applyNumberFormat="1" applyFont="1" applyFill="1" applyBorder="1" applyAlignment="1">
      <alignment vertical="center"/>
    </xf>
    <xf numFmtId="172" fontId="17" fillId="0" borderId="0" xfId="0" applyNumberFormat="1" applyFont="1" applyAlignment="1">
      <alignment horizontal="center" vertical="center"/>
    </xf>
    <xf numFmtId="172" fontId="17" fillId="0" borderId="0" xfId="0" applyNumberFormat="1" applyFont="1" applyAlignment="1">
      <alignment horizontal="center" vertical="center" wrapText="1"/>
    </xf>
    <xf numFmtId="172" fontId="3" fillId="0" borderId="0" xfId="0" applyNumberFormat="1" applyFont="1" applyAlignment="1">
      <alignment vertical="center"/>
    </xf>
    <xf numFmtId="172" fontId="3" fillId="0" borderId="0" xfId="0" applyNumberFormat="1" applyFont="1" applyAlignment="1">
      <alignment vertical="center" wrapText="1"/>
    </xf>
    <xf numFmtId="172" fontId="12" fillId="0" borderId="0" xfId="0" applyNumberFormat="1" applyFont="1" applyAlignment="1">
      <alignment vertical="center" wrapText="1"/>
    </xf>
    <xf numFmtId="49" fontId="28" fillId="0" borderId="0" xfId="0" applyNumberFormat="1" applyFont="1" applyAlignment="1">
      <alignment horizontal="center" vertical="center"/>
    </xf>
    <xf numFmtId="2" fontId="3" fillId="0" borderId="0" xfId="0" applyNumberFormat="1" applyFont="1" applyAlignment="1">
      <alignment vertical="center" wrapText="1"/>
    </xf>
    <xf numFmtId="164" fontId="3" fillId="0" borderId="0" xfId="0" applyNumberFormat="1" applyFont="1" applyAlignment="1">
      <alignment vertical="center" wrapText="1"/>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1" fontId="3" fillId="4" borderId="66" xfId="0" applyNumberFormat="1" applyFont="1" applyFill="1" applyBorder="1" applyAlignment="1" applyProtection="1">
      <alignment horizontal="center" vertical="center"/>
      <protection locked="0"/>
    </xf>
    <xf numFmtId="1" fontId="3" fillId="6" borderId="67" xfId="0" applyNumberFormat="1" applyFont="1" applyFill="1" applyBorder="1" applyAlignment="1" applyProtection="1">
      <alignment horizontal="center" vertical="center"/>
      <protection locked="0"/>
    </xf>
    <xf numFmtId="0" fontId="15"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right" vertical="center" indent="1"/>
    </xf>
    <xf numFmtId="164" fontId="52" fillId="0" borderId="0" xfId="0" applyNumberFormat="1" applyFont="1" applyAlignment="1">
      <alignment vertical="center" wrapText="1"/>
    </xf>
    <xf numFmtId="0" fontId="59" fillId="0" borderId="0" xfId="0" applyFont="1" applyAlignment="1">
      <alignment horizontal="center" vertical="center" wrapText="1"/>
    </xf>
    <xf numFmtId="49" fontId="26" fillId="0" borderId="0" xfId="0" applyNumberFormat="1" applyFont="1" applyAlignment="1">
      <alignment horizontal="center" vertical="center" wrapText="1"/>
    </xf>
    <xf numFmtId="0" fontId="47" fillId="4" borderId="0" xfId="0" applyFont="1" applyFill="1" applyAlignment="1">
      <alignment horizontal="center" vertical="center" wrapText="1"/>
    </xf>
    <xf numFmtId="0" fontId="87" fillId="0" borderId="0" xfId="0" applyFont="1" applyAlignment="1">
      <alignment vertical="center" wrapText="1"/>
    </xf>
    <xf numFmtId="0" fontId="47" fillId="0" borderId="0" xfId="0" applyFont="1" applyAlignment="1">
      <alignment horizontal="center" vertical="center" wrapText="1"/>
    </xf>
    <xf numFmtId="49" fontId="26" fillId="0" borderId="0" xfId="0" applyNumberFormat="1" applyFont="1" applyAlignment="1">
      <alignment vertical="center" wrapText="1"/>
    </xf>
    <xf numFmtId="0" fontId="26" fillId="0" borderId="0" xfId="0" applyFont="1" applyAlignment="1">
      <alignment vertical="center" wrapText="1"/>
    </xf>
    <xf numFmtId="0" fontId="0" fillId="43" borderId="0" xfId="0" applyFill="1" applyAlignment="1">
      <alignment vertical="center" wrapText="1"/>
    </xf>
    <xf numFmtId="0" fontId="28" fillId="45" borderId="0" xfId="0" applyFont="1" applyFill="1" applyAlignment="1">
      <alignment horizontal="center" vertical="center" wrapText="1"/>
    </xf>
    <xf numFmtId="0" fontId="0" fillId="43" borderId="0" xfId="0" applyFill="1" applyAlignment="1">
      <alignment horizontal="center" vertical="center" wrapText="1"/>
    </xf>
    <xf numFmtId="0" fontId="87" fillId="43" borderId="0" xfId="0" applyFont="1" applyFill="1" applyAlignment="1">
      <alignment vertical="center" wrapText="1"/>
    </xf>
    <xf numFmtId="0" fontId="47" fillId="43" borderId="0" xfId="0" applyFont="1" applyFill="1" applyAlignment="1">
      <alignment horizontal="center" vertical="center" wrapText="1"/>
    </xf>
    <xf numFmtId="49" fontId="26" fillId="43" borderId="0" xfId="0" applyNumberFormat="1" applyFont="1" applyFill="1" applyAlignment="1">
      <alignment horizontal="center" vertical="center" wrapText="1"/>
    </xf>
    <xf numFmtId="0" fontId="3" fillId="43" borderId="0" xfId="0" applyFont="1" applyFill="1" applyAlignment="1">
      <alignment vertical="center" wrapText="1"/>
    </xf>
    <xf numFmtId="49" fontId="26" fillId="43" borderId="0" xfId="0" applyNumberFormat="1" applyFont="1" applyFill="1" applyAlignment="1">
      <alignment vertical="center" wrapText="1"/>
    </xf>
    <xf numFmtId="0" fontId="26" fillId="43" borderId="0" xfId="0" applyFont="1" applyFill="1" applyAlignment="1">
      <alignment vertical="center" wrapText="1"/>
    </xf>
    <xf numFmtId="165" fontId="15" fillId="46" borderId="0" xfId="0" applyNumberFormat="1" applyFont="1" applyFill="1" applyAlignment="1">
      <alignment vertical="center"/>
    </xf>
    <xf numFmtId="165" fontId="15" fillId="46" borderId="3" xfId="0" applyNumberFormat="1" applyFont="1" applyFill="1" applyBorder="1" applyAlignment="1">
      <alignment vertical="center"/>
    </xf>
    <xf numFmtId="165" fontId="15" fillId="47" borderId="7" xfId="0" applyNumberFormat="1" applyFont="1" applyFill="1" applyBorder="1" applyAlignment="1">
      <alignment vertical="center"/>
    </xf>
    <xf numFmtId="165" fontId="15" fillId="46" borderId="12" xfId="0" applyNumberFormat="1" applyFont="1" applyFill="1" applyBorder="1" applyAlignment="1">
      <alignment vertical="center"/>
    </xf>
    <xf numFmtId="165" fontId="100" fillId="40" borderId="0" xfId="0" applyNumberFormat="1" applyFont="1" applyFill="1" applyAlignment="1">
      <alignment horizontal="center" vertical="center" wrapText="1"/>
    </xf>
    <xf numFmtId="0" fontId="28" fillId="0" borderId="0" xfId="0" applyFont="1" applyAlignment="1">
      <alignment horizontal="center" vertical="center" wrapText="1"/>
    </xf>
    <xf numFmtId="165" fontId="100" fillId="48" borderId="7" xfId="0" applyNumberFormat="1" applyFont="1" applyFill="1" applyBorder="1" applyAlignment="1">
      <alignment vertical="center" wrapText="1"/>
    </xf>
    <xf numFmtId="165" fontId="44" fillId="0" borderId="0" xfId="0" applyNumberFormat="1" applyFont="1" applyAlignment="1">
      <alignment vertical="center" wrapText="1"/>
    </xf>
    <xf numFmtId="0" fontId="101" fillId="4" borderId="0" xfId="0" applyFont="1" applyFill="1" applyAlignment="1">
      <alignment horizontal="left" vertical="center" wrapText="1" indent="1"/>
    </xf>
    <xf numFmtId="0" fontId="32" fillId="0" borderId="207" xfId="0" applyFont="1" applyBorder="1" applyAlignment="1">
      <alignment horizontal="center" wrapText="1"/>
    </xf>
    <xf numFmtId="164" fontId="5" fillId="0" borderId="0" xfId="0" applyNumberFormat="1" applyFont="1"/>
    <xf numFmtId="1" fontId="29" fillId="7" borderId="130" xfId="0" applyNumberFormat="1" applyFont="1" applyFill="1" applyBorder="1" applyAlignment="1" applyProtection="1">
      <alignment horizontal="center"/>
      <protection locked="0"/>
    </xf>
    <xf numFmtId="0" fontId="3" fillId="4" borderId="0" xfId="0" applyFont="1" applyFill="1"/>
    <xf numFmtId="0" fontId="101" fillId="4" borderId="0" xfId="0" applyFont="1" applyFill="1" applyAlignment="1">
      <alignment horizontal="left" vertical="center" wrapText="1"/>
    </xf>
    <xf numFmtId="0" fontId="59" fillId="4" borderId="0" xfId="0" applyFont="1" applyFill="1"/>
    <xf numFmtId="0" fontId="46" fillId="4" borderId="208" xfId="0" applyFont="1" applyFill="1" applyBorder="1" applyAlignment="1">
      <alignment horizontal="center" vertical="center" wrapText="1"/>
    </xf>
    <xf numFmtId="0" fontId="46" fillId="4" borderId="209" xfId="0" applyFont="1" applyFill="1" applyBorder="1" applyAlignment="1">
      <alignment horizontal="center" vertical="center" wrapText="1"/>
    </xf>
    <xf numFmtId="0" fontId="101" fillId="4" borderId="3" xfId="0" applyFont="1" applyFill="1" applyBorder="1" applyAlignment="1">
      <alignment vertical="top" wrapText="1"/>
    </xf>
    <xf numFmtId="0" fontId="101" fillId="4" borderId="0" xfId="0" applyFont="1" applyFill="1" applyAlignment="1">
      <alignment vertical="top" wrapText="1"/>
    </xf>
    <xf numFmtId="0" fontId="48" fillId="51" borderId="78" xfId="0" applyFont="1" applyFill="1" applyBorder="1" applyAlignment="1">
      <alignment horizontal="center" vertical="center"/>
    </xf>
    <xf numFmtId="0" fontId="48" fillId="51" borderId="63" xfId="0" applyFont="1" applyFill="1" applyBorder="1" applyAlignment="1">
      <alignment horizontal="center" vertical="center"/>
    </xf>
    <xf numFmtId="0" fontId="48" fillId="52" borderId="78" xfId="0" applyFont="1" applyFill="1" applyBorder="1" applyAlignment="1">
      <alignment horizontal="center" vertical="center"/>
    </xf>
    <xf numFmtId="0" fontId="48" fillId="52" borderId="63" xfId="0" applyFont="1" applyFill="1" applyBorder="1" applyAlignment="1">
      <alignment horizontal="center" vertical="center"/>
    </xf>
    <xf numFmtId="0" fontId="48" fillId="15" borderId="78" xfId="0" applyFont="1" applyFill="1" applyBorder="1" applyAlignment="1">
      <alignment horizontal="center" vertical="center"/>
    </xf>
    <xf numFmtId="0" fontId="48" fillId="15" borderId="63" xfId="0" applyFont="1" applyFill="1" applyBorder="1" applyAlignment="1">
      <alignment horizontal="center" vertical="center"/>
    </xf>
    <xf numFmtId="0" fontId="19" fillId="5" borderId="7" xfId="0" applyFont="1" applyFill="1" applyBorder="1" applyAlignment="1" applyProtection="1">
      <alignment horizontal="center" vertical="center"/>
      <protection locked="0"/>
    </xf>
    <xf numFmtId="191" fontId="19" fillId="5" borderId="63" xfId="0" applyNumberFormat="1" applyFont="1" applyFill="1" applyBorder="1" applyAlignment="1" applyProtection="1">
      <alignment horizontal="left" vertical="center" wrapText="1" indent="1"/>
      <protection locked="0"/>
    </xf>
    <xf numFmtId="0" fontId="19" fillId="5" borderId="78" xfId="0" applyFont="1" applyFill="1" applyBorder="1" applyAlignment="1" applyProtection="1">
      <alignment horizontal="left" vertical="center" wrapText="1" indent="1"/>
      <protection locked="0"/>
    </xf>
    <xf numFmtId="165" fontId="44" fillId="5" borderId="63" xfId="0" applyNumberFormat="1" applyFont="1" applyFill="1" applyBorder="1" applyAlignment="1" applyProtection="1">
      <alignment vertical="center"/>
      <protection locked="0"/>
    </xf>
    <xf numFmtId="165" fontId="44" fillId="27" borderId="9" xfId="0" applyNumberFormat="1" applyFont="1" applyFill="1" applyBorder="1" applyAlignment="1">
      <alignment vertical="center"/>
    </xf>
    <xf numFmtId="165" fontId="44" fillId="27" borderId="78" xfId="0" applyNumberFormat="1" applyFont="1" applyFill="1" applyBorder="1" applyAlignment="1" applyProtection="1">
      <alignment vertical="center"/>
      <protection locked="0"/>
    </xf>
    <xf numFmtId="165" fontId="44" fillId="27" borderId="7" xfId="0" applyNumberFormat="1" applyFont="1" applyFill="1" applyBorder="1" applyAlignment="1" applyProtection="1">
      <alignment vertical="center"/>
      <protection locked="0"/>
    </xf>
    <xf numFmtId="165" fontId="44" fillId="27" borderId="91" xfId="0" applyNumberFormat="1" applyFont="1" applyFill="1" applyBorder="1" applyAlignment="1">
      <alignment vertical="center"/>
    </xf>
    <xf numFmtId="165" fontId="44" fillId="5" borderId="78" xfId="0" applyNumberFormat="1" applyFont="1" applyFill="1" applyBorder="1" applyAlignment="1" applyProtection="1">
      <alignment vertical="center"/>
      <protection locked="0"/>
    </xf>
    <xf numFmtId="165" fontId="19" fillId="5" borderId="78" xfId="0" applyNumberFormat="1" applyFont="1" applyFill="1" applyBorder="1" applyAlignment="1" applyProtection="1">
      <alignment vertical="center"/>
      <protection locked="0"/>
    </xf>
    <xf numFmtId="165" fontId="19" fillId="5" borderId="19" xfId="0" applyNumberFormat="1" applyFont="1" applyFill="1" applyBorder="1" applyAlignment="1" applyProtection="1">
      <alignment vertical="center"/>
      <protection locked="0"/>
    </xf>
    <xf numFmtId="165" fontId="19" fillId="5" borderId="63" xfId="0" applyNumberFormat="1" applyFont="1" applyFill="1" applyBorder="1" applyAlignment="1" applyProtection="1">
      <alignment vertical="center"/>
      <protection locked="0"/>
    </xf>
    <xf numFmtId="49" fontId="19" fillId="5" borderId="78" xfId="0" applyNumberFormat="1" applyFont="1" applyFill="1" applyBorder="1" applyAlignment="1" applyProtection="1">
      <alignment horizontal="left" vertical="center" wrapText="1" indent="1"/>
      <protection locked="0"/>
    </xf>
    <xf numFmtId="0" fontId="3" fillId="0" borderId="0" xfId="0" applyFont="1" applyAlignment="1">
      <alignment vertical="top" wrapText="1"/>
    </xf>
    <xf numFmtId="165" fontId="19" fillId="4" borderId="78" xfId="0" applyNumberFormat="1" applyFont="1" applyFill="1" applyBorder="1" applyAlignment="1" applyProtection="1">
      <alignment vertical="center"/>
      <protection locked="0"/>
    </xf>
    <xf numFmtId="0" fontId="14" fillId="0" borderId="0" xfId="0" applyFont="1"/>
    <xf numFmtId="191" fontId="19" fillId="5" borderId="84" xfId="0" applyNumberFormat="1" applyFont="1" applyFill="1" applyBorder="1" applyAlignment="1" applyProtection="1">
      <alignment horizontal="left" vertical="center" wrapText="1" indent="1"/>
      <protection locked="0"/>
    </xf>
    <xf numFmtId="191" fontId="19" fillId="5" borderId="145" xfId="0" applyNumberFormat="1" applyFont="1" applyFill="1" applyBorder="1" applyAlignment="1" applyProtection="1">
      <alignment horizontal="left" vertical="center" wrapText="1" indent="1"/>
      <protection locked="0"/>
    </xf>
    <xf numFmtId="191" fontId="44" fillId="15" borderId="66" xfId="0" applyNumberFormat="1" applyFont="1" applyFill="1" applyBorder="1" applyAlignment="1">
      <alignment vertical="center"/>
    </xf>
    <xf numFmtId="191" fontId="44" fillId="15" borderId="64" xfId="0" applyNumberFormat="1" applyFont="1" applyFill="1" applyBorder="1" applyAlignment="1">
      <alignment horizontal="right" vertical="center" indent="1"/>
    </xf>
    <xf numFmtId="191" fontId="44" fillId="14" borderId="193" xfId="0" applyNumberFormat="1" applyFont="1" applyFill="1" applyBorder="1" applyAlignment="1">
      <alignment horizontal="right" vertical="center"/>
    </xf>
    <xf numFmtId="0" fontId="44" fillId="14" borderId="211" xfId="0" applyFont="1" applyFill="1" applyBorder="1" applyAlignment="1">
      <alignment vertical="center"/>
    </xf>
    <xf numFmtId="165" fontId="44" fillId="15" borderId="143" xfId="0" applyNumberFormat="1" applyFont="1" applyFill="1" applyBorder="1" applyAlignment="1">
      <alignment vertical="center"/>
    </xf>
    <xf numFmtId="165" fontId="44" fillId="15" borderId="66" xfId="0" applyNumberFormat="1" applyFont="1" applyFill="1" applyBorder="1" applyAlignment="1">
      <alignment vertical="center"/>
    </xf>
    <xf numFmtId="165" fontId="44" fillId="15" borderId="211" xfId="0" applyNumberFormat="1" applyFont="1" applyFill="1" applyBorder="1" applyAlignment="1">
      <alignment vertical="center"/>
    </xf>
    <xf numFmtId="165" fontId="44" fillId="15" borderId="60" xfId="0" applyNumberFormat="1" applyFont="1" applyFill="1" applyBorder="1" applyAlignment="1">
      <alignment vertical="center"/>
    </xf>
    <xf numFmtId="165" fontId="44" fillId="14" borderId="193" xfId="0" applyNumberFormat="1" applyFont="1" applyFill="1" applyBorder="1" applyAlignment="1">
      <alignment vertical="center"/>
    </xf>
    <xf numFmtId="165" fontId="25" fillId="14" borderId="66" xfId="0" applyNumberFormat="1" applyFont="1" applyFill="1" applyBorder="1" applyAlignment="1">
      <alignment horizontal="center" vertical="center"/>
    </xf>
    <xf numFmtId="165" fontId="44" fillId="15" borderId="211" xfId="0" applyNumberFormat="1" applyFont="1" applyFill="1" applyBorder="1" applyAlignment="1">
      <alignment horizontal="center" vertical="center"/>
    </xf>
    <xf numFmtId="1" fontId="44" fillId="15" borderId="212" xfId="0" applyNumberFormat="1" applyFont="1" applyFill="1" applyBorder="1" applyAlignment="1">
      <alignment horizontal="center" vertical="center"/>
    </xf>
    <xf numFmtId="49" fontId="25" fillId="14" borderId="211" xfId="0" applyNumberFormat="1" applyFont="1" applyFill="1" applyBorder="1" applyAlignment="1">
      <alignment vertical="center"/>
    </xf>
    <xf numFmtId="0" fontId="3" fillId="15" borderId="48" xfId="0" applyFont="1" applyFill="1" applyBorder="1" applyAlignment="1" applyProtection="1">
      <alignment horizontal="center" vertical="center" wrapText="1"/>
      <protection locked="0"/>
    </xf>
    <xf numFmtId="0" fontId="3" fillId="15" borderId="56" xfId="0" applyFont="1" applyFill="1" applyBorder="1" applyAlignment="1" applyProtection="1">
      <alignment horizontal="center" vertical="center" wrapText="1"/>
      <protection locked="0"/>
    </xf>
    <xf numFmtId="0" fontId="3" fillId="15" borderId="55" xfId="0" applyFont="1" applyFill="1" applyBorder="1" applyAlignment="1" applyProtection="1">
      <alignment horizontal="center" vertical="center" wrapText="1"/>
      <protection locked="0"/>
    </xf>
    <xf numFmtId="0" fontId="3" fillId="15" borderId="111" xfId="0" applyFont="1" applyFill="1" applyBorder="1" applyAlignment="1" applyProtection="1">
      <alignment horizontal="center" vertical="center" wrapText="1"/>
      <protection locked="0"/>
    </xf>
    <xf numFmtId="0" fontId="3" fillId="19" borderId="111" xfId="0" applyFont="1" applyFill="1" applyBorder="1" applyAlignment="1" applyProtection="1">
      <alignment horizontal="center" vertical="center" wrapText="1"/>
      <protection locked="0"/>
    </xf>
    <xf numFmtId="0" fontId="3" fillId="19" borderId="115" xfId="0" applyFont="1" applyFill="1" applyBorder="1" applyAlignment="1" applyProtection="1">
      <alignment horizontal="center" vertical="center" wrapText="1"/>
      <protection locked="0"/>
    </xf>
    <xf numFmtId="0" fontId="3" fillId="15" borderId="118" xfId="0" applyFont="1" applyFill="1" applyBorder="1" applyAlignment="1" applyProtection="1">
      <alignment horizontal="center" vertical="center" wrapText="1"/>
      <protection locked="0"/>
    </xf>
    <xf numFmtId="0" fontId="3" fillId="15" borderId="117" xfId="0" applyFont="1" applyFill="1" applyBorder="1" applyAlignment="1" applyProtection="1">
      <alignment horizontal="center" vertical="center" wrapText="1"/>
      <protection locked="0"/>
    </xf>
    <xf numFmtId="0" fontId="3" fillId="19" borderId="48" xfId="0" applyFont="1" applyFill="1" applyBorder="1" applyAlignment="1" applyProtection="1">
      <alignment horizontal="center" vertical="center" wrapText="1"/>
      <protection locked="0"/>
    </xf>
    <xf numFmtId="0" fontId="88" fillId="0" borderId="0" xfId="0" applyFont="1" applyAlignment="1">
      <alignment horizontal="center" vertical="center"/>
    </xf>
    <xf numFmtId="0" fontId="88" fillId="0" borderId="0" xfId="0" applyFont="1"/>
    <xf numFmtId="0" fontId="104" fillId="0" borderId="0" xfId="0" applyFont="1" applyAlignment="1">
      <alignment vertical="center"/>
    </xf>
    <xf numFmtId="0" fontId="3" fillId="19" borderId="110" xfId="0"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12" fillId="4" borderId="59" xfId="0" applyFont="1" applyFill="1" applyBorder="1" applyAlignment="1">
      <alignment horizontal="center" vertical="center"/>
    </xf>
    <xf numFmtId="0" fontId="5" fillId="55" borderId="0" xfId="0" applyFont="1" applyFill="1" applyAlignment="1">
      <alignment horizontal="center" vertical="center"/>
    </xf>
    <xf numFmtId="0" fontId="5" fillId="55" borderId="0" xfId="0" applyFont="1" applyFill="1" applyAlignment="1">
      <alignment vertical="center"/>
    </xf>
    <xf numFmtId="0" fontId="49" fillId="59" borderId="0" xfId="0" applyFont="1" applyFill="1" applyAlignment="1">
      <alignment vertical="center"/>
    </xf>
    <xf numFmtId="188" fontId="28" fillId="59" borderId="0" xfId="0" applyNumberFormat="1" applyFont="1" applyFill="1" applyAlignment="1">
      <alignment vertical="center" wrapText="1"/>
    </xf>
    <xf numFmtId="0" fontId="26" fillId="59" borderId="0" xfId="0" applyFont="1" applyFill="1" applyAlignment="1">
      <alignment vertical="center"/>
    </xf>
    <xf numFmtId="182" fontId="28" fillId="59" borderId="0" xfId="0" applyNumberFormat="1" applyFont="1" applyFill="1" applyAlignment="1">
      <alignment horizontal="left" vertical="center" indent="3"/>
    </xf>
    <xf numFmtId="49" fontId="5" fillId="60" borderId="0" xfId="0" applyNumberFormat="1" applyFont="1" applyFill="1" applyAlignment="1">
      <alignment vertical="center" wrapText="1"/>
    </xf>
    <xf numFmtId="0" fontId="88" fillId="0" borderId="0" xfId="0" applyFont="1" applyAlignment="1">
      <alignment horizontal="center" vertical="center" wrapText="1"/>
    </xf>
    <xf numFmtId="0" fontId="88" fillId="43" borderId="0" xfId="0" applyFont="1" applyFill="1" applyAlignment="1">
      <alignment horizontal="center" vertical="center" wrapText="1"/>
    </xf>
    <xf numFmtId="1" fontId="88" fillId="0" borderId="0" xfId="0" applyNumberFormat="1" applyFont="1" applyAlignment="1">
      <alignment horizontal="center" vertical="center" wrapText="1"/>
    </xf>
    <xf numFmtId="169" fontId="24" fillId="14" borderId="0" xfId="0" applyNumberFormat="1" applyFont="1" applyFill="1" applyAlignment="1">
      <alignment horizontal="center" vertical="center"/>
    </xf>
    <xf numFmtId="49" fontId="88" fillId="0" borderId="60" xfId="0" applyNumberFormat="1" applyFont="1" applyBorder="1" applyAlignment="1" applyProtection="1">
      <alignment horizontal="center" vertical="center" wrapText="1"/>
      <protection locked="0"/>
    </xf>
    <xf numFmtId="0" fontId="88" fillId="0" borderId="61" xfId="0" applyFont="1" applyBorder="1" applyAlignment="1" applyProtection="1">
      <alignment horizontal="left" vertical="center" wrapText="1" indent="1"/>
      <protection locked="0"/>
    </xf>
    <xf numFmtId="192" fontId="88" fillId="61" borderId="16" xfId="0" applyNumberFormat="1" applyFont="1" applyFill="1" applyBorder="1" applyAlignment="1" applyProtection="1">
      <alignment vertical="center"/>
      <protection locked="0"/>
    </xf>
    <xf numFmtId="49" fontId="88" fillId="0" borderId="76" xfId="0" applyNumberFormat="1" applyFont="1" applyBorder="1" applyAlignment="1" applyProtection="1">
      <alignment horizontal="center" vertical="center" wrapText="1"/>
      <protection locked="0"/>
    </xf>
    <xf numFmtId="0" fontId="88" fillId="0" borderId="28" xfId="0" applyFont="1" applyBorder="1" applyAlignment="1" applyProtection="1">
      <alignment horizontal="left" vertical="center" wrapText="1" indent="1"/>
      <protection locked="0"/>
    </xf>
    <xf numFmtId="192" fontId="88" fillId="61" borderId="8" xfId="0" applyNumberFormat="1" applyFont="1" applyFill="1" applyBorder="1" applyAlignment="1" applyProtection="1">
      <alignment vertical="center"/>
      <protection locked="0"/>
    </xf>
    <xf numFmtId="0" fontId="88" fillId="0" borderId="19" xfId="0" applyFont="1" applyBorder="1" applyAlignment="1" applyProtection="1">
      <alignment horizontal="left" vertical="center" wrapText="1" indent="1"/>
      <protection locked="0"/>
    </xf>
    <xf numFmtId="0" fontId="88" fillId="61" borderId="19" xfId="0" applyFont="1" applyFill="1" applyBorder="1" applyAlignment="1" applyProtection="1">
      <alignment horizontal="left" vertical="center" wrapText="1" indent="1"/>
      <protection locked="0"/>
    </xf>
    <xf numFmtId="49" fontId="88" fillId="61" borderId="71" xfId="0" applyNumberFormat="1" applyFont="1" applyFill="1" applyBorder="1" applyAlignment="1" applyProtection="1">
      <alignment horizontal="center" vertical="center"/>
      <protection locked="0"/>
    </xf>
    <xf numFmtId="0" fontId="88" fillId="61" borderId="69" xfId="0" applyFont="1" applyFill="1" applyBorder="1" applyAlignment="1" applyProtection="1">
      <alignment horizontal="left" vertical="center" wrapText="1" indent="1"/>
      <protection locked="0"/>
    </xf>
    <xf numFmtId="192" fontId="108" fillId="61" borderId="216" xfId="0" applyNumberFormat="1" applyFont="1" applyFill="1" applyBorder="1" applyAlignment="1" applyProtection="1">
      <alignment vertical="center" wrapText="1"/>
      <protection locked="0"/>
    </xf>
    <xf numFmtId="49" fontId="88" fillId="61" borderId="7" xfId="0" applyNumberFormat="1" applyFont="1" applyFill="1" applyBorder="1" applyAlignment="1" applyProtection="1">
      <alignment horizontal="center" vertical="center"/>
      <protection locked="0"/>
    </xf>
    <xf numFmtId="192" fontId="108" fillId="61" borderId="8" xfId="0" applyNumberFormat="1" applyFont="1" applyFill="1" applyBorder="1" applyAlignment="1" applyProtection="1">
      <alignment vertical="center" wrapText="1"/>
      <protection locked="0"/>
    </xf>
    <xf numFmtId="192" fontId="88" fillId="62" borderId="217" xfId="0" applyNumberFormat="1" applyFont="1" applyFill="1" applyBorder="1" applyAlignment="1" applyProtection="1">
      <alignment horizontal="right" vertical="center" indent="1"/>
      <protection locked="0"/>
    </xf>
    <xf numFmtId="192" fontId="88" fillId="62" borderId="218" xfId="0" applyNumberFormat="1" applyFont="1" applyFill="1" applyBorder="1" applyAlignment="1" applyProtection="1">
      <alignment horizontal="right" vertical="center"/>
      <protection locked="0"/>
    </xf>
    <xf numFmtId="192" fontId="88" fillId="62" borderId="75" xfId="0" applyNumberFormat="1" applyFont="1" applyFill="1" applyBorder="1" applyAlignment="1" applyProtection="1">
      <alignment vertical="center"/>
      <protection locked="0"/>
    </xf>
    <xf numFmtId="192" fontId="88" fillId="62" borderId="77" xfId="0" applyNumberFormat="1" applyFont="1" applyFill="1" applyBorder="1" applyAlignment="1" applyProtection="1">
      <alignment vertical="center"/>
      <protection locked="0"/>
    </xf>
    <xf numFmtId="0" fontId="0" fillId="0" borderId="0" xfId="0" applyAlignment="1">
      <alignment horizontal="right" vertical="center" indent="1"/>
    </xf>
    <xf numFmtId="14" fontId="14" fillId="5" borderId="9" xfId="0" applyNumberFormat="1" applyFont="1" applyFill="1" applyBorder="1" applyAlignment="1" applyProtection="1">
      <alignment horizontal="center" vertical="center"/>
      <protection locked="0"/>
    </xf>
    <xf numFmtId="14" fontId="14" fillId="5" borderId="9" xfId="0" applyNumberFormat="1" applyFont="1" applyFill="1" applyBorder="1" applyAlignment="1" applyProtection="1">
      <alignment vertical="center"/>
      <protection locked="0"/>
    </xf>
    <xf numFmtId="169" fontId="24" fillId="14" borderId="0" xfId="0" applyNumberFormat="1" applyFont="1" applyFill="1" applyAlignment="1">
      <alignment vertical="center"/>
    </xf>
    <xf numFmtId="14" fontId="14" fillId="0" borderId="0" xfId="0" applyNumberFormat="1" applyFont="1" applyAlignment="1" applyProtection="1">
      <alignment horizontal="center" vertical="center"/>
      <protection locked="0"/>
    </xf>
    <xf numFmtId="0" fontId="0" fillId="0" borderId="46" xfId="0" applyBorder="1" applyAlignment="1">
      <alignment vertical="center"/>
    </xf>
    <xf numFmtId="165" fontId="15" fillId="0" borderId="0" xfId="0" applyNumberFormat="1" applyFont="1" applyAlignment="1">
      <alignment vertical="center"/>
    </xf>
    <xf numFmtId="165" fontId="100" fillId="49" borderId="7" xfId="0" applyNumberFormat="1" applyFont="1" applyFill="1" applyBorder="1" applyAlignment="1">
      <alignment vertical="center"/>
    </xf>
    <xf numFmtId="0" fontId="106" fillId="0" borderId="0" xfId="0" applyFont="1" applyAlignment="1">
      <alignment horizontal="right" vertical="center" indent="1"/>
    </xf>
    <xf numFmtId="0" fontId="110" fillId="0" borderId="0" xfId="0" applyFont="1" applyAlignment="1">
      <alignment horizontal="right" vertical="center" indent="1"/>
    </xf>
    <xf numFmtId="0" fontId="95" fillId="0" borderId="0" xfId="0" applyFont="1" applyAlignment="1">
      <alignment horizontal="right" vertical="center" indent="2"/>
    </xf>
    <xf numFmtId="0" fontId="95" fillId="0" borderId="0" xfId="0" applyFont="1" applyAlignment="1">
      <alignment horizontal="right" vertical="center" wrapText="1" indent="2"/>
    </xf>
    <xf numFmtId="0" fontId="106" fillId="0" borderId="0" xfId="0" applyFont="1" applyAlignment="1">
      <alignment horizontal="right" vertical="center" wrapText="1" indent="1"/>
    </xf>
    <xf numFmtId="0" fontId="110" fillId="0" borderId="0" xfId="0" applyFont="1" applyAlignment="1">
      <alignment horizontal="right" vertical="center" wrapText="1" indent="1"/>
    </xf>
    <xf numFmtId="0" fontId="0" fillId="0" borderId="0" xfId="0" applyAlignment="1">
      <alignment horizontal="right" vertical="center" wrapText="1" indent="1"/>
    </xf>
    <xf numFmtId="165" fontId="100" fillId="40" borderId="0" xfId="0" applyNumberFormat="1" applyFont="1" applyFill="1" applyAlignment="1">
      <alignment horizontal="left" vertical="center" wrapText="1"/>
    </xf>
    <xf numFmtId="0" fontId="5" fillId="64" borderId="0" xfId="0" applyFont="1" applyFill="1" applyAlignment="1">
      <alignment vertical="center"/>
    </xf>
    <xf numFmtId="0" fontId="3" fillId="5" borderId="28" xfId="0" applyFont="1" applyFill="1" applyBorder="1" applyAlignment="1" applyProtection="1">
      <alignment horizontal="left" vertical="center" wrapText="1" indent="1"/>
      <protection locked="0"/>
    </xf>
    <xf numFmtId="0" fontId="3" fillId="5" borderId="19" xfId="0" applyFont="1" applyFill="1" applyBorder="1" applyAlignment="1" applyProtection="1">
      <alignment horizontal="left" vertical="center" wrapText="1" indent="1"/>
      <protection locked="0"/>
    </xf>
    <xf numFmtId="49" fontId="45" fillId="5" borderId="28" xfId="0" applyNumberFormat="1" applyFont="1" applyFill="1" applyBorder="1" applyAlignment="1" applyProtection="1">
      <alignment horizontal="center" vertical="center"/>
      <protection locked="0"/>
    </xf>
    <xf numFmtId="49" fontId="45" fillId="5" borderId="19" xfId="0" applyNumberFormat="1" applyFont="1" applyFill="1" applyBorder="1" applyAlignment="1" applyProtection="1">
      <alignment horizontal="center" vertical="center"/>
      <protection locked="0"/>
    </xf>
    <xf numFmtId="165" fontId="45" fillId="5" borderId="17" xfId="0" applyNumberFormat="1" applyFont="1" applyFill="1" applyBorder="1" applyAlignment="1" applyProtection="1">
      <alignment vertical="center" wrapText="1"/>
      <protection locked="0"/>
    </xf>
    <xf numFmtId="171" fontId="45" fillId="5" borderId="17" xfId="0" applyNumberFormat="1" applyFont="1" applyFill="1" applyBorder="1" applyAlignment="1" applyProtection="1">
      <alignment horizontal="center" vertical="center"/>
      <protection locked="0"/>
    </xf>
    <xf numFmtId="14" fontId="45" fillId="5" borderId="28" xfId="0" applyNumberFormat="1" applyFont="1" applyFill="1" applyBorder="1" applyAlignment="1" applyProtection="1">
      <alignment horizontal="center" vertical="center"/>
      <protection locked="0"/>
    </xf>
    <xf numFmtId="165" fontId="45" fillId="5" borderId="7" xfId="0" applyNumberFormat="1" applyFont="1" applyFill="1" applyBorder="1" applyAlignment="1" applyProtection="1">
      <alignment vertical="center" wrapText="1"/>
      <protection locked="0"/>
    </xf>
    <xf numFmtId="171" fontId="45" fillId="5" borderId="7" xfId="0" applyNumberFormat="1" applyFont="1" applyFill="1" applyBorder="1" applyAlignment="1" applyProtection="1">
      <alignment horizontal="center" vertical="center"/>
      <protection locked="0"/>
    </xf>
    <xf numFmtId="14" fontId="45" fillId="5" borderId="19" xfId="0" applyNumberFormat="1" applyFont="1" applyFill="1" applyBorder="1" applyAlignment="1" applyProtection="1">
      <alignment horizontal="center" vertical="center"/>
      <protection locked="0"/>
    </xf>
    <xf numFmtId="14" fontId="45" fillId="0" borderId="204" xfId="0" applyNumberFormat="1" applyFont="1" applyBorder="1" applyAlignment="1" applyProtection="1">
      <alignment vertical="center"/>
      <protection locked="0"/>
    </xf>
    <xf numFmtId="14" fontId="45" fillId="0" borderId="42" xfId="0" applyNumberFormat="1" applyFont="1" applyBorder="1" applyAlignment="1" applyProtection="1">
      <alignment vertical="center"/>
      <protection locked="0"/>
    </xf>
    <xf numFmtId="14" fontId="45" fillId="0" borderId="42" xfId="0" applyNumberFormat="1" applyFont="1" applyBorder="1" applyAlignment="1" applyProtection="1">
      <alignment horizontal="center" vertical="center"/>
      <protection locked="0"/>
    </xf>
    <xf numFmtId="1" fontId="18" fillId="14" borderId="219" xfId="0" applyNumberFormat="1" applyFont="1" applyFill="1" applyBorder="1" applyAlignment="1">
      <alignment horizontal="center" vertical="center"/>
    </xf>
    <xf numFmtId="37" fontId="100" fillId="0" borderId="0" xfId="0" applyNumberFormat="1" applyFont="1" applyAlignment="1">
      <alignment horizontal="center" vertical="center" wrapText="1"/>
    </xf>
    <xf numFmtId="165" fontId="111" fillId="65" borderId="7" xfId="0" applyNumberFormat="1" applyFont="1" applyFill="1" applyBorder="1" applyAlignment="1">
      <alignment vertical="center" wrapText="1"/>
    </xf>
    <xf numFmtId="0" fontId="24" fillId="14" borderId="222" xfId="0" applyFont="1" applyFill="1" applyBorder="1" applyAlignment="1">
      <alignment horizontal="center" vertical="center"/>
    </xf>
    <xf numFmtId="0" fontId="24" fillId="14" borderId="223" xfId="0" applyFont="1" applyFill="1" applyBorder="1" applyAlignment="1">
      <alignment horizontal="center" vertical="center"/>
    </xf>
    <xf numFmtId="169" fontId="24" fillId="14" borderId="223" xfId="0" applyNumberFormat="1" applyFont="1" applyFill="1" applyBorder="1" applyAlignment="1">
      <alignment horizontal="center" vertical="center"/>
    </xf>
    <xf numFmtId="0" fontId="24" fillId="14" borderId="224" xfId="0" applyFont="1" applyFill="1" applyBorder="1" applyAlignment="1">
      <alignment horizontal="center" vertical="center" wrapText="1"/>
    </xf>
    <xf numFmtId="169" fontId="24" fillId="14" borderId="224" xfId="0" applyNumberFormat="1" applyFont="1" applyFill="1" applyBorder="1" applyAlignment="1">
      <alignment vertical="center"/>
    </xf>
    <xf numFmtId="1" fontId="18" fillId="14" borderId="221" xfId="0" applyNumberFormat="1" applyFont="1" applyFill="1" applyBorder="1" applyAlignment="1">
      <alignment horizontal="center" vertical="center"/>
    </xf>
    <xf numFmtId="1" fontId="18" fillId="14" borderId="225" xfId="0" applyNumberFormat="1" applyFont="1" applyFill="1" applyBorder="1" applyAlignment="1">
      <alignment horizontal="center" vertical="center"/>
    </xf>
    <xf numFmtId="1" fontId="18" fillId="14" borderId="225" xfId="0" applyNumberFormat="1" applyFont="1" applyFill="1" applyBorder="1" applyAlignment="1">
      <alignment horizontal="center" vertical="center" wrapText="1"/>
    </xf>
    <xf numFmtId="169" fontId="24" fillId="14" borderId="220" xfId="0" applyNumberFormat="1" applyFont="1" applyFill="1" applyBorder="1" applyAlignment="1">
      <alignment horizontal="center" vertical="center"/>
    </xf>
    <xf numFmtId="49" fontId="13" fillId="21" borderId="0" xfId="0" applyNumberFormat="1" applyFont="1" applyFill="1" applyAlignment="1" applyProtection="1">
      <alignment horizontal="center" vertical="center"/>
      <protection locked="0"/>
    </xf>
    <xf numFmtId="0" fontId="13" fillId="0" borderId="0" xfId="0" applyFont="1" applyAlignment="1">
      <alignment horizontal="right" vertical="center" wrapText="1"/>
    </xf>
    <xf numFmtId="49" fontId="88" fillId="0" borderId="7" xfId="0" applyNumberFormat="1" applyFont="1" applyBorder="1" applyAlignment="1" applyProtection="1">
      <alignment horizontal="center" vertical="center"/>
      <protection locked="0"/>
    </xf>
    <xf numFmtId="0" fontId="21" fillId="0" borderId="0" xfId="0" applyFont="1" applyAlignment="1">
      <alignment horizontal="left" vertical="center" wrapText="1" indent="8"/>
    </xf>
    <xf numFmtId="0" fontId="6" fillId="0" borderId="0" xfId="0" applyFont="1" applyAlignment="1">
      <alignment horizontal="right" vertical="center"/>
    </xf>
    <xf numFmtId="165" fontId="44" fillId="72" borderId="130" xfId="0" applyNumberFormat="1" applyFont="1" applyFill="1" applyBorder="1" applyAlignment="1" applyProtection="1">
      <alignment horizontal="right" vertical="center"/>
      <protection locked="0"/>
    </xf>
    <xf numFmtId="165" fontId="44" fillId="73" borderId="130" xfId="0" applyNumberFormat="1" applyFont="1" applyFill="1" applyBorder="1" applyAlignment="1" applyProtection="1">
      <alignment horizontal="right" vertical="center"/>
      <protection locked="0"/>
    </xf>
    <xf numFmtId="0" fontId="17" fillId="66" borderId="3" xfId="0" applyFont="1" applyFill="1" applyBorder="1" applyAlignment="1">
      <alignment horizontal="center" vertical="center"/>
    </xf>
    <xf numFmtId="0" fontId="44" fillId="5" borderId="3" xfId="0" applyFont="1" applyFill="1" applyBorder="1" applyAlignment="1">
      <alignment horizontal="center" vertical="center"/>
    </xf>
    <xf numFmtId="0" fontId="12" fillId="5" borderId="3" xfId="0" applyFont="1" applyFill="1" applyBorder="1" applyAlignment="1">
      <alignment horizontal="left" vertical="center"/>
    </xf>
    <xf numFmtId="181" fontId="12" fillId="5" borderId="9" xfId="0" applyNumberFormat="1" applyFont="1" applyFill="1" applyBorder="1" applyAlignment="1">
      <alignment horizontal="left" vertical="center"/>
    </xf>
    <xf numFmtId="0" fontId="17" fillId="66" borderId="9" xfId="0" applyFont="1" applyFill="1" applyBorder="1" applyAlignment="1">
      <alignment horizontal="center" vertical="center"/>
    </xf>
    <xf numFmtId="0" fontId="66" fillId="0" borderId="0" xfId="0" applyFont="1" applyAlignment="1">
      <alignment horizontal="center" vertical="center" wrapText="1"/>
    </xf>
    <xf numFmtId="1" fontId="12" fillId="5" borderId="3" xfId="0" applyNumberFormat="1" applyFont="1" applyFill="1" applyBorder="1" applyAlignment="1">
      <alignment horizontal="center" vertical="center"/>
    </xf>
    <xf numFmtId="0" fontId="51" fillId="74" borderId="0" xfId="0" applyFont="1" applyFill="1" applyAlignment="1">
      <alignment horizontal="center" vertical="center" wrapText="1"/>
    </xf>
    <xf numFmtId="193" fontId="14" fillId="0" borderId="7" xfId="0" applyNumberFormat="1" applyFont="1" applyBorder="1" applyAlignment="1">
      <alignment horizontal="center" vertical="center"/>
    </xf>
    <xf numFmtId="193" fontId="88" fillId="61" borderId="60" xfId="0" applyNumberFormat="1" applyFont="1" applyFill="1" applyBorder="1" applyAlignment="1" applyProtection="1">
      <alignment horizontal="center" vertical="center"/>
      <protection locked="0"/>
    </xf>
    <xf numFmtId="193" fontId="88" fillId="61" borderId="7" xfId="0" applyNumberFormat="1" applyFont="1" applyFill="1" applyBorder="1" applyAlignment="1" applyProtection="1">
      <alignment horizontal="center" vertical="center"/>
      <protection locked="0"/>
    </xf>
    <xf numFmtId="193" fontId="3" fillId="4" borderId="7" xfId="0" applyNumberFormat="1" applyFont="1" applyFill="1" applyBorder="1" applyAlignment="1" applyProtection="1">
      <alignment horizontal="center" vertical="center"/>
      <protection locked="0"/>
    </xf>
    <xf numFmtId="193" fontId="88" fillId="61" borderId="71" xfId="0" applyNumberFormat="1" applyFont="1" applyFill="1" applyBorder="1" applyAlignment="1" applyProtection="1">
      <alignment horizontal="center" vertical="center"/>
      <protection locked="0"/>
    </xf>
    <xf numFmtId="193" fontId="88" fillId="0" borderId="7" xfId="0" applyNumberFormat="1" applyFont="1" applyBorder="1" applyAlignment="1" applyProtection="1">
      <alignment horizontal="center" vertical="center"/>
      <protection locked="0"/>
    </xf>
    <xf numFmtId="193" fontId="44" fillId="73" borderId="130" xfId="0" applyNumberFormat="1" applyFont="1" applyFill="1" applyBorder="1" applyAlignment="1" applyProtection="1">
      <alignment horizontal="center" vertical="center"/>
      <protection locked="0"/>
    </xf>
    <xf numFmtId="193" fontId="19" fillId="5" borderId="19" xfId="0" applyNumberFormat="1" applyFont="1" applyFill="1" applyBorder="1" applyAlignment="1" applyProtection="1">
      <alignment horizontal="center" vertical="center"/>
      <protection locked="0"/>
    </xf>
    <xf numFmtId="193" fontId="44" fillId="27" borderId="9" xfId="0" applyNumberFormat="1" applyFont="1" applyFill="1" applyBorder="1" applyAlignment="1" applyProtection="1">
      <alignment horizontal="center" vertical="center"/>
      <protection locked="0"/>
    </xf>
    <xf numFmtId="0" fontId="28" fillId="14" borderId="200" xfId="0" applyFont="1" applyFill="1" applyBorder="1" applyAlignment="1">
      <alignment horizontal="center" vertical="center" wrapText="1"/>
    </xf>
    <xf numFmtId="164" fontId="28" fillId="14" borderId="239" xfId="0" applyNumberFormat="1" applyFont="1" applyFill="1" applyBorder="1" applyAlignment="1">
      <alignment horizontal="center" vertical="center" wrapText="1"/>
    </xf>
    <xf numFmtId="0" fontId="53" fillId="14" borderId="66" xfId="0" applyFont="1" applyFill="1" applyBorder="1" applyAlignment="1">
      <alignment horizontal="center" vertical="center" wrapText="1"/>
    </xf>
    <xf numFmtId="193" fontId="6" fillId="22" borderId="125" xfId="0" applyNumberFormat="1" applyFont="1" applyFill="1" applyBorder="1" applyAlignment="1" applyProtection="1">
      <alignment horizontal="center" vertical="center" wrapText="1"/>
      <protection locked="0"/>
    </xf>
    <xf numFmtId="0" fontId="26" fillId="57" borderId="48" xfId="0" applyFont="1" applyFill="1" applyBorder="1" applyAlignment="1">
      <alignment horizontal="center" vertical="center" textRotation="90"/>
    </xf>
    <xf numFmtId="0" fontId="26" fillId="57" borderId="48" xfId="0" applyFont="1" applyFill="1" applyBorder="1" applyAlignment="1">
      <alignment horizontal="center" vertical="center" textRotation="90" wrapText="1"/>
    </xf>
    <xf numFmtId="0" fontId="26" fillId="57" borderId="48" xfId="0" applyFont="1" applyFill="1" applyBorder="1" applyAlignment="1">
      <alignment horizontal="center" vertical="center"/>
    </xf>
    <xf numFmtId="0" fontId="26" fillId="57" borderId="48" xfId="0" applyFont="1" applyFill="1" applyBorder="1" applyAlignment="1">
      <alignment horizontal="center" vertical="center" wrapText="1"/>
    </xf>
    <xf numFmtId="0" fontId="26" fillId="57" borderId="49" xfId="0" applyFont="1" applyFill="1" applyBorder="1" applyAlignment="1">
      <alignment horizontal="center" vertical="center"/>
    </xf>
    <xf numFmtId="0" fontId="26" fillId="57" borderId="50" xfId="0" applyFont="1" applyFill="1" applyBorder="1" applyAlignment="1">
      <alignment horizontal="center" vertical="center" wrapText="1"/>
    </xf>
    <xf numFmtId="0" fontId="3" fillId="58" borderId="49" xfId="0" applyFont="1" applyFill="1" applyBorder="1" applyAlignment="1">
      <alignment horizontal="center" vertical="center" textRotation="90" wrapText="1"/>
    </xf>
    <xf numFmtId="0" fontId="33" fillId="16" borderId="52" xfId="0" applyFont="1" applyFill="1" applyBorder="1" applyAlignment="1">
      <alignment horizontal="center" vertical="center" wrapText="1"/>
    </xf>
    <xf numFmtId="0" fontId="26" fillId="57" borderId="53" xfId="0" applyFont="1" applyFill="1" applyBorder="1" applyAlignment="1">
      <alignment horizontal="center" vertical="center" textRotation="90" wrapText="1"/>
    </xf>
    <xf numFmtId="0" fontId="26" fillId="57" borderId="54" xfId="0" applyFont="1" applyFill="1" applyBorder="1" applyAlignment="1">
      <alignment horizontal="center" vertical="center" textRotation="90" wrapText="1"/>
    </xf>
    <xf numFmtId="0" fontId="3" fillId="17" borderId="49" xfId="0" applyFont="1" applyFill="1" applyBorder="1" applyAlignment="1">
      <alignment horizontal="center" vertical="center" textRotation="90" wrapText="1"/>
    </xf>
    <xf numFmtId="0" fontId="3" fillId="17" borderId="55" xfId="0" applyFont="1" applyFill="1" applyBorder="1" applyAlignment="1">
      <alignment horizontal="center" vertical="center" textRotation="90" wrapText="1"/>
    </xf>
    <xf numFmtId="0" fontId="3" fillId="15" borderId="51" xfId="0" applyFont="1" applyFill="1" applyBorder="1" applyAlignment="1">
      <alignment horizontal="center" vertical="center" wrapText="1"/>
    </xf>
    <xf numFmtId="0" fontId="3" fillId="15" borderId="48" xfId="0" applyFont="1" applyFill="1" applyBorder="1" applyAlignment="1">
      <alignment horizontal="center" vertical="center" wrapText="1"/>
    </xf>
    <xf numFmtId="0" fontId="34" fillId="18" borderId="48" xfId="0" applyFont="1" applyFill="1" applyBorder="1" applyAlignment="1">
      <alignment horizontal="center" vertical="center" wrapText="1"/>
    </xf>
    <xf numFmtId="0" fontId="3" fillId="15" borderId="49" xfId="0" applyFont="1" applyFill="1" applyBorder="1" applyAlignment="1">
      <alignment horizontal="center" vertical="center" wrapText="1"/>
    </xf>
    <xf numFmtId="0" fontId="3" fillId="15" borderId="56" xfId="0" applyFont="1" applyFill="1" applyBorder="1" applyAlignment="1">
      <alignment horizontal="center" vertical="center" wrapText="1"/>
    </xf>
    <xf numFmtId="0" fontId="32" fillId="14" borderId="57" xfId="0" applyFont="1" applyFill="1" applyBorder="1" applyAlignment="1">
      <alignment horizontal="center" vertical="center" wrapText="1"/>
    </xf>
    <xf numFmtId="0" fontId="26" fillId="57" borderId="111" xfId="0" applyFont="1" applyFill="1" applyBorder="1" applyAlignment="1">
      <alignment horizontal="center" vertical="center" textRotation="90"/>
    </xf>
    <xf numFmtId="0" fontId="26" fillId="57" borderId="111" xfId="0" applyFont="1" applyFill="1" applyBorder="1" applyAlignment="1">
      <alignment horizontal="center" vertical="center" textRotation="90" wrapText="1"/>
    </xf>
    <xf numFmtId="0" fontId="26" fillId="57" borderId="111" xfId="0" applyFont="1" applyFill="1" applyBorder="1" applyAlignment="1">
      <alignment horizontal="center" vertical="center" wrapText="1"/>
    </xf>
    <xf numFmtId="0" fontId="26" fillId="57" borderId="112" xfId="0" applyFont="1" applyFill="1" applyBorder="1" applyAlignment="1">
      <alignment horizontal="center" vertical="center" wrapText="1"/>
    </xf>
    <xf numFmtId="0" fontId="26" fillId="57" borderId="113" xfId="0" applyFont="1" applyFill="1" applyBorder="1" applyAlignment="1">
      <alignment horizontal="center" vertical="center" wrapText="1"/>
    </xf>
    <xf numFmtId="0" fontId="26" fillId="57" borderId="114" xfId="0" applyFont="1" applyFill="1" applyBorder="1" applyAlignment="1">
      <alignment horizontal="center" vertical="center" wrapText="1"/>
    </xf>
    <xf numFmtId="0" fontId="3" fillId="58" borderId="115" xfId="0" applyFont="1" applyFill="1" applyBorder="1" applyAlignment="1">
      <alignment horizontal="center" vertical="center" textRotation="90" wrapText="1"/>
    </xf>
    <xf numFmtId="0" fontId="33" fillId="16" borderId="116" xfId="0" applyFont="1" applyFill="1" applyBorder="1" applyAlignment="1">
      <alignment horizontal="center" vertical="center" wrapText="1"/>
    </xf>
    <xf numFmtId="0" fontId="3" fillId="17" borderId="115" xfId="0" applyFont="1" applyFill="1" applyBorder="1" applyAlignment="1">
      <alignment horizontal="center" vertical="center" textRotation="90" wrapText="1"/>
    </xf>
    <xf numFmtId="0" fontId="3" fillId="15" borderId="117" xfId="0" applyFont="1" applyFill="1" applyBorder="1" applyAlignment="1">
      <alignment horizontal="center" vertical="center" wrapText="1"/>
    </xf>
    <xf numFmtId="0" fontId="3" fillId="15" borderId="111" xfId="0" applyFont="1" applyFill="1" applyBorder="1" applyAlignment="1">
      <alignment horizontal="center" vertical="center" wrapText="1"/>
    </xf>
    <xf numFmtId="0" fontId="26" fillId="18" borderId="117" xfId="0" applyFont="1" applyFill="1" applyBorder="1" applyAlignment="1">
      <alignment horizontal="center" vertical="center" wrapText="1"/>
    </xf>
    <xf numFmtId="0" fontId="26" fillId="18" borderId="114" xfId="0" applyFont="1" applyFill="1" applyBorder="1" applyAlignment="1">
      <alignment horizontal="center" vertical="center" wrapText="1"/>
    </xf>
    <xf numFmtId="0" fontId="3" fillId="15" borderId="114" xfId="0" applyFont="1" applyFill="1" applyBorder="1" applyAlignment="1">
      <alignment horizontal="center" vertical="center" wrapText="1"/>
    </xf>
    <xf numFmtId="0" fontId="3" fillId="15" borderId="180" xfId="0" applyFont="1" applyFill="1" applyBorder="1" applyAlignment="1">
      <alignment horizontal="center" vertical="center" wrapText="1"/>
    </xf>
    <xf numFmtId="0" fontId="3" fillId="15" borderId="115" xfId="0" applyFont="1" applyFill="1" applyBorder="1" applyAlignment="1">
      <alignment horizontal="center" vertical="center" wrapText="1"/>
    </xf>
    <xf numFmtId="0" fontId="34" fillId="18" borderId="180" xfId="0" applyFont="1" applyFill="1" applyBorder="1" applyAlignment="1">
      <alignment horizontal="center" vertical="center" wrapText="1"/>
    </xf>
    <xf numFmtId="0" fontId="3" fillId="15" borderId="176" xfId="0" applyFont="1" applyFill="1" applyBorder="1" applyAlignment="1">
      <alignment horizontal="center" vertical="center" wrapText="1"/>
    </xf>
    <xf numFmtId="0" fontId="3" fillId="15" borderId="118" xfId="0" applyFont="1" applyFill="1" applyBorder="1" applyAlignment="1">
      <alignment horizontal="center" vertical="center" wrapText="1"/>
    </xf>
    <xf numFmtId="0" fontId="32" fillId="14" borderId="119" xfId="0" applyFont="1" applyFill="1" applyBorder="1" applyAlignment="1">
      <alignment horizontal="center" vertical="center" wrapText="1"/>
    </xf>
    <xf numFmtId="164" fontId="3" fillId="0" borderId="0" xfId="0" applyNumberFormat="1" applyFont="1" applyAlignment="1">
      <alignment horizontal="center" vertical="center"/>
    </xf>
    <xf numFmtId="0" fontId="8" fillId="0" borderId="0" xfId="0" applyFont="1" applyAlignment="1">
      <alignment horizontal="left" vertical="top" wrapText="1"/>
    </xf>
    <xf numFmtId="0" fontId="9" fillId="0" borderId="0" xfId="0" applyFont="1" applyAlignment="1">
      <alignment vertical="center"/>
    </xf>
    <xf numFmtId="0" fontId="10" fillId="0" borderId="0" xfId="0" applyFont="1" applyAlignment="1">
      <alignment vertical="center"/>
    </xf>
    <xf numFmtId="164" fontId="3" fillId="0" borderId="0" xfId="0" applyNumberFormat="1" applyFont="1" applyAlignment="1">
      <alignment horizontal="center" vertical="center" wrapText="1"/>
    </xf>
    <xf numFmtId="193" fontId="3" fillId="0" borderId="0" xfId="0" applyNumberFormat="1" applyFont="1" applyAlignment="1">
      <alignment vertical="center"/>
    </xf>
    <xf numFmtId="0" fontId="11" fillId="0" borderId="0" xfId="0" applyFont="1" applyAlignment="1">
      <alignment vertical="center"/>
    </xf>
    <xf numFmtId="0" fontId="23" fillId="0" borderId="0" xfId="0" applyFont="1" applyAlignment="1">
      <alignment horizontal="right" vertical="center" wrapText="1"/>
    </xf>
    <xf numFmtId="49" fontId="14" fillId="0" borderId="0" xfId="0" applyNumberFormat="1" applyFont="1" applyAlignment="1">
      <alignment horizontal="center" vertical="center"/>
    </xf>
    <xf numFmtId="0" fontId="15" fillId="0" borderId="9" xfId="0" applyFont="1" applyBorder="1" applyAlignment="1">
      <alignment vertical="center"/>
    </xf>
    <xf numFmtId="193" fontId="3" fillId="0" borderId="0" xfId="0" applyNumberFormat="1" applyFont="1" applyAlignment="1">
      <alignment horizontal="center" vertical="center"/>
    </xf>
    <xf numFmtId="49" fontId="14" fillId="0" borderId="0" xfId="0" applyNumberFormat="1" applyFont="1" applyAlignment="1">
      <alignment horizontal="left" vertical="center" indent="2"/>
    </xf>
    <xf numFmtId="49" fontId="14" fillId="0" borderId="0" xfId="0" applyNumberFormat="1" applyFont="1" applyAlignment="1">
      <alignment vertical="center"/>
    </xf>
    <xf numFmtId="0" fontId="88" fillId="0" borderId="0" xfId="0" applyFont="1" applyAlignment="1">
      <alignment horizontal="left" vertical="center"/>
    </xf>
    <xf numFmtId="0" fontId="88" fillId="0" borderId="0" xfId="0" applyFont="1" applyAlignment="1">
      <alignment vertical="center"/>
    </xf>
    <xf numFmtId="165" fontId="14" fillId="0" borderId="0" xfId="0" applyNumberFormat="1" applyFont="1" applyAlignment="1">
      <alignment vertical="center" wrapText="1"/>
    </xf>
    <xf numFmtId="0" fontId="15" fillId="6" borderId="7" xfId="0" applyFont="1" applyFill="1" applyBorder="1" applyAlignment="1">
      <alignment horizontal="center" vertical="center"/>
    </xf>
    <xf numFmtId="0" fontId="14" fillId="0" borderId="0" xfId="0" applyFont="1" applyAlignment="1">
      <alignment horizontal="right" vertical="top"/>
    </xf>
    <xf numFmtId="0" fontId="0" fillId="0" borderId="103" xfId="0" applyBorder="1" applyAlignment="1">
      <alignment vertical="center"/>
    </xf>
    <xf numFmtId="0" fontId="20" fillId="0" borderId="0" xfId="0" applyFont="1" applyAlignment="1">
      <alignment horizontal="right" vertical="center" indent="1"/>
    </xf>
    <xf numFmtId="0" fontId="109" fillId="0" borderId="0" xfId="0" applyFont="1" applyAlignment="1">
      <alignment vertical="center"/>
    </xf>
    <xf numFmtId="1" fontId="5" fillId="0" borderId="0" xfId="0" applyNumberFormat="1" applyFont="1" applyAlignment="1">
      <alignment vertical="center"/>
    </xf>
    <xf numFmtId="0" fontId="20" fillId="0" borderId="0" xfId="0" applyFont="1" applyAlignment="1">
      <alignment horizontal="center" vertical="top"/>
    </xf>
    <xf numFmtId="9" fontId="3" fillId="0" borderId="0" xfId="0" applyNumberFormat="1" applyFont="1" applyAlignment="1">
      <alignment vertical="center" wrapText="1"/>
    </xf>
    <xf numFmtId="0" fontId="12" fillId="8" borderId="19" xfId="0" applyFont="1" applyFill="1" applyBorder="1" applyAlignment="1">
      <alignment vertical="center"/>
    </xf>
    <xf numFmtId="0" fontId="12" fillId="8" borderId="9" xfId="0" applyFont="1" applyFill="1" applyBorder="1" applyAlignment="1">
      <alignment vertical="center"/>
    </xf>
    <xf numFmtId="0" fontId="12" fillId="8" borderId="9" xfId="0" applyFont="1" applyFill="1" applyBorder="1" applyAlignment="1">
      <alignment horizontal="center" vertical="center"/>
    </xf>
    <xf numFmtId="164" fontId="15" fillId="0" borderId="0" xfId="0" applyNumberFormat="1" applyFont="1" applyAlignment="1">
      <alignment vertical="center"/>
    </xf>
    <xf numFmtId="0" fontId="15" fillId="6" borderId="76" xfId="0" applyFont="1" applyFill="1" applyBorder="1" applyAlignment="1">
      <alignment horizontal="center" vertical="center"/>
    </xf>
    <xf numFmtId="0" fontId="14" fillId="38" borderId="3" xfId="0" applyFont="1" applyFill="1" applyBorder="1" applyAlignment="1">
      <alignment vertical="center"/>
    </xf>
    <xf numFmtId="0" fontId="12" fillId="10" borderId="9" xfId="0" applyFont="1" applyFill="1" applyBorder="1" applyAlignment="1">
      <alignment horizontal="center" vertical="center"/>
    </xf>
    <xf numFmtId="0" fontId="15" fillId="38" borderId="3" xfId="0" applyFont="1" applyFill="1" applyBorder="1" applyAlignment="1">
      <alignment vertical="center"/>
    </xf>
    <xf numFmtId="0" fontId="15"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horizontal="left" vertical="center" indent="1"/>
    </xf>
    <xf numFmtId="0" fontId="3" fillId="0" borderId="0" xfId="0" applyFont="1" applyAlignment="1">
      <alignment horizontal="right" vertical="center" indent="1"/>
    </xf>
    <xf numFmtId="0" fontId="3" fillId="0" borderId="0" xfId="0" applyFont="1" applyAlignment="1">
      <alignment horizontal="right" vertical="center"/>
    </xf>
    <xf numFmtId="193" fontId="13" fillId="21" borderId="0" xfId="0" applyNumberFormat="1" applyFont="1" applyFill="1" applyAlignment="1" applyProtection="1">
      <alignment horizontal="center" vertical="center" wrapText="1"/>
      <protection locked="0"/>
    </xf>
    <xf numFmtId="0" fontId="106" fillId="75" borderId="60" xfId="0" applyFont="1" applyFill="1" applyBorder="1" applyAlignment="1" applyProtection="1">
      <alignment horizontal="center" vertical="center"/>
      <protection locked="0"/>
    </xf>
    <xf numFmtId="0" fontId="88" fillId="75" borderId="60" xfId="0" applyFont="1" applyFill="1" applyBorder="1" applyAlignment="1" applyProtection="1">
      <alignment horizontal="center" vertical="center"/>
      <protection locked="0"/>
    </xf>
    <xf numFmtId="0" fontId="106" fillId="75" borderId="7" xfId="0" applyFont="1" applyFill="1" applyBorder="1" applyAlignment="1" applyProtection="1">
      <alignment horizontal="center" vertical="center"/>
      <protection locked="0"/>
    </xf>
    <xf numFmtId="0" fontId="88" fillId="75" borderId="76" xfId="0" applyFont="1" applyFill="1" applyBorder="1" applyAlignment="1" applyProtection="1">
      <alignment horizontal="center" vertical="center"/>
      <protection locked="0"/>
    </xf>
    <xf numFmtId="0" fontId="17" fillId="76" borderId="7" xfId="0" applyFont="1" applyFill="1" applyBorder="1" applyAlignment="1" applyProtection="1">
      <alignment horizontal="center" vertical="center"/>
      <protection locked="0"/>
    </xf>
    <xf numFmtId="0" fontId="3" fillId="76" borderId="76" xfId="0" applyFont="1" applyFill="1" applyBorder="1" applyAlignment="1" applyProtection="1">
      <alignment horizontal="center" vertical="center"/>
      <protection locked="0"/>
    </xf>
    <xf numFmtId="0" fontId="3" fillId="76" borderId="76" xfId="0" applyFont="1" applyFill="1" applyBorder="1" applyAlignment="1" applyProtection="1">
      <alignment horizontal="left" vertical="top" wrapText="1"/>
      <protection locked="0"/>
    </xf>
    <xf numFmtId="49" fontId="88" fillId="75" borderId="62" xfId="0" applyNumberFormat="1" applyFont="1" applyFill="1" applyBorder="1" applyAlignment="1" applyProtection="1">
      <alignment horizontal="left" vertical="top" wrapText="1" indent="1"/>
      <protection locked="0"/>
    </xf>
    <xf numFmtId="49" fontId="88" fillId="75" borderId="20" xfId="0" applyNumberFormat="1" applyFont="1" applyFill="1" applyBorder="1" applyAlignment="1" applyProtection="1">
      <alignment horizontal="left" vertical="top" wrapText="1" indent="1"/>
      <protection locked="0"/>
    </xf>
    <xf numFmtId="49" fontId="88" fillId="75" borderId="81" xfId="0" applyNumberFormat="1" applyFont="1" applyFill="1" applyBorder="1" applyAlignment="1" applyProtection="1">
      <alignment horizontal="left" vertical="top" wrapText="1" indent="1"/>
      <protection locked="0"/>
    </xf>
    <xf numFmtId="49" fontId="3" fillId="76" borderId="20" xfId="0" applyNumberFormat="1" applyFont="1" applyFill="1" applyBorder="1" applyAlignment="1" applyProtection="1">
      <alignment horizontal="left" vertical="top" wrapText="1" indent="1"/>
      <protection locked="0"/>
    </xf>
    <xf numFmtId="0" fontId="88" fillId="75" borderId="71" xfId="0" applyFont="1" applyFill="1" applyBorder="1" applyAlignment="1" applyProtection="1">
      <alignment horizontal="center" vertical="center"/>
      <protection locked="0"/>
    </xf>
    <xf numFmtId="0" fontId="88" fillId="75" borderId="7" xfId="0" applyFont="1" applyFill="1" applyBorder="1" applyAlignment="1" applyProtection="1">
      <alignment horizontal="center" vertical="center"/>
      <protection locked="0"/>
    </xf>
    <xf numFmtId="0" fontId="88" fillId="78" borderId="7" xfId="0" applyFont="1" applyFill="1" applyBorder="1" applyAlignment="1" applyProtection="1">
      <alignment horizontal="center" vertical="center"/>
      <protection locked="0"/>
    </xf>
    <xf numFmtId="0" fontId="3" fillId="76" borderId="7" xfId="0" applyFont="1" applyFill="1" applyBorder="1" applyAlignment="1" applyProtection="1">
      <alignment horizontal="center" vertical="center"/>
      <protection locked="0"/>
    </xf>
    <xf numFmtId="0" fontId="3" fillId="76" borderId="7" xfId="0" applyFont="1" applyFill="1" applyBorder="1" applyAlignment="1" applyProtection="1">
      <alignment horizontal="center" vertical="center" wrapText="1"/>
      <protection locked="0"/>
    </xf>
    <xf numFmtId="0" fontId="88" fillId="75" borderId="74" xfId="0" applyFont="1" applyFill="1" applyBorder="1" applyAlignment="1" applyProtection="1">
      <alignment horizontal="left" vertical="top" wrapText="1" indent="1"/>
      <protection locked="0"/>
    </xf>
    <xf numFmtId="0" fontId="88" fillId="75" borderId="81" xfId="0" applyFont="1" applyFill="1" applyBorder="1" applyAlignment="1" applyProtection="1">
      <alignment horizontal="left" vertical="top" wrapText="1" indent="1"/>
      <protection locked="0"/>
    </xf>
    <xf numFmtId="0" fontId="3" fillId="76" borderId="9" xfId="0" applyFont="1" applyFill="1" applyBorder="1" applyAlignment="1" applyProtection="1">
      <alignment horizontal="left" vertical="top" wrapText="1" indent="1"/>
      <protection locked="0"/>
    </xf>
    <xf numFmtId="0" fontId="3" fillId="76" borderId="81" xfId="0" applyFont="1" applyFill="1" applyBorder="1" applyAlignment="1" applyProtection="1">
      <alignment horizontal="left" vertical="top" wrapText="1" indent="1"/>
      <protection locked="0"/>
    </xf>
    <xf numFmtId="165" fontId="19" fillId="76" borderId="9" xfId="0" applyNumberFormat="1" applyFont="1" applyFill="1" applyBorder="1" applyAlignment="1" applyProtection="1">
      <alignment horizontal="center" vertical="center"/>
      <protection locked="0"/>
    </xf>
    <xf numFmtId="0" fontId="15" fillId="76" borderId="1" xfId="0" applyFont="1" applyFill="1" applyBorder="1" applyAlignment="1" applyProtection="1">
      <alignment horizontal="center" vertical="center" wrapText="1"/>
      <protection locked="0"/>
    </xf>
    <xf numFmtId="0" fontId="5" fillId="14" borderId="32" xfId="0" applyFont="1" applyFill="1" applyBorder="1" applyAlignment="1">
      <alignment horizontal="center" vertical="center"/>
    </xf>
    <xf numFmtId="169" fontId="5" fillId="14" borderId="34" xfId="0" applyNumberFormat="1" applyFont="1" applyFill="1" applyBorder="1" applyAlignment="1">
      <alignment horizontal="center" vertical="center"/>
    </xf>
    <xf numFmtId="0" fontId="5" fillId="14" borderId="33" xfId="0" applyFont="1" applyFill="1" applyBorder="1" applyAlignment="1">
      <alignment horizontal="center" vertical="center" wrapText="1"/>
    </xf>
    <xf numFmtId="169" fontId="5" fillId="14" borderId="35" xfId="0" applyNumberFormat="1" applyFont="1" applyFill="1" applyBorder="1" applyAlignment="1">
      <alignment horizontal="center" vertical="center"/>
    </xf>
    <xf numFmtId="0" fontId="15" fillId="9" borderId="19" xfId="0" applyFont="1" applyFill="1" applyBorder="1" applyAlignment="1">
      <alignment horizontal="right" vertical="center" indent="1"/>
    </xf>
    <xf numFmtId="0" fontId="83" fillId="9" borderId="19" xfId="0" applyFont="1" applyFill="1" applyBorder="1" applyAlignment="1">
      <alignment horizontal="right" vertical="center" indent="1"/>
    </xf>
    <xf numFmtId="0" fontId="83" fillId="11" borderId="19" xfId="0" applyFont="1" applyFill="1" applyBorder="1" applyAlignment="1">
      <alignment horizontal="right" vertical="center" indent="1"/>
    </xf>
    <xf numFmtId="0" fontId="117" fillId="0" borderId="0" xfId="0" applyFont="1" applyAlignment="1">
      <alignment horizontal="right" vertical="center" indent="1"/>
    </xf>
    <xf numFmtId="0" fontId="100" fillId="0" borderId="0" xfId="0" applyFont="1" applyAlignment="1">
      <alignment horizontal="right" vertical="center" indent="2"/>
    </xf>
    <xf numFmtId="0" fontId="117" fillId="0" borderId="0" xfId="0" applyFont="1" applyAlignment="1">
      <alignment horizontal="right" vertical="center" indent="2"/>
    </xf>
    <xf numFmtId="0" fontId="100" fillId="4" borderId="13" xfId="0" applyFont="1" applyFill="1" applyBorder="1" applyAlignment="1">
      <alignment horizontal="right" vertical="center" indent="1"/>
    </xf>
    <xf numFmtId="0" fontId="117" fillId="0" borderId="15" xfId="0" applyFont="1" applyBorder="1" applyAlignment="1">
      <alignment horizontal="right" vertical="center" indent="1"/>
    </xf>
    <xf numFmtId="1" fontId="117" fillId="4" borderId="11" xfId="0" applyNumberFormat="1" applyFont="1" applyFill="1" applyBorder="1" applyAlignment="1">
      <alignment horizontal="right" vertical="center" indent="1"/>
    </xf>
    <xf numFmtId="0" fontId="117" fillId="63" borderId="19" xfId="0" applyFont="1" applyFill="1" applyBorder="1" applyAlignment="1" applyProtection="1">
      <alignment horizontal="center" vertical="center"/>
      <protection locked="0"/>
    </xf>
    <xf numFmtId="0" fontId="117" fillId="5" borderId="19" xfId="0" applyFont="1" applyFill="1" applyBorder="1" applyAlignment="1" applyProtection="1">
      <alignment horizontal="center" vertical="center"/>
      <protection locked="0"/>
    </xf>
    <xf numFmtId="0" fontId="15" fillId="76" borderId="212" xfId="0" applyFont="1" applyFill="1" applyBorder="1" applyAlignment="1" applyProtection="1">
      <alignment horizontal="left" vertical="center" wrapText="1" indent="1"/>
      <protection locked="0"/>
    </xf>
    <xf numFmtId="0" fontId="15" fillId="76" borderId="91" xfId="0" applyFont="1" applyFill="1" applyBorder="1" applyAlignment="1" applyProtection="1">
      <alignment horizontal="left" vertical="center" wrapText="1" indent="1"/>
      <protection locked="0"/>
    </xf>
    <xf numFmtId="0" fontId="15" fillId="76" borderId="243" xfId="0" applyFont="1" applyFill="1" applyBorder="1" applyAlignment="1" applyProtection="1">
      <alignment horizontal="left" vertical="center" wrapText="1" indent="1"/>
      <protection locked="0"/>
    </xf>
    <xf numFmtId="1" fontId="117" fillId="4" borderId="15" xfId="0" applyNumberFormat="1" applyFont="1" applyFill="1" applyBorder="1" applyAlignment="1">
      <alignment horizontal="right" vertical="center" indent="1"/>
    </xf>
    <xf numFmtId="0" fontId="117" fillId="4" borderId="15" xfId="0" applyFont="1" applyFill="1" applyBorder="1" applyAlignment="1">
      <alignment horizontal="right" vertical="center" indent="1"/>
    </xf>
    <xf numFmtId="0" fontId="20" fillId="0" borderId="12" xfId="0" applyFont="1" applyBorder="1" applyAlignment="1">
      <alignment horizontal="center" vertical="top"/>
    </xf>
    <xf numFmtId="0" fontId="116" fillId="0" borderId="0" xfId="0" applyFont="1" applyAlignment="1">
      <alignment vertical="center" wrapText="1"/>
    </xf>
    <xf numFmtId="49" fontId="21" fillId="77" borderId="1" xfId="3" applyNumberFormat="1" applyFont="1" applyFill="1" applyBorder="1" applyAlignment="1" applyProtection="1">
      <alignment horizontal="center" vertical="center" wrapText="1"/>
      <protection locked="0"/>
    </xf>
    <xf numFmtId="168" fontId="13" fillId="5" borderId="242" xfId="0" applyNumberFormat="1" applyFont="1" applyFill="1" applyBorder="1" applyAlignment="1">
      <alignment horizontal="center" vertical="center" wrapText="1"/>
    </xf>
    <xf numFmtId="168" fontId="13" fillId="5" borderId="19" xfId="3" applyNumberFormat="1" applyFont="1" applyFill="1" applyBorder="1" applyAlignment="1" applyProtection="1">
      <alignment horizontal="center" vertical="center" wrapText="1"/>
    </xf>
    <xf numFmtId="165" fontId="15" fillId="5" borderId="7" xfId="0" applyNumberFormat="1" applyFont="1" applyFill="1" applyBorder="1" applyAlignment="1" applyProtection="1">
      <alignment vertical="center" wrapText="1"/>
      <protection locked="0"/>
    </xf>
    <xf numFmtId="192" fontId="117" fillId="63" borderId="7" xfId="0" applyNumberFormat="1" applyFont="1" applyFill="1" applyBorder="1" applyAlignment="1" applyProtection="1">
      <alignment horizontal="left" vertical="center" wrapText="1" indent="1"/>
      <protection locked="0"/>
    </xf>
    <xf numFmtId="165" fontId="117" fillId="5" borderId="7" xfId="0" applyNumberFormat="1" applyFont="1" applyFill="1" applyBorder="1" applyAlignment="1" applyProtection="1">
      <alignment horizontal="left" vertical="center" wrapText="1" indent="1"/>
      <protection locked="0"/>
    </xf>
    <xf numFmtId="165" fontId="100" fillId="15" borderId="7" xfId="0" applyNumberFormat="1" applyFont="1" applyFill="1" applyBorder="1" applyAlignment="1">
      <alignment horizontal="left" vertical="center" wrapText="1" indent="1"/>
    </xf>
    <xf numFmtId="0" fontId="117" fillId="0" borderId="10" xfId="0" applyFont="1" applyBorder="1" applyAlignment="1">
      <alignment horizontal="right" vertical="center" wrapText="1" indent="1"/>
    </xf>
    <xf numFmtId="165" fontId="15" fillId="5" borderId="18" xfId="0" applyNumberFormat="1" applyFont="1" applyFill="1" applyBorder="1" applyAlignment="1" applyProtection="1">
      <alignment horizontal="right" vertical="center" wrapText="1" indent="1"/>
      <protection locked="0"/>
    </xf>
    <xf numFmtId="165" fontId="15" fillId="5" borderId="21" xfId="0" applyNumberFormat="1" applyFont="1" applyFill="1" applyBorder="1" applyAlignment="1" applyProtection="1">
      <alignment horizontal="right" vertical="center" wrapText="1" indent="1"/>
      <protection locked="0"/>
    </xf>
    <xf numFmtId="165" fontId="15" fillId="5" borderId="21" xfId="1" applyNumberFormat="1" applyFont="1" applyFill="1" applyBorder="1" applyAlignment="1" applyProtection="1">
      <alignment horizontal="right" vertical="center" wrapText="1" indent="1"/>
      <protection locked="0"/>
    </xf>
    <xf numFmtId="165" fontId="15" fillId="5" borderId="171" xfId="0" applyNumberFormat="1" applyFont="1" applyFill="1" applyBorder="1" applyAlignment="1" applyProtection="1">
      <alignment horizontal="right" vertical="center" wrapText="1" indent="1"/>
      <protection locked="0"/>
    </xf>
    <xf numFmtId="165" fontId="15" fillId="5" borderId="169" xfId="0" applyNumberFormat="1" applyFont="1" applyFill="1" applyBorder="1" applyAlignment="1" applyProtection="1">
      <alignment horizontal="right" vertical="center" wrapText="1" indent="1"/>
      <protection locked="0"/>
    </xf>
    <xf numFmtId="165" fontId="15" fillId="5" borderId="23" xfId="0" applyNumberFormat="1" applyFont="1" applyFill="1" applyBorder="1" applyAlignment="1" applyProtection="1">
      <alignment horizontal="right" vertical="center" wrapText="1" indent="1"/>
      <protection locked="0"/>
    </xf>
    <xf numFmtId="0" fontId="15" fillId="38" borderId="42" xfId="0" applyFont="1" applyFill="1" applyBorder="1" applyAlignment="1">
      <alignment horizontal="right" vertical="center"/>
    </xf>
    <xf numFmtId="0" fontId="91" fillId="38" borderId="0" xfId="0" applyFont="1" applyFill="1" applyAlignment="1">
      <alignment horizontal="center" vertical="center"/>
    </xf>
    <xf numFmtId="0" fontId="0" fillId="38" borderId="0" xfId="0" applyFill="1" applyAlignment="1">
      <alignment vertical="center"/>
    </xf>
    <xf numFmtId="0" fontId="14" fillId="38" borderId="0" xfId="0" applyFont="1" applyFill="1" applyAlignment="1">
      <alignment vertical="center"/>
    </xf>
    <xf numFmtId="0" fontId="89" fillId="38" borderId="42" xfId="0" applyFont="1" applyFill="1" applyBorder="1" applyAlignment="1">
      <alignment vertical="center" textRotation="90"/>
    </xf>
    <xf numFmtId="0" fontId="3" fillId="0" borderId="0" xfId="0" applyFont="1" applyAlignment="1">
      <alignment horizontal="center"/>
    </xf>
    <xf numFmtId="0" fontId="16" fillId="0" borderId="0" xfId="0" applyFont="1" applyAlignment="1">
      <alignment vertical="center"/>
    </xf>
    <xf numFmtId="0" fontId="40" fillId="0" borderId="0" xfId="0" applyFont="1" applyAlignment="1">
      <alignment vertical="top" wrapText="1"/>
    </xf>
    <xf numFmtId="0" fontId="41" fillId="0" borderId="0" xfId="0" applyFont="1" applyAlignment="1">
      <alignment vertical="top" wrapText="1"/>
    </xf>
    <xf numFmtId="176" fontId="42" fillId="0" borderId="0" xfId="0" applyNumberFormat="1" applyFont="1" applyAlignment="1">
      <alignment vertical="top"/>
    </xf>
    <xf numFmtId="177" fontId="3" fillId="0" borderId="0" xfId="0" applyNumberFormat="1" applyFont="1" applyAlignment="1">
      <alignment vertical="center"/>
    </xf>
    <xf numFmtId="0" fontId="32" fillId="0" borderId="0" xfId="0" applyFont="1" applyAlignment="1">
      <alignment vertical="top" wrapText="1"/>
    </xf>
    <xf numFmtId="178" fontId="3" fillId="0" borderId="0" xfId="0" applyNumberFormat="1" applyFont="1" applyAlignment="1">
      <alignment vertical="center"/>
    </xf>
    <xf numFmtId="0" fontId="23" fillId="0" borderId="0" xfId="0" applyFont="1" applyAlignment="1">
      <alignment vertical="center" wrapText="1"/>
    </xf>
    <xf numFmtId="0" fontId="9" fillId="15" borderId="7" xfId="0" applyFont="1" applyFill="1" applyBorder="1" applyAlignment="1">
      <alignment horizontal="center" vertical="center"/>
    </xf>
    <xf numFmtId="0" fontId="9" fillId="9" borderId="7" xfId="0" applyFont="1" applyFill="1" applyBorder="1" applyAlignment="1">
      <alignment horizontal="center" vertical="center"/>
    </xf>
    <xf numFmtId="193" fontId="44" fillId="0" borderId="20" xfId="0" applyNumberFormat="1" applyFont="1" applyBorder="1" applyAlignment="1">
      <alignment horizontal="left" vertical="center"/>
    </xf>
    <xf numFmtId="165" fontId="14" fillId="24" borderId="7" xfId="0" applyNumberFormat="1" applyFont="1" applyFill="1" applyBorder="1" applyAlignment="1">
      <alignment vertical="center"/>
    </xf>
    <xf numFmtId="0" fontId="44" fillId="0" borderId="19" xfId="0" applyFont="1" applyBorder="1" applyAlignment="1">
      <alignment horizontal="right" vertical="center" indent="1"/>
    </xf>
    <xf numFmtId="173" fontId="3" fillId="0" borderId="0" xfId="0" applyNumberFormat="1" applyFont="1" applyAlignment="1">
      <alignment vertical="center"/>
    </xf>
    <xf numFmtId="0" fontId="17" fillId="0" borderId="0" xfId="0" applyFont="1" applyAlignment="1">
      <alignment horizontal="right" vertical="center"/>
    </xf>
    <xf numFmtId="165" fontId="14" fillId="0" borderId="0" xfId="0" applyNumberFormat="1" applyFont="1" applyAlignment="1">
      <alignment vertical="center"/>
    </xf>
    <xf numFmtId="0" fontId="14" fillId="25" borderId="0" xfId="0" applyFont="1" applyFill="1" applyAlignment="1">
      <alignment vertical="center"/>
    </xf>
    <xf numFmtId="165" fontId="0" fillId="0" borderId="0" xfId="0" applyNumberFormat="1" applyAlignment="1">
      <alignment vertical="center"/>
    </xf>
    <xf numFmtId="165" fontId="12" fillId="24" borderId="132" xfId="0" applyNumberFormat="1" applyFont="1" applyFill="1" applyBorder="1" applyAlignment="1">
      <alignment vertical="center"/>
    </xf>
    <xf numFmtId="0" fontId="17" fillId="0" borderId="58" xfId="0" applyFont="1" applyBorder="1" applyAlignment="1">
      <alignment vertical="center"/>
    </xf>
    <xf numFmtId="165" fontId="17" fillId="0" borderId="0" xfId="0" applyNumberFormat="1" applyFont="1" applyAlignment="1">
      <alignment vertical="center"/>
    </xf>
    <xf numFmtId="164" fontId="28" fillId="12" borderId="133" xfId="0" applyNumberFormat="1" applyFont="1" applyFill="1" applyBorder="1" applyAlignment="1">
      <alignment vertical="center"/>
    </xf>
    <xf numFmtId="165" fontId="14" fillId="24" borderId="132" xfId="0" applyNumberFormat="1" applyFont="1" applyFill="1" applyBorder="1" applyAlignment="1">
      <alignment vertical="center"/>
    </xf>
    <xf numFmtId="166" fontId="3" fillId="9" borderId="17" xfId="0" applyNumberFormat="1" applyFont="1" applyFill="1" applyBorder="1" applyAlignment="1">
      <alignment horizontal="center" vertical="center"/>
    </xf>
    <xf numFmtId="0" fontId="3" fillId="9" borderId="41" xfId="0" applyFont="1" applyFill="1" applyBorder="1" applyAlignment="1">
      <alignment horizontal="center" vertical="center"/>
    </xf>
    <xf numFmtId="1" fontId="14" fillId="0" borderId="7" xfId="0" applyNumberFormat="1" applyFont="1" applyBorder="1" applyAlignment="1">
      <alignment horizontal="center" vertical="center"/>
    </xf>
    <xf numFmtId="165" fontId="12" fillId="0" borderId="0" xfId="0" applyNumberFormat="1" applyFont="1" applyAlignment="1">
      <alignment vertical="center"/>
    </xf>
    <xf numFmtId="1" fontId="3" fillId="0" borderId="0" xfId="0" applyNumberFormat="1" applyFont="1" applyAlignment="1">
      <alignment horizontal="center" vertical="center"/>
    </xf>
    <xf numFmtId="0" fontId="21" fillId="0" borderId="0" xfId="0" applyFont="1" applyAlignment="1">
      <alignment horizontal="center"/>
    </xf>
    <xf numFmtId="0" fontId="21" fillId="0" borderId="0" xfId="0" applyFont="1" applyAlignment="1">
      <alignment horizontal="left" indent="2"/>
    </xf>
    <xf numFmtId="0" fontId="3" fillId="0" borderId="0" xfId="0" applyFont="1" applyAlignment="1">
      <alignment horizontal="left" indent="1"/>
    </xf>
    <xf numFmtId="0" fontId="84" fillId="0" borderId="0" xfId="0" applyFont="1" applyAlignment="1">
      <alignment horizontal="left" vertical="top" wrapText="1" indent="1"/>
    </xf>
    <xf numFmtId="0" fontId="58" fillId="24" borderId="7" xfId="0" applyFont="1" applyFill="1" applyBorder="1" applyAlignment="1">
      <alignment horizontal="center" vertical="center" wrapText="1"/>
    </xf>
    <xf numFmtId="0" fontId="18" fillId="24" borderId="7" xfId="0" applyFont="1" applyFill="1" applyBorder="1" applyAlignment="1">
      <alignment horizontal="center" vertical="center" wrapText="1"/>
    </xf>
    <xf numFmtId="0" fontId="0" fillId="2" borderId="46" xfId="0" applyFill="1" applyBorder="1"/>
    <xf numFmtId="0" fontId="0" fillId="2" borderId="0" xfId="0" applyFill="1"/>
    <xf numFmtId="164" fontId="0" fillId="2" borderId="0" xfId="0" applyNumberFormat="1" applyFill="1"/>
    <xf numFmtId="164" fontId="0" fillId="2" borderId="24" xfId="0" applyNumberFormat="1" applyFill="1" applyBorder="1"/>
    <xf numFmtId="0" fontId="14" fillId="0" borderId="7" xfId="0" applyFont="1" applyBorder="1" applyAlignment="1">
      <alignment horizontal="right" vertical="center"/>
    </xf>
    <xf numFmtId="168" fontId="14" fillId="0" borderId="7" xfId="0" applyNumberFormat="1" applyFont="1" applyBorder="1" applyAlignment="1">
      <alignment vertical="center"/>
    </xf>
    <xf numFmtId="164" fontId="14" fillId="14" borderId="7" xfId="0" applyNumberFormat="1" applyFont="1" applyFill="1" applyBorder="1" applyAlignment="1">
      <alignment vertical="center"/>
    </xf>
    <xf numFmtId="0" fontId="14" fillId="2" borderId="7" xfId="0" applyFont="1" applyFill="1" applyBorder="1" applyAlignment="1">
      <alignment horizontal="right" vertical="center"/>
    </xf>
    <xf numFmtId="165" fontId="14" fillId="2" borderId="7" xfId="0" applyNumberFormat="1" applyFont="1" applyFill="1" applyBorder="1" applyAlignment="1">
      <alignment vertical="center"/>
    </xf>
    <xf numFmtId="164" fontId="14" fillId="2" borderId="7" xfId="0" applyNumberFormat="1" applyFont="1" applyFill="1" applyBorder="1" applyAlignment="1">
      <alignment vertical="center"/>
    </xf>
    <xf numFmtId="168" fontId="14" fillId="2" borderId="7" xfId="0" applyNumberFormat="1" applyFont="1" applyFill="1" applyBorder="1" applyAlignment="1">
      <alignment vertical="center"/>
    </xf>
    <xf numFmtId="0" fontId="14" fillId="2" borderId="7" xfId="0" applyFont="1" applyFill="1" applyBorder="1" applyAlignment="1">
      <alignment vertical="center"/>
    </xf>
    <xf numFmtId="0" fontId="0" fillId="2" borderId="163" xfId="0" applyFill="1" applyBorder="1"/>
    <xf numFmtId="0" fontId="0" fillId="2" borderId="37" xfId="0" applyFill="1" applyBorder="1"/>
    <xf numFmtId="0" fontId="0" fillId="2" borderId="164" xfId="0" applyFill="1" applyBorder="1"/>
    <xf numFmtId="0" fontId="18" fillId="24" borderId="7" xfId="0" applyFont="1" applyFill="1" applyBorder="1" applyAlignment="1">
      <alignment horizontal="right" vertical="center" wrapText="1" indent="1"/>
    </xf>
    <xf numFmtId="0" fontId="0" fillId="2" borderId="7" xfId="0" applyFill="1" applyBorder="1"/>
    <xf numFmtId="9" fontId="14" fillId="0" borderId="7" xfId="0" applyNumberFormat="1" applyFont="1" applyBorder="1" applyAlignment="1">
      <alignment horizontal="center" vertical="center"/>
    </xf>
    <xf numFmtId="165" fontId="14" fillId="0" borderId="7" xfId="0" applyNumberFormat="1" applyFont="1" applyBorder="1" applyAlignment="1">
      <alignment horizontal="right" vertical="center"/>
    </xf>
    <xf numFmtId="0" fontId="14" fillId="2" borderId="7" xfId="0" applyFont="1" applyFill="1" applyBorder="1" applyAlignment="1">
      <alignment horizontal="center" vertical="center"/>
    </xf>
    <xf numFmtId="165" fontId="14" fillId="2" borderId="7" xfId="0" applyNumberFormat="1" applyFont="1" applyFill="1" applyBorder="1" applyAlignment="1">
      <alignment horizontal="right" vertical="center"/>
    </xf>
    <xf numFmtId="165" fontId="0" fillId="2" borderId="7" xfId="0" applyNumberFormat="1" applyFill="1" applyBorder="1"/>
    <xf numFmtId="164" fontId="21" fillId="0" borderId="7" xfId="0" applyNumberFormat="1" applyFont="1" applyBorder="1" applyAlignment="1">
      <alignment horizontal="center"/>
    </xf>
    <xf numFmtId="165" fontId="21" fillId="0" borderId="7" xfId="0" applyNumberFormat="1" applyFont="1" applyBorder="1"/>
    <xf numFmtId="0" fontId="58" fillId="28" borderId="7" xfId="0" applyFont="1" applyFill="1" applyBorder="1" applyAlignment="1">
      <alignment horizontal="center" vertical="center" wrapText="1"/>
    </xf>
    <xf numFmtId="0" fontId="18" fillId="28" borderId="7" xfId="0" applyFont="1" applyFill="1" applyBorder="1" applyAlignment="1">
      <alignment horizontal="center" vertical="center" wrapText="1"/>
    </xf>
    <xf numFmtId="164" fontId="0" fillId="2" borderId="7" xfId="0" applyNumberFormat="1" applyFill="1" applyBorder="1"/>
    <xf numFmtId="0" fontId="18" fillId="28" borderId="7" xfId="0" applyFont="1" applyFill="1" applyBorder="1" applyAlignment="1">
      <alignment horizontal="right" vertical="center" wrapText="1" indent="1"/>
    </xf>
    <xf numFmtId="164" fontId="14" fillId="2" borderId="7" xfId="0" applyNumberFormat="1" applyFont="1" applyFill="1" applyBorder="1" applyAlignment="1">
      <alignment horizontal="right" vertical="center"/>
    </xf>
    <xf numFmtId="0" fontId="85" fillId="0" borderId="0" xfId="0" applyFont="1"/>
    <xf numFmtId="0" fontId="58" fillId="11" borderId="7"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7" xfId="0" applyFont="1" applyFill="1" applyBorder="1" applyAlignment="1">
      <alignment horizontal="right" vertical="center" wrapText="1" indent="1"/>
    </xf>
    <xf numFmtId="0" fontId="58" fillId="19" borderId="7" xfId="0" applyFont="1" applyFill="1" applyBorder="1" applyAlignment="1">
      <alignment horizontal="center" vertical="center" wrapText="1"/>
    </xf>
    <xf numFmtId="0" fontId="18" fillId="19" borderId="7" xfId="0" applyFont="1" applyFill="1" applyBorder="1" applyAlignment="1">
      <alignment horizontal="center" vertical="center" wrapText="1"/>
    </xf>
    <xf numFmtId="0" fontId="18" fillId="19" borderId="7" xfId="0" applyFont="1" applyFill="1" applyBorder="1" applyAlignment="1">
      <alignment horizontal="right" vertical="center" wrapText="1" indent="1"/>
    </xf>
    <xf numFmtId="0" fontId="58" fillId="34" borderId="7" xfId="0" applyFont="1" applyFill="1" applyBorder="1" applyAlignment="1">
      <alignment horizontal="center" vertical="center" wrapText="1"/>
    </xf>
    <xf numFmtId="0" fontId="18" fillId="34" borderId="7" xfId="0" applyFont="1" applyFill="1" applyBorder="1" applyAlignment="1">
      <alignment horizontal="center" vertical="center" wrapText="1"/>
    </xf>
    <xf numFmtId="0" fontId="18" fillId="34" borderId="7" xfId="0" applyFont="1" applyFill="1" applyBorder="1" applyAlignment="1">
      <alignment horizontal="right" vertical="center" wrapText="1" indent="1"/>
    </xf>
    <xf numFmtId="0" fontId="17" fillId="13" borderId="105" xfId="0" applyFont="1" applyFill="1" applyBorder="1" applyAlignment="1">
      <alignment horizontal="right" vertical="center" indent="1"/>
    </xf>
    <xf numFmtId="9" fontId="0" fillId="5" borderId="28" xfId="0" applyNumberFormat="1" applyFill="1" applyBorder="1" applyAlignment="1">
      <alignment horizontal="left" vertical="center" indent="1"/>
    </xf>
    <xf numFmtId="0" fontId="17" fillId="13" borderId="165" xfId="0" applyFont="1" applyFill="1" applyBorder="1" applyAlignment="1">
      <alignment horizontal="right" vertical="center" indent="1"/>
    </xf>
    <xf numFmtId="9" fontId="0" fillId="5" borderId="147" xfId="0" applyNumberFormat="1" applyFill="1" applyBorder="1" applyAlignment="1">
      <alignment horizontal="left" vertical="center" indent="1"/>
    </xf>
    <xf numFmtId="0" fontId="17" fillId="13" borderId="78" xfId="0" applyFont="1" applyFill="1" applyBorder="1" applyAlignment="1">
      <alignment horizontal="right" vertical="center" indent="1"/>
    </xf>
    <xf numFmtId="0" fontId="17" fillId="13" borderId="166" xfId="0" applyFont="1" applyFill="1" applyBorder="1" applyAlignment="1">
      <alignment horizontal="right" vertical="center" indent="1"/>
    </xf>
    <xf numFmtId="0" fontId="17" fillId="13" borderId="151" xfId="0" applyFont="1" applyFill="1" applyBorder="1" applyAlignment="1">
      <alignment horizontal="right" vertical="center" indent="1"/>
    </xf>
    <xf numFmtId="0" fontId="17" fillId="13" borderId="167" xfId="0" applyFont="1" applyFill="1" applyBorder="1" applyAlignment="1">
      <alignment horizontal="right" indent="1"/>
    </xf>
    <xf numFmtId="168" fontId="0" fillId="5" borderId="147" xfId="0" applyNumberFormat="1" applyFill="1" applyBorder="1" applyAlignment="1">
      <alignment horizontal="left" vertical="center" indent="1"/>
    </xf>
    <xf numFmtId="168" fontId="0" fillId="5" borderId="28" xfId="0" applyNumberFormat="1" applyFill="1" applyBorder="1" applyAlignment="1">
      <alignment horizontal="left" vertical="center" indent="1"/>
    </xf>
    <xf numFmtId="0" fontId="106" fillId="0" borderId="0" xfId="0" applyFont="1" applyAlignment="1">
      <alignment vertical="center" wrapText="1"/>
    </xf>
    <xf numFmtId="0" fontId="120" fillId="0" borderId="0" xfId="0" applyFont="1" applyAlignment="1">
      <alignment horizontal="center" vertical="center" wrapText="1"/>
    </xf>
    <xf numFmtId="0" fontId="100" fillId="0" borderId="249" xfId="0" applyFont="1" applyBorder="1" applyAlignment="1">
      <alignment horizontal="right" vertical="center" wrapText="1"/>
    </xf>
    <xf numFmtId="193" fontId="117" fillId="5" borderId="7" xfId="0" applyNumberFormat="1" applyFont="1" applyFill="1" applyBorder="1" applyAlignment="1" applyProtection="1">
      <alignment horizontal="center" vertical="center" wrapText="1"/>
      <protection locked="0"/>
    </xf>
    <xf numFmtId="165" fontId="14" fillId="5" borderId="63" xfId="0" applyNumberFormat="1" applyFont="1" applyFill="1" applyBorder="1" applyAlignment="1" applyProtection="1">
      <alignment vertical="center"/>
      <protection locked="0"/>
    </xf>
    <xf numFmtId="165" fontId="14" fillId="5" borderId="145" xfId="0" applyNumberFormat="1" applyFont="1" applyFill="1" applyBorder="1" applyAlignment="1" applyProtection="1">
      <alignment vertical="center"/>
      <protection locked="0"/>
    </xf>
    <xf numFmtId="165" fontId="14" fillId="5" borderId="143" xfId="0" applyNumberFormat="1" applyFont="1" applyFill="1" applyBorder="1" applyAlignment="1" applyProtection="1">
      <alignment vertical="center"/>
      <protection locked="0"/>
    </xf>
    <xf numFmtId="165" fontId="14" fillId="5" borderId="147" xfId="0" applyNumberFormat="1" applyFont="1" applyFill="1" applyBorder="1" applyAlignment="1" applyProtection="1">
      <alignment vertical="center"/>
      <protection locked="0"/>
    </xf>
    <xf numFmtId="49" fontId="14" fillId="80" borderId="60" xfId="0" applyNumberFormat="1" applyFont="1" applyFill="1" applyBorder="1" applyAlignment="1" applyProtection="1">
      <alignment horizontal="left" vertical="center" indent="1"/>
      <protection locked="0"/>
    </xf>
    <xf numFmtId="49" fontId="14" fillId="80" borderId="36" xfId="0" applyNumberFormat="1" applyFont="1" applyFill="1" applyBorder="1" applyAlignment="1" applyProtection="1">
      <alignment horizontal="left" vertical="center" indent="1"/>
      <protection locked="0"/>
    </xf>
    <xf numFmtId="49" fontId="14" fillId="80" borderId="7" xfId="0" applyNumberFormat="1" applyFont="1" applyFill="1" applyBorder="1" applyAlignment="1" applyProtection="1">
      <alignment horizontal="left" vertical="center" indent="1"/>
      <protection locked="0"/>
    </xf>
    <xf numFmtId="49" fontId="14" fillId="80" borderId="17" xfId="0" applyNumberFormat="1" applyFont="1" applyFill="1" applyBorder="1" applyAlignment="1" applyProtection="1">
      <alignment horizontal="left" vertical="center" indent="1"/>
      <protection locked="0"/>
    </xf>
    <xf numFmtId="49" fontId="14" fillId="80" borderId="76" xfId="0" applyNumberFormat="1" applyFont="1" applyFill="1" applyBorder="1" applyAlignment="1" applyProtection="1">
      <alignment horizontal="left" vertical="center" indent="1"/>
      <protection locked="0"/>
    </xf>
    <xf numFmtId="49" fontId="14" fillId="80" borderId="146" xfId="0" applyNumberFormat="1" applyFont="1" applyFill="1" applyBorder="1" applyAlignment="1" applyProtection="1">
      <alignment horizontal="left" vertical="center" indent="1"/>
      <protection locked="0"/>
    </xf>
    <xf numFmtId="165" fontId="14" fillId="81" borderId="60" xfId="0" applyNumberFormat="1" applyFont="1" applyFill="1" applyBorder="1" applyAlignment="1">
      <alignment vertical="center"/>
    </xf>
    <xf numFmtId="165" fontId="14" fillId="82" borderId="60" xfId="0" applyNumberFormat="1" applyFont="1" applyFill="1" applyBorder="1" applyAlignment="1">
      <alignment horizontal="left" vertical="center"/>
    </xf>
    <xf numFmtId="165" fontId="14" fillId="81" borderId="36" xfId="0" applyNumberFormat="1" applyFont="1" applyFill="1" applyBorder="1" applyAlignment="1">
      <alignment vertical="center"/>
    </xf>
    <xf numFmtId="165" fontId="14" fillId="82" borderId="36" xfId="0" applyNumberFormat="1" applyFont="1" applyFill="1" applyBorder="1" applyAlignment="1">
      <alignment horizontal="left" vertical="center"/>
    </xf>
    <xf numFmtId="165" fontId="14" fillId="82" borderId="7" xfId="0" applyNumberFormat="1" applyFont="1" applyFill="1" applyBorder="1" applyAlignment="1">
      <alignment horizontal="left" vertical="center"/>
    </xf>
    <xf numFmtId="165" fontId="14" fillId="81" borderId="17" xfId="0" applyNumberFormat="1" applyFont="1" applyFill="1" applyBorder="1" applyAlignment="1">
      <alignment vertical="center"/>
    </xf>
    <xf numFmtId="165" fontId="14" fillId="82" borderId="17" xfId="0" applyNumberFormat="1" applyFont="1" applyFill="1" applyBorder="1" applyAlignment="1">
      <alignment horizontal="left" vertical="center"/>
    </xf>
    <xf numFmtId="165" fontId="14" fillId="81" borderId="41" xfId="0" applyNumberFormat="1" applyFont="1" applyFill="1" applyBorder="1" applyAlignment="1">
      <alignment vertical="center"/>
    </xf>
    <xf numFmtId="165" fontId="14" fillId="82" borderId="76" xfId="0" applyNumberFormat="1" applyFont="1" applyFill="1" applyBorder="1" applyAlignment="1">
      <alignment horizontal="left" vertical="center"/>
    </xf>
    <xf numFmtId="165" fontId="14" fillId="81" borderId="7" xfId="0" applyNumberFormat="1" applyFont="1" applyFill="1" applyBorder="1" applyAlignment="1">
      <alignment vertical="center"/>
    </xf>
    <xf numFmtId="165" fontId="14" fillId="82" borderId="143" xfId="0" applyNumberFormat="1" applyFont="1" applyFill="1" applyBorder="1" applyAlignment="1">
      <alignment vertical="center"/>
    </xf>
    <xf numFmtId="165" fontId="14" fillId="82" borderId="84" xfId="0" applyNumberFormat="1" applyFont="1" applyFill="1" applyBorder="1" applyAlignment="1">
      <alignment vertical="center"/>
    </xf>
    <xf numFmtId="165" fontId="14" fillId="82" borderId="63" xfId="0" applyNumberFormat="1" applyFont="1" applyFill="1" applyBorder="1" applyAlignment="1">
      <alignment vertical="center"/>
    </xf>
    <xf numFmtId="165" fontId="14" fillId="82" borderId="145" xfId="0" applyNumberFormat="1" applyFont="1" applyFill="1" applyBorder="1" applyAlignment="1">
      <alignment vertical="center"/>
    </xf>
    <xf numFmtId="165" fontId="14" fillId="82" borderId="147" xfId="0" applyNumberFormat="1" applyFont="1" applyFill="1" applyBorder="1" applyAlignment="1">
      <alignment vertical="center"/>
    </xf>
    <xf numFmtId="165" fontId="14" fillId="82" borderId="123" xfId="0" applyNumberFormat="1" applyFont="1" applyFill="1" applyBorder="1" applyAlignment="1">
      <alignment horizontal="left" vertical="center"/>
    </xf>
    <xf numFmtId="165" fontId="14" fillId="82" borderId="93" xfId="0" applyNumberFormat="1" applyFont="1" applyFill="1" applyBorder="1" applyAlignment="1">
      <alignment vertical="center"/>
    </xf>
    <xf numFmtId="165" fontId="14" fillId="82" borderId="104" xfId="0" applyNumberFormat="1" applyFont="1" applyFill="1" applyBorder="1" applyAlignment="1">
      <alignment horizontal="left" vertical="center"/>
    </xf>
    <xf numFmtId="165" fontId="14" fillId="82" borderId="195" xfId="0" applyNumberFormat="1" applyFont="1" applyFill="1" applyBorder="1" applyAlignment="1">
      <alignment horizontal="left" vertical="center"/>
    </xf>
    <xf numFmtId="165" fontId="14" fillId="82" borderId="63" xfId="0" applyNumberFormat="1" applyFont="1" applyFill="1" applyBorder="1" applyAlignment="1">
      <alignment horizontal="left" vertical="center"/>
    </xf>
    <xf numFmtId="165" fontId="14" fillId="82" borderId="145" xfId="0" applyNumberFormat="1" applyFont="1" applyFill="1" applyBorder="1" applyAlignment="1">
      <alignment horizontal="left" vertical="center"/>
    </xf>
    <xf numFmtId="165" fontId="14" fillId="82" borderId="146" xfId="0" applyNumberFormat="1" applyFont="1" applyFill="1" applyBorder="1" applyAlignment="1">
      <alignment horizontal="left" vertical="center"/>
    </xf>
    <xf numFmtId="165" fontId="14" fillId="82" borderId="150" xfId="0" applyNumberFormat="1" applyFont="1" applyFill="1" applyBorder="1" applyAlignment="1">
      <alignment vertical="center"/>
    </xf>
    <xf numFmtId="165" fontId="14" fillId="83" borderId="60" xfId="0" applyNumberFormat="1" applyFont="1" applyFill="1" applyBorder="1" applyAlignment="1">
      <alignment horizontal="left" vertical="center"/>
    </xf>
    <xf numFmtId="0" fontId="14" fillId="84" borderId="7" xfId="0" applyFont="1" applyFill="1" applyBorder="1" applyAlignment="1">
      <alignment horizontal="center" vertical="center" wrapText="1"/>
    </xf>
    <xf numFmtId="0" fontId="14" fillId="84" borderId="7" xfId="0" applyFont="1" applyFill="1" applyBorder="1" applyAlignment="1">
      <alignment horizontal="left" vertical="center" wrapText="1" indent="1"/>
    </xf>
    <xf numFmtId="0" fontId="3" fillId="84" borderId="19" xfId="0" applyFont="1" applyFill="1" applyBorder="1" applyAlignment="1">
      <alignment horizontal="left" vertical="center" wrapText="1" indent="1"/>
    </xf>
    <xf numFmtId="0" fontId="14" fillId="84" borderId="36" xfId="0" applyFont="1" applyFill="1" applyBorder="1" applyAlignment="1">
      <alignment horizontal="center" vertical="center" wrapText="1"/>
    </xf>
    <xf numFmtId="0" fontId="14" fillId="84" borderId="36" xfId="0" applyFont="1" applyFill="1" applyBorder="1" applyAlignment="1">
      <alignment horizontal="left" vertical="center" wrapText="1" indent="1"/>
    </xf>
    <xf numFmtId="0" fontId="3" fillId="84" borderId="144" xfId="0" applyFont="1" applyFill="1" applyBorder="1" applyAlignment="1">
      <alignment horizontal="left" vertical="center" wrapText="1" indent="1"/>
    </xf>
    <xf numFmtId="0" fontId="45" fillId="84" borderId="19" xfId="0" applyFont="1" applyFill="1" applyBorder="1" applyAlignment="1">
      <alignment horizontal="left" vertical="center" wrapText="1" indent="1"/>
    </xf>
    <xf numFmtId="0" fontId="14" fillId="84" borderId="123" xfId="0" applyFont="1" applyFill="1" applyBorder="1" applyAlignment="1">
      <alignment horizontal="center" vertical="center" wrapText="1"/>
    </xf>
    <xf numFmtId="0" fontId="14" fillId="84" borderId="123" xfId="0" applyFont="1" applyFill="1" applyBorder="1" applyAlignment="1">
      <alignment horizontal="left" vertical="center" wrapText="1" indent="1"/>
    </xf>
    <xf numFmtId="0" fontId="45" fillId="84" borderId="198" xfId="0" applyFont="1" applyFill="1" applyBorder="1" applyAlignment="1">
      <alignment horizontal="left" vertical="center" wrapText="1" indent="1"/>
    </xf>
    <xf numFmtId="0" fontId="3" fillId="84" borderId="7" xfId="0" applyFont="1" applyFill="1" applyBorder="1" applyAlignment="1">
      <alignment horizontal="left" vertical="center" wrapText="1" indent="1"/>
    </xf>
    <xf numFmtId="0" fontId="3" fillId="84" borderId="123" xfId="0" applyFont="1" applyFill="1" applyBorder="1" applyAlignment="1">
      <alignment horizontal="left" vertical="center" wrapText="1" indent="1"/>
    </xf>
    <xf numFmtId="0" fontId="14" fillId="84" borderId="76" xfId="0" applyFont="1" applyFill="1" applyBorder="1" applyAlignment="1">
      <alignment horizontal="center" vertical="center" wrapText="1"/>
    </xf>
    <xf numFmtId="0" fontId="14" fillId="84" borderId="76" xfId="0" applyFont="1" applyFill="1" applyBorder="1" applyAlignment="1">
      <alignment horizontal="left" vertical="center" wrapText="1" indent="1"/>
    </xf>
    <xf numFmtId="0" fontId="3" fillId="84" borderId="83" xfId="0" applyFont="1" applyFill="1" applyBorder="1" applyAlignment="1">
      <alignment horizontal="left" vertical="center" wrapText="1" indent="1"/>
    </xf>
    <xf numFmtId="165" fontId="14" fillId="83" borderId="60" xfId="0" applyNumberFormat="1" applyFont="1" applyFill="1" applyBorder="1" applyAlignment="1">
      <alignment vertical="center"/>
    </xf>
    <xf numFmtId="165" fontId="14" fillId="83" borderId="143" xfId="0" applyNumberFormat="1" applyFont="1" applyFill="1" applyBorder="1" applyAlignment="1">
      <alignment vertical="center"/>
    </xf>
    <xf numFmtId="165" fontId="14" fillId="83" borderId="142" xfId="0" applyNumberFormat="1" applyFont="1" applyFill="1" applyBorder="1" applyAlignment="1">
      <alignment vertical="center"/>
    </xf>
    <xf numFmtId="165" fontId="14" fillId="83" borderId="142" xfId="0" applyNumberFormat="1" applyFont="1" applyFill="1" applyBorder="1" applyAlignment="1">
      <alignment horizontal="left" vertical="center"/>
    </xf>
    <xf numFmtId="165" fontId="14" fillId="83" borderId="149" xfId="0" applyNumberFormat="1" applyFont="1" applyFill="1" applyBorder="1" applyAlignment="1">
      <alignment vertical="center"/>
    </xf>
    <xf numFmtId="0" fontId="3" fillId="84" borderId="36" xfId="0" applyFont="1" applyFill="1" applyBorder="1" applyAlignment="1">
      <alignment horizontal="left" vertical="center" wrapText="1" indent="1"/>
    </xf>
    <xf numFmtId="195" fontId="13" fillId="76" borderId="0" xfId="0" applyNumberFormat="1" applyFont="1" applyFill="1" applyAlignment="1" applyProtection="1">
      <alignment horizontal="center" vertical="center"/>
      <protection locked="0"/>
    </xf>
    <xf numFmtId="165" fontId="3" fillId="40" borderId="65" xfId="0" applyNumberFormat="1" applyFont="1" applyFill="1" applyBorder="1" applyAlignment="1" applyProtection="1">
      <alignment vertical="center" wrapText="1"/>
      <protection locked="0"/>
    </xf>
    <xf numFmtId="165" fontId="3" fillId="40" borderId="60" xfId="0" applyNumberFormat="1" applyFont="1" applyFill="1" applyBorder="1" applyAlignment="1" applyProtection="1">
      <alignment vertical="center"/>
      <protection locked="0"/>
    </xf>
    <xf numFmtId="165" fontId="3" fillId="40" borderId="78" xfId="0" applyNumberFormat="1" applyFont="1" applyFill="1" applyBorder="1" applyAlignment="1" applyProtection="1">
      <alignment vertical="center"/>
      <protection locked="0"/>
    </xf>
    <xf numFmtId="165" fontId="3" fillId="40" borderId="7" xfId="0" applyNumberFormat="1" applyFont="1" applyFill="1" applyBorder="1" applyAlignment="1" applyProtection="1">
      <alignment vertical="center"/>
      <protection locked="0"/>
    </xf>
    <xf numFmtId="165" fontId="3" fillId="40" borderId="7" xfId="0" applyNumberFormat="1" applyFont="1" applyFill="1" applyBorder="1" applyAlignment="1" applyProtection="1">
      <alignment horizontal="right" vertical="center"/>
      <protection locked="0"/>
    </xf>
    <xf numFmtId="165" fontId="3" fillId="40" borderId="78" xfId="0" applyNumberFormat="1" applyFont="1" applyFill="1" applyBorder="1" applyAlignment="1" applyProtection="1">
      <alignment horizontal="right" vertical="center" indent="1"/>
      <protection locked="0"/>
    </xf>
    <xf numFmtId="165" fontId="3" fillId="40" borderId="76" xfId="0" applyNumberFormat="1" applyFont="1" applyFill="1" applyBorder="1" applyAlignment="1" applyProtection="1">
      <alignment vertical="center"/>
      <protection locked="0"/>
    </xf>
    <xf numFmtId="165" fontId="3" fillId="40" borderId="85" xfId="0" applyNumberFormat="1" applyFont="1" applyFill="1" applyBorder="1" applyAlignment="1" applyProtection="1">
      <alignment vertical="center"/>
      <protection locked="0"/>
    </xf>
    <xf numFmtId="165" fontId="3" fillId="40" borderId="96" xfId="0" applyNumberFormat="1" applyFont="1" applyFill="1" applyBorder="1" applyAlignment="1">
      <alignment vertical="center"/>
    </xf>
    <xf numFmtId="165" fontId="3" fillId="40" borderId="71" xfId="0" applyNumberFormat="1" applyFont="1" applyFill="1" applyBorder="1" applyAlignment="1" applyProtection="1">
      <alignment horizontal="right" vertical="center" wrapText="1"/>
      <protection locked="0"/>
    </xf>
    <xf numFmtId="165" fontId="3" fillId="40" borderId="7" xfId="0" applyNumberFormat="1" applyFont="1" applyFill="1" applyBorder="1" applyAlignment="1" applyProtection="1">
      <alignment horizontal="right" vertical="center" wrapText="1"/>
      <protection locked="0"/>
    </xf>
    <xf numFmtId="165" fontId="3" fillId="40" borderId="78" xfId="0" applyNumberFormat="1" applyFont="1" applyFill="1" applyBorder="1" applyAlignment="1" applyProtection="1">
      <alignment horizontal="right" vertical="center"/>
      <protection locked="0"/>
    </xf>
    <xf numFmtId="165" fontId="3" fillId="40" borderId="96" xfId="0" applyNumberFormat="1" applyFont="1" applyFill="1" applyBorder="1" applyAlignment="1">
      <alignment horizontal="right" vertical="center"/>
    </xf>
    <xf numFmtId="165" fontId="3" fillId="40" borderId="99" xfId="0" applyNumberFormat="1" applyFont="1" applyFill="1" applyBorder="1" applyAlignment="1">
      <alignment horizontal="right" vertical="center"/>
    </xf>
    <xf numFmtId="193" fontId="112" fillId="2" borderId="0" xfId="0" applyNumberFormat="1" applyFont="1" applyFill="1" applyAlignment="1">
      <alignment horizontal="left" vertical="center"/>
    </xf>
    <xf numFmtId="193" fontId="0" fillId="0" borderId="7" xfId="0" applyNumberFormat="1" applyBorder="1" applyAlignment="1">
      <alignment horizontal="center" vertical="center"/>
    </xf>
    <xf numFmtId="0" fontId="69" fillId="0" borderId="0" xfId="0" applyFont="1" applyAlignment="1">
      <alignment vertical="center" wrapText="1"/>
    </xf>
    <xf numFmtId="0" fontId="111" fillId="67" borderId="0" xfId="0" applyFont="1" applyFill="1" applyAlignment="1">
      <alignment vertical="center"/>
    </xf>
    <xf numFmtId="0" fontId="111" fillId="0" borderId="0" xfId="0" applyFont="1" applyAlignment="1">
      <alignment vertical="center"/>
    </xf>
    <xf numFmtId="0" fontId="26" fillId="57" borderId="51" xfId="0" applyFont="1" applyFill="1" applyBorder="1" applyAlignment="1">
      <alignment horizontal="center" vertical="center" wrapText="1"/>
    </xf>
    <xf numFmtId="168" fontId="111" fillId="87" borderId="28" xfId="0" applyNumberFormat="1" applyFont="1" applyFill="1" applyBorder="1" applyAlignment="1">
      <alignment horizontal="left" vertical="center" indent="1"/>
    </xf>
    <xf numFmtId="0" fontId="107" fillId="0" borderId="166" xfId="0" applyFont="1" applyBorder="1" applyAlignment="1">
      <alignment horizontal="center" vertical="center"/>
    </xf>
    <xf numFmtId="168" fontId="107" fillId="0" borderId="7" xfId="0" applyNumberFormat="1" applyFont="1" applyBorder="1" applyAlignment="1">
      <alignment horizontal="center" vertical="center"/>
    </xf>
    <xf numFmtId="0" fontId="99" fillId="36" borderId="259" xfId="0" applyFont="1" applyFill="1" applyBorder="1" applyAlignment="1">
      <alignment horizontal="center" vertical="center"/>
    </xf>
    <xf numFmtId="0" fontId="99" fillId="36" borderId="60" xfId="0" applyFont="1" applyFill="1" applyBorder="1" applyAlignment="1">
      <alignment horizontal="center" vertical="center"/>
    </xf>
    <xf numFmtId="9" fontId="107" fillId="0" borderId="261" xfId="0" applyNumberFormat="1" applyFont="1" applyBorder="1" applyAlignment="1">
      <alignment horizontal="center" vertical="center"/>
    </xf>
    <xf numFmtId="0" fontId="107" fillId="73" borderId="166" xfId="0" applyFont="1" applyFill="1" applyBorder="1" applyAlignment="1">
      <alignment horizontal="center" vertical="center"/>
    </xf>
    <xf numFmtId="168" fontId="107" fillId="73" borderId="7" xfId="0" applyNumberFormat="1" applyFont="1" applyFill="1" applyBorder="1" applyAlignment="1">
      <alignment horizontal="center" vertical="center"/>
    </xf>
    <xf numFmtId="9" fontId="107" fillId="73" borderId="261" xfId="0" applyNumberFormat="1" applyFont="1" applyFill="1" applyBorder="1" applyAlignment="1">
      <alignment horizontal="center" vertical="center"/>
    </xf>
    <xf numFmtId="0" fontId="107" fillId="73" borderId="167" xfId="0" applyFont="1" applyFill="1" applyBorder="1" applyAlignment="1">
      <alignment horizontal="center" vertical="center"/>
    </xf>
    <xf numFmtId="168" fontId="107" fillId="73" borderId="36" xfId="0" applyNumberFormat="1" applyFont="1" applyFill="1" applyBorder="1" applyAlignment="1">
      <alignment horizontal="center" vertical="center"/>
    </xf>
    <xf numFmtId="9" fontId="107" fillId="73" borderId="262" xfId="0" applyNumberFormat="1" applyFont="1" applyFill="1" applyBorder="1" applyAlignment="1">
      <alignment horizontal="center" vertical="center"/>
    </xf>
    <xf numFmtId="0" fontId="111" fillId="86" borderId="105" xfId="0" applyFont="1" applyFill="1" applyBorder="1" applyAlignment="1">
      <alignment horizontal="right" vertical="center" indent="1"/>
    </xf>
    <xf numFmtId="0" fontId="100" fillId="13" borderId="165" xfId="0" applyFont="1" applyFill="1" applyBorder="1" applyAlignment="1">
      <alignment horizontal="right" vertical="center" indent="1"/>
    </xf>
    <xf numFmtId="168" fontId="117" fillId="5" borderId="147" xfId="0" applyNumberFormat="1" applyFont="1" applyFill="1" applyBorder="1" applyAlignment="1">
      <alignment horizontal="left" vertical="center" indent="1"/>
    </xf>
    <xf numFmtId="0" fontId="100" fillId="13" borderId="78" xfId="0" applyFont="1" applyFill="1" applyBorder="1" applyAlignment="1">
      <alignment horizontal="right" vertical="center" indent="1"/>
    </xf>
    <xf numFmtId="168" fontId="117" fillId="5" borderId="19" xfId="0" applyNumberFormat="1" applyFont="1" applyFill="1" applyBorder="1" applyAlignment="1">
      <alignment horizontal="left" vertical="center" indent="1"/>
    </xf>
    <xf numFmtId="0" fontId="100" fillId="13" borderId="166" xfId="0" applyFont="1" applyFill="1" applyBorder="1" applyAlignment="1">
      <alignment horizontal="right" vertical="center" indent="1"/>
    </xf>
    <xf numFmtId="168" fontId="117" fillId="5" borderId="63" xfId="0" applyNumberFormat="1" applyFont="1" applyFill="1" applyBorder="1" applyAlignment="1">
      <alignment horizontal="left" vertical="center" indent="1"/>
    </xf>
    <xf numFmtId="0" fontId="100" fillId="13" borderId="151" xfId="0" applyFont="1" applyFill="1" applyBorder="1" applyAlignment="1">
      <alignment horizontal="right" vertical="center" indent="1"/>
    </xf>
    <xf numFmtId="168" fontId="117" fillId="5" borderId="144" xfId="0" applyNumberFormat="1" applyFont="1" applyFill="1" applyBorder="1" applyAlignment="1">
      <alignment horizontal="left" vertical="center" indent="1"/>
    </xf>
    <xf numFmtId="0" fontId="100" fillId="13" borderId="167" xfId="0" applyFont="1" applyFill="1" applyBorder="1" applyAlignment="1">
      <alignment horizontal="right" indent="1"/>
    </xf>
    <xf numFmtId="0" fontId="100" fillId="13" borderId="105" xfId="0" applyFont="1" applyFill="1" applyBorder="1" applyAlignment="1">
      <alignment horizontal="right" vertical="center" indent="1"/>
    </xf>
    <xf numFmtId="9" fontId="117" fillId="5" borderId="28" xfId="0" applyNumberFormat="1" applyFont="1" applyFill="1" applyBorder="1" applyAlignment="1">
      <alignment horizontal="left" vertical="center" indent="1"/>
    </xf>
    <xf numFmtId="9" fontId="117" fillId="5" borderId="147" xfId="0" applyNumberFormat="1" applyFont="1" applyFill="1" applyBorder="1" applyAlignment="1">
      <alignment horizontal="left" vertical="center" indent="1"/>
    </xf>
    <xf numFmtId="9" fontId="117" fillId="5" borderId="19" xfId="0" applyNumberFormat="1" applyFont="1" applyFill="1" applyBorder="1" applyAlignment="1">
      <alignment horizontal="left" vertical="center" indent="1"/>
    </xf>
    <xf numFmtId="9" fontId="117" fillId="5" borderId="63" xfId="0" applyNumberFormat="1" applyFont="1" applyFill="1" applyBorder="1" applyAlignment="1">
      <alignment horizontal="left" vertical="center" indent="1"/>
    </xf>
    <xf numFmtId="9" fontId="117" fillId="5" borderId="144" xfId="0" applyNumberFormat="1" applyFont="1" applyFill="1" applyBorder="1" applyAlignment="1">
      <alignment horizontal="left" vertical="center" indent="1"/>
    </xf>
    <xf numFmtId="168" fontId="125" fillId="0" borderId="7" xfId="0" applyNumberFormat="1" applyFont="1" applyBorder="1" applyAlignment="1">
      <alignment horizontal="center" vertical="center"/>
    </xf>
    <xf numFmtId="168" fontId="126" fillId="73" borderId="7" xfId="0" applyNumberFormat="1" applyFont="1" applyFill="1" applyBorder="1" applyAlignment="1">
      <alignment horizontal="center" vertical="center"/>
    </xf>
    <xf numFmtId="0" fontId="99" fillId="0" borderId="0" xfId="0" applyFont="1" applyAlignment="1">
      <alignment vertical="center"/>
    </xf>
    <xf numFmtId="0" fontId="114" fillId="0" borderId="0" xfId="0" applyFont="1" applyAlignment="1">
      <alignment vertical="center" wrapText="1"/>
    </xf>
    <xf numFmtId="49" fontId="9" fillId="0" borderId="0" xfId="3" applyNumberFormat="1" applyFont="1" applyBorder="1" applyAlignment="1" applyProtection="1">
      <alignment horizontal="center" vertical="center" wrapText="1"/>
      <protection locked="0"/>
    </xf>
    <xf numFmtId="168" fontId="14" fillId="0" borderId="0" xfId="0" applyNumberFormat="1" applyFont="1" applyAlignment="1">
      <alignment horizontal="center" vertical="center" wrapText="1"/>
    </xf>
    <xf numFmtId="168" fontId="14" fillId="0" borderId="0" xfId="3" applyNumberFormat="1" applyFont="1" applyBorder="1" applyAlignment="1" applyProtection="1">
      <alignment horizontal="center" vertical="center" wrapText="1"/>
    </xf>
    <xf numFmtId="0" fontId="15" fillId="6" borderId="17" xfId="0" applyFont="1" applyFill="1" applyBorder="1" applyAlignment="1">
      <alignment horizontal="center" vertical="center"/>
    </xf>
    <xf numFmtId="0" fontId="54" fillId="0" borderId="0" xfId="0" applyFont="1" applyAlignment="1">
      <alignment vertical="center"/>
    </xf>
    <xf numFmtId="0" fontId="99" fillId="36" borderId="260" xfId="0" applyFont="1" applyFill="1" applyBorder="1" applyAlignment="1">
      <alignment horizontal="center" vertical="center" wrapText="1"/>
    </xf>
    <xf numFmtId="10" fontId="0" fillId="0" borderId="0" xfId="0" applyNumberFormat="1"/>
    <xf numFmtId="9" fontId="0" fillId="0" borderId="0" xfId="0" applyNumberFormat="1"/>
    <xf numFmtId="0" fontId="28" fillId="88" borderId="14" xfId="0" applyFont="1" applyFill="1" applyBorder="1" applyAlignment="1">
      <alignment horizontal="center" vertical="center" wrapText="1"/>
    </xf>
    <xf numFmtId="165" fontId="3" fillId="20" borderId="263" xfId="0" applyNumberFormat="1" applyFont="1" applyFill="1" applyBorder="1" applyAlignment="1" applyProtection="1">
      <alignment horizontal="center" vertical="center"/>
      <protection locked="0"/>
    </xf>
    <xf numFmtId="165" fontId="3" fillId="20" borderId="264" xfId="0" applyNumberFormat="1" applyFont="1" applyFill="1" applyBorder="1" applyAlignment="1">
      <alignment vertical="center"/>
    </xf>
    <xf numFmtId="0" fontId="15" fillId="4" borderId="17"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107" fillId="75" borderId="25" xfId="0" applyFont="1" applyFill="1" applyBorder="1" applyAlignment="1" applyProtection="1">
      <alignment horizontal="left" vertical="center" indent="1"/>
      <protection locked="0"/>
    </xf>
    <xf numFmtId="0" fontId="107" fillId="75" borderId="26" xfId="0" applyFont="1" applyFill="1" applyBorder="1" applyAlignment="1" applyProtection="1">
      <alignment horizontal="left" vertical="center" indent="1"/>
      <protection locked="0"/>
    </xf>
    <xf numFmtId="0" fontId="107" fillId="75" borderId="237" xfId="0" applyFont="1" applyFill="1" applyBorder="1" applyAlignment="1" applyProtection="1">
      <alignment horizontal="left" vertical="center" indent="1"/>
      <protection locked="0"/>
    </xf>
    <xf numFmtId="0" fontId="107" fillId="63" borderId="170" xfId="0" applyFont="1" applyFill="1" applyBorder="1" applyAlignment="1" applyProtection="1">
      <alignment horizontal="left" vertical="center" wrapText="1" indent="1"/>
      <protection locked="0"/>
    </xf>
    <xf numFmtId="0" fontId="107" fillId="63" borderId="3" xfId="0" applyFont="1" applyFill="1" applyBorder="1" applyAlignment="1" applyProtection="1">
      <alignment horizontal="left" vertical="center" wrapText="1" indent="1"/>
      <protection locked="0"/>
    </xf>
    <xf numFmtId="0" fontId="107" fillId="63" borderId="213" xfId="0" applyFont="1" applyFill="1" applyBorder="1" applyAlignment="1" applyProtection="1">
      <alignment horizontal="left" vertical="center" wrapText="1" indent="1"/>
      <protection locked="0"/>
    </xf>
    <xf numFmtId="0" fontId="107" fillId="63" borderId="161" xfId="0" applyFont="1" applyFill="1" applyBorder="1" applyAlignment="1" applyProtection="1">
      <alignment horizontal="left" vertical="center" wrapText="1" indent="1"/>
      <protection locked="0"/>
    </xf>
    <xf numFmtId="0" fontId="107" fillId="63" borderId="9" xfId="0" applyFont="1" applyFill="1" applyBorder="1" applyAlignment="1" applyProtection="1">
      <alignment horizontal="left" vertical="center" wrapText="1" indent="1"/>
      <protection locked="0"/>
    </xf>
    <xf numFmtId="0" fontId="107" fillId="63" borderId="214" xfId="0" applyFont="1" applyFill="1" applyBorder="1" applyAlignment="1" applyProtection="1">
      <alignment horizontal="left" vertical="center" wrapText="1" indent="1"/>
      <protection locked="0"/>
    </xf>
    <xf numFmtId="49" fontId="107" fillId="63" borderId="161" xfId="0" applyNumberFormat="1" applyFont="1" applyFill="1" applyBorder="1" applyAlignment="1" applyProtection="1">
      <alignment horizontal="left" vertical="center" wrapText="1" indent="1"/>
      <protection locked="0"/>
    </xf>
    <xf numFmtId="49" fontId="107" fillId="63" borderId="9" xfId="0" applyNumberFormat="1" applyFont="1" applyFill="1" applyBorder="1" applyAlignment="1" applyProtection="1">
      <alignment horizontal="left" vertical="center" wrapText="1" indent="1"/>
      <protection locked="0"/>
    </xf>
    <xf numFmtId="49" fontId="107" fillId="63" borderId="214" xfId="0" applyNumberFormat="1" applyFont="1" applyFill="1" applyBorder="1" applyAlignment="1" applyProtection="1">
      <alignment horizontal="left" vertical="center" wrapText="1" indent="1"/>
      <protection locked="0"/>
    </xf>
    <xf numFmtId="49" fontId="107" fillId="79" borderId="233" xfId="0" applyNumberFormat="1" applyFont="1" applyFill="1" applyBorder="1" applyAlignment="1" applyProtection="1">
      <alignment horizontal="left" vertical="center" indent="1"/>
      <protection locked="0"/>
    </xf>
    <xf numFmtId="49" fontId="107" fillId="79" borderId="138" xfId="0" applyNumberFormat="1" applyFont="1" applyFill="1" applyBorder="1" applyAlignment="1" applyProtection="1">
      <alignment horizontal="left" vertical="center" indent="1"/>
      <protection locked="0"/>
    </xf>
    <xf numFmtId="49" fontId="107" fillId="79" borderId="234" xfId="0" applyNumberFormat="1" applyFont="1" applyFill="1" applyBorder="1" applyAlignment="1" applyProtection="1">
      <alignment horizontal="left" vertical="center" indent="1"/>
      <protection locked="0"/>
    </xf>
    <xf numFmtId="0" fontId="12" fillId="10" borderId="19" xfId="0" applyFont="1" applyFill="1" applyBorder="1" applyAlignment="1">
      <alignment horizontal="center" vertical="center"/>
    </xf>
    <xf numFmtId="0" fontId="12" fillId="10" borderId="9" xfId="0" applyFont="1" applyFill="1" applyBorder="1" applyAlignment="1">
      <alignment horizontal="center" vertical="center"/>
    </xf>
    <xf numFmtId="0" fontId="90" fillId="38" borderId="28" xfId="0" applyFont="1" applyFill="1" applyBorder="1" applyAlignment="1">
      <alignment horizontal="center" vertical="center" textRotation="90"/>
    </xf>
    <xf numFmtId="0" fontId="90" fillId="38" borderId="3" xfId="0" applyFont="1" applyFill="1" applyBorder="1" applyAlignment="1">
      <alignment horizontal="center" vertical="center" textRotation="90"/>
    </xf>
    <xf numFmtId="0" fontId="90" fillId="38" borderId="106" xfId="0" applyFont="1" applyFill="1" applyBorder="1" applyAlignment="1">
      <alignment horizontal="center" vertical="center" textRotation="90"/>
    </xf>
    <xf numFmtId="0" fontId="83" fillId="9" borderId="7" xfId="0" applyFont="1" applyFill="1" applyBorder="1" applyAlignment="1" applyProtection="1">
      <alignment horizontal="left" vertical="center" wrapText="1" indent="1"/>
      <protection locked="0"/>
    </xf>
    <xf numFmtId="0" fontId="117" fillId="0" borderId="0" xfId="0" applyFont="1" applyAlignment="1">
      <alignment horizontal="right" vertical="center" indent="1"/>
    </xf>
    <xf numFmtId="0" fontId="117" fillId="0" borderId="6" xfId="0" applyFont="1" applyBorder="1" applyAlignment="1">
      <alignment horizontal="right" vertical="center" indent="1"/>
    </xf>
    <xf numFmtId="0" fontId="117" fillId="4" borderId="0" xfId="0" applyFont="1" applyFill="1" applyAlignment="1">
      <alignment horizontal="right" vertical="center" indent="1"/>
    </xf>
    <xf numFmtId="0" fontId="117" fillId="4" borderId="6" xfId="0" applyFont="1" applyFill="1" applyBorder="1" applyAlignment="1">
      <alignment horizontal="right" vertical="center" indent="1"/>
    </xf>
    <xf numFmtId="0" fontId="115" fillId="56" borderId="25" xfId="0" applyFont="1" applyFill="1" applyBorder="1" applyAlignment="1">
      <alignment horizontal="center" vertical="center"/>
    </xf>
    <xf numFmtId="0" fontId="115" fillId="56" borderId="26" xfId="0" applyFont="1" applyFill="1" applyBorder="1" applyAlignment="1">
      <alignment horizontal="center" vertical="center"/>
    </xf>
    <xf numFmtId="0" fontId="115" fillId="56" borderId="27" xfId="0" applyFont="1" applyFill="1" applyBorder="1" applyAlignment="1">
      <alignment horizontal="center" vertical="center"/>
    </xf>
    <xf numFmtId="1" fontId="54" fillId="55" borderId="25" xfId="0" applyNumberFormat="1" applyFont="1" applyFill="1" applyBorder="1" applyAlignment="1">
      <alignment horizontal="center" vertical="center"/>
    </xf>
    <xf numFmtId="1" fontId="54" fillId="55" borderId="26" xfId="0" applyNumberFormat="1" applyFont="1" applyFill="1" applyBorder="1" applyAlignment="1">
      <alignment horizontal="center" vertical="center"/>
    </xf>
    <xf numFmtId="1" fontId="54" fillId="55" borderId="27" xfId="0" applyNumberFormat="1" applyFont="1" applyFill="1" applyBorder="1" applyAlignment="1">
      <alignment horizontal="center" vertical="center"/>
    </xf>
    <xf numFmtId="0" fontId="95" fillId="75" borderId="25" xfId="0" applyFont="1" applyFill="1" applyBorder="1" applyAlignment="1" applyProtection="1">
      <alignment horizontal="center" vertical="center"/>
      <protection locked="0"/>
    </xf>
    <xf numFmtId="0" fontId="95" fillId="75" borderId="237" xfId="0" applyFont="1" applyFill="1" applyBorder="1" applyAlignment="1" applyProtection="1">
      <alignment horizontal="center" vertical="center"/>
      <protection locked="0"/>
    </xf>
    <xf numFmtId="49" fontId="14" fillId="5" borderId="19" xfId="0" applyNumberFormat="1" applyFont="1" applyFill="1" applyBorder="1" applyAlignment="1" applyProtection="1">
      <alignment horizontal="left" vertical="center" indent="1"/>
      <protection locked="0"/>
    </xf>
    <xf numFmtId="49" fontId="14" fillId="5" borderId="9" xfId="0" applyNumberFormat="1" applyFont="1" applyFill="1" applyBorder="1" applyAlignment="1" applyProtection="1">
      <alignment horizontal="left" vertical="center" indent="1"/>
      <protection locked="0"/>
    </xf>
    <xf numFmtId="49" fontId="14" fillId="5" borderId="20" xfId="0" applyNumberFormat="1" applyFont="1" applyFill="1" applyBorder="1" applyAlignment="1" applyProtection="1">
      <alignment horizontal="left" vertical="center" indent="1"/>
      <protection locked="0"/>
    </xf>
    <xf numFmtId="0" fontId="14" fillId="5" borderId="19" xfId="0" applyFont="1" applyFill="1" applyBorder="1" applyAlignment="1" applyProtection="1">
      <alignment horizontal="left" vertical="center" wrapText="1" indent="1"/>
      <protection locked="0"/>
    </xf>
    <xf numFmtId="0" fontId="14" fillId="5" borderId="9" xfId="0" applyFont="1" applyFill="1" applyBorder="1" applyAlignment="1" applyProtection="1">
      <alignment horizontal="left" vertical="center" wrapText="1" indent="1"/>
      <protection locked="0"/>
    </xf>
    <xf numFmtId="0" fontId="14" fillId="5" borderId="20" xfId="0" applyFont="1" applyFill="1" applyBorder="1" applyAlignment="1" applyProtection="1">
      <alignment horizontal="left" vertical="center" wrapText="1" indent="1"/>
      <protection locked="0"/>
    </xf>
    <xf numFmtId="0" fontId="107" fillId="63" borderId="231" xfId="0" applyFont="1" applyFill="1" applyBorder="1" applyAlignment="1" applyProtection="1">
      <alignment horizontal="left" vertical="center" indent="1"/>
      <protection locked="0"/>
    </xf>
    <xf numFmtId="0" fontId="107" fillId="63" borderId="232" xfId="0" applyFont="1" applyFill="1" applyBorder="1" applyAlignment="1" applyProtection="1">
      <alignment horizontal="left" vertical="center" indent="1"/>
      <protection locked="0"/>
    </xf>
    <xf numFmtId="0" fontId="83" fillId="9" borderId="7" xfId="0" applyFont="1" applyFill="1" applyBorder="1" applyAlignment="1">
      <alignment horizontal="left" vertical="center" wrapText="1" indent="1"/>
    </xf>
    <xf numFmtId="0" fontId="107" fillId="63" borderId="4" xfId="0" applyFont="1" applyFill="1" applyBorder="1" applyAlignment="1" applyProtection="1">
      <alignment horizontal="left" vertical="center" indent="1"/>
      <protection locked="0"/>
    </xf>
    <xf numFmtId="0" fontId="107" fillId="63" borderId="158" xfId="0" applyFont="1" applyFill="1" applyBorder="1" applyAlignment="1" applyProtection="1">
      <alignment horizontal="left" vertical="center" indent="1"/>
      <protection locked="0"/>
    </xf>
    <xf numFmtId="0" fontId="100" fillId="63" borderId="247" xfId="0" applyFont="1" applyFill="1" applyBorder="1" applyAlignment="1" applyProtection="1">
      <alignment horizontal="left" vertical="center" wrapText="1"/>
      <protection locked="0"/>
    </xf>
    <xf numFmtId="0" fontId="100" fillId="63" borderId="248" xfId="0" applyFont="1" applyFill="1" applyBorder="1" applyAlignment="1" applyProtection="1">
      <alignment horizontal="left" vertical="center" wrapText="1"/>
      <protection locked="0"/>
    </xf>
    <xf numFmtId="0" fontId="83" fillId="11" borderId="7" xfId="0" applyFont="1" applyFill="1" applyBorder="1" applyAlignment="1" applyProtection="1">
      <alignment horizontal="left" vertical="center" wrapText="1" indent="1"/>
      <protection locked="0"/>
    </xf>
    <xf numFmtId="0" fontId="15" fillId="0" borderId="0" xfId="0" applyFont="1" applyAlignment="1">
      <alignment horizontal="right" vertical="center" indent="1"/>
    </xf>
    <xf numFmtId="0" fontId="15" fillId="0" borderId="6" xfId="0" applyFont="1" applyBorder="1" applyAlignment="1">
      <alignment horizontal="right" vertical="center" indent="1"/>
    </xf>
    <xf numFmtId="0" fontId="15" fillId="0" borderId="0" xfId="0" applyFont="1" applyAlignment="1">
      <alignment horizontal="right" vertical="center" wrapText="1" indent="1"/>
    </xf>
    <xf numFmtId="0" fontId="15" fillId="0" borderId="24" xfId="0" applyFont="1" applyBorder="1" applyAlignment="1">
      <alignment horizontal="right" vertical="center" wrapText="1" indent="1"/>
    </xf>
    <xf numFmtId="1" fontId="110" fillId="4" borderId="13" xfId="0" applyNumberFormat="1" applyFont="1" applyFill="1" applyBorder="1" applyAlignment="1">
      <alignment horizontal="right" vertical="center" wrapText="1" indent="1"/>
    </xf>
    <xf numFmtId="1" fontId="110" fillId="4" borderId="157" xfId="0" applyNumberFormat="1" applyFont="1" applyFill="1" applyBorder="1" applyAlignment="1">
      <alignment horizontal="right" vertical="center" wrapText="1" indent="1"/>
    </xf>
    <xf numFmtId="1" fontId="110" fillId="4" borderId="102" xfId="0" applyNumberFormat="1" applyFont="1" applyFill="1" applyBorder="1" applyAlignment="1">
      <alignment horizontal="right" vertical="center" wrapText="1" indent="1"/>
    </xf>
    <xf numFmtId="49" fontId="107" fillId="63" borderId="4" xfId="0" applyNumberFormat="1" applyFont="1" applyFill="1" applyBorder="1" applyAlignment="1" applyProtection="1">
      <alignment horizontal="left" vertical="center" wrapText="1" indent="1"/>
      <protection locked="0"/>
    </xf>
    <xf numFmtId="49" fontId="107" fillId="63" borderId="158" xfId="0" applyNumberFormat="1" applyFont="1" applyFill="1" applyBorder="1" applyAlignment="1" applyProtection="1">
      <alignment horizontal="left" vertical="center" wrapText="1" indent="1"/>
      <protection locked="0"/>
    </xf>
    <xf numFmtId="167" fontId="107" fillId="63" borderId="161" xfId="0" applyNumberFormat="1" applyFont="1" applyFill="1" applyBorder="1" applyAlignment="1" applyProtection="1">
      <alignment horizontal="left" vertical="center" indent="1"/>
      <protection locked="0"/>
    </xf>
    <xf numFmtId="167" fontId="107" fillId="63" borderId="214" xfId="0" applyNumberFormat="1" applyFont="1" applyFill="1" applyBorder="1" applyAlignment="1" applyProtection="1">
      <alignment horizontal="left" vertical="center" indent="1"/>
      <protection locked="0"/>
    </xf>
    <xf numFmtId="167" fontId="107" fillId="68" borderId="161" xfId="0" applyNumberFormat="1" applyFont="1" applyFill="1" applyBorder="1" applyAlignment="1" applyProtection="1">
      <alignment horizontal="left" vertical="center" indent="1"/>
      <protection locked="0"/>
    </xf>
    <xf numFmtId="167" fontId="107" fillId="68" borderId="214" xfId="0" applyNumberFormat="1" applyFont="1" applyFill="1" applyBorder="1" applyAlignment="1" applyProtection="1">
      <alignment horizontal="left" vertical="center" indent="1"/>
      <protection locked="0"/>
    </xf>
    <xf numFmtId="0" fontId="107" fillId="79" borderId="233" xfId="0" applyFont="1" applyFill="1" applyBorder="1" applyAlignment="1" applyProtection="1">
      <alignment horizontal="left" vertical="center" indent="1"/>
      <protection locked="0"/>
    </xf>
    <xf numFmtId="0" fontId="107" fillId="79" borderId="234" xfId="0" applyFont="1" applyFill="1" applyBorder="1" applyAlignment="1" applyProtection="1">
      <alignment horizontal="left" vertical="center" indent="1"/>
      <protection locked="0"/>
    </xf>
    <xf numFmtId="1" fontId="117" fillId="4" borderId="15" xfId="0" applyNumberFormat="1" applyFont="1" applyFill="1" applyBorder="1" applyAlignment="1">
      <alignment horizontal="right" vertical="center" indent="1"/>
    </xf>
    <xf numFmtId="1" fontId="117" fillId="4" borderId="0" xfId="0" applyNumberFormat="1" applyFont="1" applyFill="1" applyAlignment="1">
      <alignment horizontal="right" vertical="center" indent="1"/>
    </xf>
    <xf numFmtId="1" fontId="117" fillId="4" borderId="58" xfId="0" applyNumberFormat="1" applyFont="1" applyFill="1" applyBorder="1" applyAlignment="1">
      <alignment horizontal="right" vertical="center" indent="1"/>
    </xf>
    <xf numFmtId="0" fontId="117" fillId="4" borderId="15" xfId="0" applyFont="1" applyFill="1" applyBorder="1" applyAlignment="1">
      <alignment horizontal="right" vertical="center" indent="1"/>
    </xf>
    <xf numFmtId="0" fontId="117" fillId="4" borderId="58" xfId="0" applyFont="1" applyFill="1" applyBorder="1" applyAlignment="1">
      <alignment horizontal="right" vertical="center" indent="1"/>
    </xf>
    <xf numFmtId="0" fontId="117" fillId="4" borderId="11" xfId="0" applyFont="1" applyFill="1" applyBorder="1" applyAlignment="1">
      <alignment horizontal="right" vertical="center" indent="1"/>
    </xf>
    <xf numFmtId="0" fontId="117" fillId="4" borderId="2" xfId="0" applyFont="1" applyFill="1" applyBorder="1" applyAlignment="1">
      <alignment horizontal="right" vertical="center" indent="1"/>
    </xf>
    <xf numFmtId="0" fontId="117" fillId="4" borderId="103" xfId="0" applyFont="1" applyFill="1" applyBorder="1" applyAlignment="1">
      <alignment horizontal="right" vertical="center" indent="1"/>
    </xf>
    <xf numFmtId="0" fontId="83" fillId="11" borderId="7" xfId="0" applyFont="1" applyFill="1" applyBorder="1" applyAlignment="1">
      <alignment horizontal="left" vertical="center" wrapText="1" indent="1"/>
    </xf>
    <xf numFmtId="0" fontId="5" fillId="12" borderId="14" xfId="0" applyFont="1" applyFill="1" applyBorder="1" applyAlignment="1">
      <alignment horizontal="center" vertical="center" wrapText="1"/>
    </xf>
    <xf numFmtId="0" fontId="5" fillId="12" borderId="229" xfId="0" applyFont="1" applyFill="1" applyBorder="1" applyAlignment="1">
      <alignment horizontal="center" vertical="center" wrapText="1"/>
    </xf>
    <xf numFmtId="0" fontId="5" fillId="12" borderId="230" xfId="0" applyFont="1" applyFill="1" applyBorder="1" applyAlignment="1">
      <alignment horizontal="center" vertical="center" wrapText="1"/>
    </xf>
    <xf numFmtId="0" fontId="114" fillId="71" borderId="235" xfId="0" applyFont="1" applyFill="1" applyBorder="1" applyAlignment="1">
      <alignment horizontal="center" vertical="center" wrapText="1"/>
    </xf>
    <xf numFmtId="0" fontId="114" fillId="71" borderId="236" xfId="0" applyFont="1" applyFill="1" applyBorder="1" applyAlignment="1">
      <alignment horizontal="center" vertical="center" wrapText="1"/>
    </xf>
    <xf numFmtId="0" fontId="114" fillId="71" borderId="226" xfId="0" applyFont="1" applyFill="1" applyBorder="1" applyAlignment="1">
      <alignment horizontal="center" vertical="center" wrapText="1"/>
    </xf>
    <xf numFmtId="0" fontId="114" fillId="71" borderId="0" xfId="0" applyFont="1" applyFill="1" applyAlignment="1">
      <alignment horizontal="center" vertical="center" wrapText="1"/>
    </xf>
    <xf numFmtId="0" fontId="114" fillId="71" borderId="227" xfId="0" applyFont="1" applyFill="1" applyBorder="1" applyAlignment="1">
      <alignment horizontal="center" vertical="center" wrapText="1"/>
    </xf>
    <xf numFmtId="0" fontId="114" fillId="71" borderId="228" xfId="0" applyFont="1" applyFill="1" applyBorder="1" applyAlignment="1">
      <alignment horizontal="center" vertical="center" wrapText="1"/>
    </xf>
    <xf numFmtId="0" fontId="99" fillId="44" borderId="0" xfId="0" applyFont="1" applyFill="1" applyAlignment="1">
      <alignment horizontal="right" vertical="center" indent="1"/>
    </xf>
    <xf numFmtId="0" fontId="99" fillId="44" borderId="24" xfId="0" applyFont="1" applyFill="1" applyBorder="1" applyAlignment="1">
      <alignment horizontal="right" vertical="center" indent="1"/>
    </xf>
    <xf numFmtId="0" fontId="119" fillId="2" borderId="25" xfId="0" applyFont="1" applyFill="1" applyBorder="1" applyAlignment="1">
      <alignment horizontal="center" vertical="center" wrapText="1"/>
    </xf>
    <xf numFmtId="0" fontId="119" fillId="2" borderId="26" xfId="0" applyFont="1" applyFill="1" applyBorder="1" applyAlignment="1">
      <alignment horizontal="center" vertical="center" wrapText="1"/>
    </xf>
    <xf numFmtId="0" fontId="119" fillId="2" borderId="27" xfId="0" applyFont="1" applyFill="1" applyBorder="1" applyAlignment="1">
      <alignment horizontal="center" vertical="center" wrapText="1"/>
    </xf>
    <xf numFmtId="0" fontId="94" fillId="0" borderId="30" xfId="0" applyFont="1" applyBorder="1" applyAlignment="1">
      <alignment horizontal="center" vertical="center" wrapText="1"/>
    </xf>
    <xf numFmtId="0" fontId="94" fillId="0" borderId="37" xfId="0" applyFont="1" applyBorder="1" applyAlignment="1">
      <alignment horizontal="center" vertical="center" wrapText="1"/>
    </xf>
    <xf numFmtId="0" fontId="21" fillId="8" borderId="12" xfId="0" applyFont="1" applyFill="1" applyBorder="1" applyAlignment="1">
      <alignment horizontal="center" vertical="center"/>
    </xf>
    <xf numFmtId="0" fontId="21" fillId="8" borderId="82" xfId="0" applyFont="1" applyFill="1" applyBorder="1" applyAlignment="1">
      <alignment horizontal="center" vertical="center"/>
    </xf>
    <xf numFmtId="0" fontId="14" fillId="38" borderId="0" xfId="0" applyFont="1" applyFill="1" applyAlignment="1">
      <alignment horizontal="center" vertical="center"/>
    </xf>
    <xf numFmtId="0" fontId="14" fillId="38" borderId="6" xfId="0" applyFont="1" applyFill="1" applyBorder="1" applyAlignment="1">
      <alignment horizontal="center" vertical="center"/>
    </xf>
    <xf numFmtId="0" fontId="15" fillId="9" borderId="7" xfId="0" applyFont="1" applyFill="1" applyBorder="1" applyAlignment="1">
      <alignment horizontal="left" vertical="center" wrapText="1" indent="1"/>
    </xf>
    <xf numFmtId="0" fontId="15" fillId="38" borderId="0" xfId="0" applyFont="1" applyFill="1" applyAlignment="1">
      <alignment horizontal="center" vertical="center"/>
    </xf>
    <xf numFmtId="0" fontId="15" fillId="38" borderId="6" xfId="0" applyFont="1" applyFill="1" applyBorder="1" applyAlignment="1">
      <alignment horizontal="center" vertical="center"/>
    </xf>
    <xf numFmtId="0" fontId="9" fillId="10" borderId="9" xfId="0" applyFont="1" applyFill="1" applyBorder="1" applyAlignment="1">
      <alignment horizontal="center" vertical="center"/>
    </xf>
    <xf numFmtId="0" fontId="9" fillId="10" borderId="20" xfId="0" applyFont="1" applyFill="1" applyBorder="1" applyAlignment="1">
      <alignment horizontal="center" vertical="center"/>
    </xf>
    <xf numFmtId="0" fontId="0" fillId="38" borderId="0" xfId="0" applyFill="1" applyAlignment="1">
      <alignment horizontal="center" vertical="center"/>
    </xf>
    <xf numFmtId="0" fontId="0" fillId="38" borderId="6" xfId="0" applyFill="1" applyBorder="1" applyAlignment="1">
      <alignment horizontal="center" vertical="center"/>
    </xf>
    <xf numFmtId="0" fontId="54" fillId="55" borderId="25" xfId="0" applyFont="1" applyFill="1" applyBorder="1" applyAlignment="1">
      <alignment horizontal="center" vertical="center"/>
    </xf>
    <xf numFmtId="0" fontId="54" fillId="55" borderId="26" xfId="0" applyFont="1" applyFill="1" applyBorder="1" applyAlignment="1">
      <alignment horizontal="center" vertical="center"/>
    </xf>
    <xf numFmtId="0" fontId="54" fillId="55" borderId="27" xfId="0" applyFont="1" applyFill="1" applyBorder="1" applyAlignment="1">
      <alignment horizontal="center" vertical="center"/>
    </xf>
    <xf numFmtId="0" fontId="100" fillId="0" borderId="0" xfId="0" applyFont="1" applyAlignment="1">
      <alignment horizontal="right" vertical="center" indent="1"/>
    </xf>
    <xf numFmtId="0" fontId="100" fillId="0" borderId="6" xfId="0" applyFont="1" applyBorder="1" applyAlignment="1">
      <alignment horizontal="right" vertical="center" indent="1"/>
    </xf>
    <xf numFmtId="0" fontId="117" fillId="5" borderId="19" xfId="0" applyFont="1" applyFill="1" applyBorder="1" applyAlignment="1" applyProtection="1">
      <alignment horizontal="left" vertical="center" wrapText="1" indent="1"/>
      <protection locked="0"/>
    </xf>
    <xf numFmtId="0" fontId="117" fillId="5" borderId="9" xfId="0" applyFont="1" applyFill="1" applyBorder="1" applyAlignment="1" applyProtection="1">
      <alignment horizontal="left" vertical="center" wrapText="1" indent="1"/>
      <protection locked="0"/>
    </xf>
    <xf numFmtId="0" fontId="117" fillId="5" borderId="20" xfId="0" applyFont="1" applyFill="1" applyBorder="1" applyAlignment="1" applyProtection="1">
      <alignment horizontal="left" vertical="center" wrapText="1" indent="1"/>
      <protection locked="0"/>
    </xf>
    <xf numFmtId="0" fontId="5" fillId="14" borderId="33" xfId="0" applyFont="1" applyFill="1" applyBorder="1" applyAlignment="1">
      <alignment horizontal="center" vertical="center"/>
    </xf>
    <xf numFmtId="0" fontId="117" fillId="63" borderId="19" xfId="0" applyFont="1" applyFill="1" applyBorder="1" applyAlignment="1" applyProtection="1">
      <alignment horizontal="left" vertical="center" wrapText="1" indent="1"/>
      <protection locked="0"/>
    </xf>
    <xf numFmtId="0" fontId="117" fillId="63" borderId="9" xfId="0" applyFont="1" applyFill="1" applyBorder="1" applyAlignment="1" applyProtection="1">
      <alignment horizontal="left" vertical="center" wrapText="1" indent="1"/>
      <protection locked="0"/>
    </xf>
    <xf numFmtId="0" fontId="117" fillId="63" borderId="20" xfId="0" applyFont="1" applyFill="1" applyBorder="1" applyAlignment="1" applyProtection="1">
      <alignment horizontal="left" vertical="center" wrapText="1" indent="1"/>
      <protection locked="0"/>
    </xf>
    <xf numFmtId="0" fontId="13" fillId="0" borderId="0" xfId="0" applyFont="1" applyAlignment="1">
      <alignment horizontal="right" vertical="center" wrapText="1" indent="1"/>
    </xf>
    <xf numFmtId="0" fontId="13" fillId="0" borderId="6" xfId="0" applyFont="1" applyBorder="1" applyAlignment="1">
      <alignment horizontal="right" vertical="center" wrapText="1" indent="1"/>
    </xf>
    <xf numFmtId="0" fontId="110" fillId="0" borderId="13" xfId="0" applyFont="1" applyBorder="1" applyAlignment="1">
      <alignment horizontal="right" vertical="top" wrapText="1" indent="1"/>
    </xf>
    <xf numFmtId="0" fontId="110" fillId="0" borderId="15" xfId="0" applyFont="1" applyBorder="1" applyAlignment="1">
      <alignment horizontal="right" vertical="top" wrapText="1" indent="1"/>
    </xf>
    <xf numFmtId="0" fontId="117" fillId="0" borderId="15" xfId="0" applyFont="1" applyBorder="1" applyAlignment="1">
      <alignment horizontal="right" vertical="top" wrapText="1" indent="1"/>
    </xf>
    <xf numFmtId="0" fontId="117" fillId="0" borderId="11" xfId="0" applyFont="1" applyBorder="1" applyAlignment="1">
      <alignment horizontal="right" vertical="top" wrapText="1" indent="1"/>
    </xf>
    <xf numFmtId="0" fontId="13" fillId="0" borderId="0" xfId="0" applyFont="1" applyAlignment="1">
      <alignment horizontal="right" vertical="center" indent="1"/>
    </xf>
    <xf numFmtId="0" fontId="13" fillId="0" borderId="6" xfId="0" applyFont="1" applyBorder="1" applyAlignment="1">
      <alignment horizontal="right" vertical="center" indent="1"/>
    </xf>
    <xf numFmtId="0" fontId="89" fillId="36" borderId="41" xfId="0" applyFont="1" applyFill="1" applyBorder="1" applyAlignment="1">
      <alignment horizontal="center" vertical="center" textRotation="90"/>
    </xf>
    <xf numFmtId="0" fontId="92" fillId="36" borderId="41" xfId="0" applyFont="1" applyFill="1" applyBorder="1" applyAlignment="1">
      <alignment horizontal="center" vertical="center" textRotation="90"/>
    </xf>
    <xf numFmtId="0" fontId="92" fillId="37" borderId="41" xfId="0" applyFont="1" applyFill="1" applyBorder="1" applyAlignment="1">
      <alignment horizontal="center" vertical="center" textRotation="90"/>
    </xf>
    <xf numFmtId="0" fontId="92" fillId="37" borderId="17" xfId="0" applyFont="1" applyFill="1" applyBorder="1" applyAlignment="1">
      <alignment horizontal="center" vertical="center" textRotation="90"/>
    </xf>
    <xf numFmtId="0" fontId="107" fillId="73" borderId="90" xfId="0" applyFont="1" applyFill="1" applyBorder="1" applyAlignment="1">
      <alignment horizontal="right" vertical="center" wrapText="1" indent="2"/>
    </xf>
    <xf numFmtId="0" fontId="107" fillId="73" borderId="254" xfId="0" applyFont="1" applyFill="1" applyBorder="1" applyAlignment="1">
      <alignment horizontal="right" vertical="center" wrapText="1" indent="2"/>
    </xf>
    <xf numFmtId="0" fontId="107" fillId="0" borderId="90" xfId="0" applyFont="1" applyBorder="1" applyAlignment="1">
      <alignment horizontal="right" vertical="center" wrapText="1" indent="2"/>
    </xf>
    <xf numFmtId="0" fontId="107" fillId="0" borderId="254" xfId="0" applyFont="1" applyBorder="1" applyAlignment="1">
      <alignment horizontal="right" vertical="center" wrapText="1" indent="2"/>
    </xf>
    <xf numFmtId="0" fontId="3" fillId="0" borderId="0" xfId="0" applyFont="1" applyAlignment="1">
      <alignment horizontal="center"/>
    </xf>
    <xf numFmtId="0" fontId="3" fillId="0" borderId="0" xfId="0" applyFont="1" applyAlignment="1">
      <alignment horizontal="center" vertical="center"/>
    </xf>
    <xf numFmtId="0" fontId="4" fillId="53" borderId="0" xfId="0" applyFont="1" applyFill="1" applyAlignment="1">
      <alignment horizontal="center"/>
    </xf>
    <xf numFmtId="0" fontId="5" fillId="54" borderId="0" xfId="0" applyFont="1" applyFill="1" applyAlignment="1">
      <alignment horizontal="center" vertical="center"/>
    </xf>
    <xf numFmtId="0" fontId="6" fillId="0" borderId="0" xfId="0" applyFont="1" applyAlignment="1">
      <alignment horizontal="center" vertical="center"/>
    </xf>
    <xf numFmtId="0" fontId="92" fillId="44" borderId="0" xfId="0" applyFont="1" applyFill="1" applyAlignment="1">
      <alignment horizontal="left" vertical="top" wrapText="1"/>
    </xf>
    <xf numFmtId="0" fontId="5" fillId="0" borderId="0" xfId="0" applyFont="1" applyAlignment="1">
      <alignment horizontal="center" vertical="center" wrapText="1"/>
    </xf>
    <xf numFmtId="0" fontId="113" fillId="69" borderId="0" xfId="0" applyFont="1" applyFill="1" applyAlignment="1" applyProtection="1">
      <alignment horizontal="center" vertical="center"/>
      <protection locked="0"/>
    </xf>
    <xf numFmtId="0" fontId="118" fillId="0" borderId="0" xfId="0" applyFont="1" applyAlignment="1">
      <alignment horizontal="right" vertical="center" wrapText="1" indent="1"/>
    </xf>
    <xf numFmtId="0" fontId="114" fillId="56" borderId="25" xfId="0" applyFont="1" applyFill="1" applyBorder="1" applyAlignment="1">
      <alignment horizontal="center" vertical="center"/>
    </xf>
    <xf numFmtId="0" fontId="114" fillId="56" borderId="26" xfId="0" applyFont="1" applyFill="1" applyBorder="1" applyAlignment="1">
      <alignment horizontal="center" vertical="center"/>
    </xf>
    <xf numFmtId="0" fontId="114" fillId="56" borderId="27" xfId="0" applyFont="1" applyFill="1" applyBorder="1" applyAlignment="1">
      <alignment horizontal="center" vertical="center"/>
    </xf>
    <xf numFmtId="0" fontId="0" fillId="0" borderId="30" xfId="0" applyBorder="1" applyAlignment="1">
      <alignment horizontal="center" vertical="center"/>
    </xf>
    <xf numFmtId="0" fontId="0" fillId="0" borderId="244" xfId="0" applyBorder="1" applyAlignment="1">
      <alignment horizontal="center" vertical="center"/>
    </xf>
    <xf numFmtId="0" fontId="94" fillId="0" borderId="6" xfId="0" applyFont="1" applyBorder="1" applyAlignment="1">
      <alignment horizontal="center" vertical="center" wrapText="1"/>
    </xf>
    <xf numFmtId="0" fontId="107" fillId="73" borderId="257" xfId="0" applyFont="1" applyFill="1" applyBorder="1" applyAlignment="1">
      <alignment horizontal="left" vertical="center" indent="1"/>
    </xf>
    <xf numFmtId="0" fontId="107" fillId="73" borderId="77" xfId="0" applyFont="1" applyFill="1" applyBorder="1" applyAlignment="1">
      <alignment horizontal="left" vertical="center" indent="1"/>
    </xf>
    <xf numFmtId="0" fontId="107" fillId="0" borderId="257" xfId="0" applyFont="1" applyBorder="1" applyAlignment="1">
      <alignment horizontal="left" vertical="center" indent="1"/>
    </xf>
    <xf numFmtId="0" fontId="107" fillId="0" borderId="77" xfId="0" applyFont="1" applyBorder="1" applyAlignment="1">
      <alignment horizontal="left" vertical="center" indent="1"/>
    </xf>
    <xf numFmtId="0" fontId="107" fillId="73" borderId="251" xfId="0" applyFont="1" applyFill="1" applyBorder="1" applyAlignment="1">
      <alignment horizontal="right" vertical="center" wrapText="1" indent="2"/>
    </xf>
    <xf numFmtId="0" fontId="107" fillId="73" borderId="255" xfId="0" applyFont="1" applyFill="1" applyBorder="1" applyAlignment="1">
      <alignment horizontal="right" vertical="center" wrapText="1" indent="2"/>
    </xf>
    <xf numFmtId="0" fontId="107" fillId="73" borderId="258" xfId="0" applyFont="1" applyFill="1" applyBorder="1" applyAlignment="1">
      <alignment horizontal="left" vertical="center" indent="1"/>
    </xf>
    <xf numFmtId="0" fontId="107" fillId="73" borderId="252" xfId="0" applyFont="1" applyFill="1" applyBorder="1" applyAlignment="1">
      <alignment horizontal="left" vertical="center" indent="1"/>
    </xf>
    <xf numFmtId="0" fontId="99" fillId="36" borderId="256" xfId="0" applyFont="1" applyFill="1" applyBorder="1" applyAlignment="1">
      <alignment horizontal="center" vertical="center"/>
    </xf>
    <xf numFmtId="0" fontId="99" fillId="36" borderId="64" xfId="0" applyFont="1" applyFill="1" applyBorder="1" applyAlignment="1">
      <alignment horizontal="center" vertical="center"/>
    </xf>
    <xf numFmtId="0" fontId="107" fillId="73" borderId="257" xfId="0" applyFont="1" applyFill="1" applyBorder="1" applyAlignment="1">
      <alignment horizontal="left" vertical="center" wrapText="1" indent="1"/>
    </xf>
    <xf numFmtId="0" fontId="107" fillId="73" borderId="77" xfId="0" applyFont="1" applyFill="1" applyBorder="1" applyAlignment="1">
      <alignment horizontal="left" vertical="center" wrapText="1" indent="1"/>
    </xf>
    <xf numFmtId="0" fontId="107" fillId="0" borderId="257" xfId="0" applyFont="1" applyBorder="1" applyAlignment="1">
      <alignment horizontal="left" vertical="center" wrapText="1" indent="1"/>
    </xf>
    <xf numFmtId="0" fontId="107" fillId="0" borderId="77" xfId="0" applyFont="1" applyBorder="1" applyAlignment="1">
      <alignment horizontal="left" vertical="center" wrapText="1" indent="1"/>
    </xf>
    <xf numFmtId="0" fontId="99" fillId="36" borderId="250" xfId="0" applyFont="1" applyFill="1" applyBorder="1" applyAlignment="1">
      <alignment horizontal="right" vertical="center" indent="1"/>
    </xf>
    <xf numFmtId="0" fontId="99" fillId="36" borderId="253" xfId="0" applyFont="1" applyFill="1" applyBorder="1" applyAlignment="1">
      <alignment horizontal="right" vertical="center" indent="1"/>
    </xf>
    <xf numFmtId="0" fontId="3" fillId="0" borderId="2" xfId="0" applyFont="1" applyBorder="1" applyAlignment="1">
      <alignment horizontal="left" vertical="center" indent="1"/>
    </xf>
    <xf numFmtId="0" fontId="3" fillId="0" borderId="103" xfId="0" applyFont="1" applyBorder="1" applyAlignment="1">
      <alignment horizontal="left" vertical="center" indent="1"/>
    </xf>
    <xf numFmtId="0" fontId="12" fillId="15" borderId="19" xfId="0" applyFont="1" applyFill="1" applyBorder="1" applyAlignment="1">
      <alignment horizontal="left" vertical="center" indent="2"/>
    </xf>
    <xf numFmtId="0" fontId="12" fillId="15" borderId="20" xfId="0" applyFont="1" applyFill="1" applyBorder="1" applyAlignment="1">
      <alignment horizontal="left" vertical="center" indent="2"/>
    </xf>
    <xf numFmtId="0" fontId="3" fillId="0" borderId="0" xfId="0" applyFont="1" applyAlignment="1">
      <alignment horizontal="left" vertical="center" indent="1"/>
    </xf>
    <xf numFmtId="0" fontId="3" fillId="0" borderId="58" xfId="0" applyFont="1" applyBorder="1" applyAlignment="1">
      <alignment horizontal="left" vertical="center" indent="1"/>
    </xf>
    <xf numFmtId="0" fontId="12" fillId="0" borderId="0" xfId="0" applyFont="1" applyAlignment="1">
      <alignment horizontal="right" vertical="center" indent="2"/>
    </xf>
    <xf numFmtId="0" fontId="3" fillId="0" borderId="157" xfId="0" applyFont="1" applyBorder="1" applyAlignment="1">
      <alignment horizontal="left" vertical="center" indent="1"/>
    </xf>
    <xf numFmtId="0" fontId="3" fillId="0" borderId="102" xfId="0" applyFont="1" applyBorder="1" applyAlignment="1">
      <alignment horizontal="left" vertical="center" indent="1"/>
    </xf>
    <xf numFmtId="0" fontId="12" fillId="15" borderId="7" xfId="0" applyFont="1" applyFill="1" applyBorder="1" applyAlignment="1">
      <alignment horizontal="center" vertical="center"/>
    </xf>
    <xf numFmtId="172" fontId="17" fillId="15" borderId="7" xfId="0" applyNumberFormat="1" applyFont="1" applyFill="1" applyBorder="1" applyAlignment="1">
      <alignment horizontal="center" vertical="center" wrapText="1"/>
    </xf>
    <xf numFmtId="0" fontId="28" fillId="14" borderId="3" xfId="0" applyFont="1" applyFill="1" applyBorder="1" applyAlignment="1">
      <alignment horizontal="center" vertical="center"/>
    </xf>
    <xf numFmtId="0" fontId="12" fillId="0" borderId="0" xfId="0" applyFont="1" applyAlignment="1">
      <alignment horizontal="right" vertical="center" indent="1"/>
    </xf>
    <xf numFmtId="0" fontId="17" fillId="9" borderId="94" xfId="0" applyFont="1" applyFill="1" applyBorder="1" applyAlignment="1">
      <alignment horizontal="right" vertical="center"/>
    </xf>
    <xf numFmtId="0" fontId="3" fillId="0" borderId="0" xfId="0" applyFont="1" applyAlignment="1">
      <alignment horizontal="left" vertical="center"/>
    </xf>
    <xf numFmtId="0" fontId="30" fillId="0" borderId="1" xfId="0" applyFont="1" applyBorder="1" applyAlignment="1">
      <alignment horizontal="center" vertical="center" wrapText="1"/>
    </xf>
    <xf numFmtId="0" fontId="24" fillId="70" borderId="38" xfId="0" applyFont="1" applyFill="1" applyBorder="1" applyAlignment="1">
      <alignment horizontal="left" vertical="center" wrapText="1"/>
    </xf>
    <xf numFmtId="0" fontId="24" fillId="0" borderId="245" xfId="0" applyFont="1" applyBorder="1" applyAlignment="1">
      <alignment horizontal="center" vertical="center" wrapText="1"/>
    </xf>
    <xf numFmtId="0" fontId="24" fillId="0" borderId="246" xfId="0" applyFont="1" applyBorder="1" applyAlignment="1">
      <alignment horizontal="center" vertical="center" wrapText="1"/>
    </xf>
    <xf numFmtId="0" fontId="17" fillId="7" borderId="14" xfId="0" applyFont="1" applyFill="1" applyBorder="1" applyAlignment="1">
      <alignment horizontal="center" vertical="center"/>
    </xf>
    <xf numFmtId="0" fontId="17" fillId="7" borderId="39" xfId="0" applyFont="1" applyFill="1" applyBorder="1" applyAlignment="1">
      <alignment horizontal="center" vertical="top"/>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112" fillId="44" borderId="0" xfId="0" applyFont="1" applyFill="1" applyAlignment="1">
      <alignment horizontal="center" vertical="center" wrapText="1"/>
    </xf>
    <xf numFmtId="0" fontId="112" fillId="44" borderId="47" xfId="0" applyFont="1" applyFill="1" applyBorder="1" applyAlignment="1">
      <alignment horizontal="center" vertical="center" wrapText="1"/>
    </xf>
    <xf numFmtId="0" fontId="28" fillId="4" borderId="37" xfId="0" applyFont="1" applyFill="1" applyBorder="1" applyAlignment="1">
      <alignment horizontal="center" vertical="center" wrapText="1"/>
    </xf>
    <xf numFmtId="164" fontId="29" fillId="0" borderId="0" xfId="0" applyNumberFormat="1" applyFont="1" applyAlignment="1">
      <alignment horizontal="center" vertical="center"/>
    </xf>
    <xf numFmtId="0" fontId="17" fillId="7" borderId="172" xfId="0" applyFont="1" applyFill="1" applyBorder="1" applyAlignment="1">
      <alignment horizontal="center" vertical="top"/>
    </xf>
    <xf numFmtId="0" fontId="17" fillId="7" borderId="2" xfId="0" applyFont="1" applyFill="1" applyBorder="1" applyAlignment="1">
      <alignment horizontal="center" vertical="top"/>
    </xf>
    <xf numFmtId="0" fontId="17" fillId="7" borderId="173" xfId="0" applyFont="1" applyFill="1" applyBorder="1" applyAlignment="1">
      <alignment horizontal="center" vertical="top"/>
    </xf>
    <xf numFmtId="0" fontId="17" fillId="15" borderId="7" xfId="0" applyFont="1" applyFill="1" applyBorder="1" applyAlignment="1">
      <alignment horizontal="center" vertical="center" wrapText="1"/>
    </xf>
    <xf numFmtId="0" fontId="28" fillId="14" borderId="7" xfId="0" applyFont="1" applyFill="1" applyBorder="1" applyAlignment="1">
      <alignment horizontal="center" vertical="center"/>
    </xf>
    <xf numFmtId="0" fontId="17" fillId="0" borderId="0" xfId="0" applyFont="1" applyAlignment="1">
      <alignment vertical="center" wrapText="1"/>
    </xf>
    <xf numFmtId="0" fontId="17" fillId="7" borderId="29" xfId="0" applyFont="1" applyFill="1" applyBorder="1" applyAlignment="1">
      <alignment horizontal="center" vertical="center"/>
    </xf>
    <xf numFmtId="0" fontId="17" fillId="7" borderId="30" xfId="0" applyFont="1" applyFill="1" applyBorder="1" applyAlignment="1">
      <alignment horizontal="center" vertical="center"/>
    </xf>
    <xf numFmtId="0" fontId="17" fillId="7" borderId="31" xfId="0" applyFont="1" applyFill="1" applyBorder="1" applyAlignment="1">
      <alignment horizontal="center" vertical="center"/>
    </xf>
    <xf numFmtId="49" fontId="5" fillId="54" borderId="0" xfId="0" applyNumberFormat="1" applyFont="1" applyFill="1" applyAlignment="1">
      <alignment horizontal="center" vertical="center" wrapText="1"/>
    </xf>
    <xf numFmtId="0" fontId="4" fillId="12" borderId="0" xfId="0" applyFont="1" applyFill="1" applyAlignment="1">
      <alignment horizontal="center" vertical="center" wrapText="1"/>
    </xf>
    <xf numFmtId="0" fontId="15" fillId="0" borderId="0" xfId="0" applyFont="1" applyAlignment="1">
      <alignment horizontal="left" vertical="top" wrapText="1" indent="1"/>
    </xf>
    <xf numFmtId="0" fontId="15" fillId="0" borderId="0" xfId="0" applyFont="1" applyAlignment="1">
      <alignment horizontal="left" vertical="top" indent="1"/>
    </xf>
    <xf numFmtId="0" fontId="14" fillId="0" borderId="7" xfId="0" applyFont="1" applyBorder="1" applyAlignment="1">
      <alignment horizontal="left" vertical="center" wrapText="1" indent="1"/>
    </xf>
    <xf numFmtId="0" fontId="28" fillId="2" borderId="0" xfId="0" applyFont="1" applyFill="1" applyAlignment="1">
      <alignment horizontal="right" vertical="center" wrapText="1"/>
    </xf>
    <xf numFmtId="0" fontId="15" fillId="0" borderId="32" xfId="0" applyFont="1" applyBorder="1" applyAlignment="1" applyProtection="1">
      <alignment horizontal="center" vertical="top"/>
      <protection locked="0"/>
    </xf>
    <xf numFmtId="0" fontId="15" fillId="0" borderId="34"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4" fillId="59" borderId="0" xfId="0" applyFont="1" applyFill="1" applyAlignment="1">
      <alignment horizontal="center"/>
    </xf>
    <xf numFmtId="0" fontId="4" fillId="2" borderId="0" xfId="0" applyFont="1" applyFill="1" applyAlignment="1">
      <alignment horizontal="center"/>
    </xf>
    <xf numFmtId="49" fontId="5" fillId="60" borderId="0" xfId="0" applyNumberFormat="1" applyFont="1" applyFill="1" applyAlignment="1">
      <alignment horizontal="center" vertical="center" wrapText="1"/>
    </xf>
    <xf numFmtId="49" fontId="5" fillId="3" borderId="0" xfId="0" applyNumberFormat="1" applyFont="1" applyFill="1" applyAlignment="1">
      <alignment horizontal="center" vertical="center" wrapText="1"/>
    </xf>
    <xf numFmtId="0" fontId="6" fillId="0" borderId="0" xfId="0" applyFont="1" applyAlignment="1">
      <alignment horizontal="right" vertical="center"/>
    </xf>
    <xf numFmtId="193" fontId="6" fillId="22" borderId="125" xfId="0" applyNumberFormat="1" applyFont="1" applyFill="1" applyBorder="1" applyAlignment="1" applyProtection="1">
      <alignment horizontal="center" vertical="center" wrapText="1"/>
      <protection locked="0"/>
    </xf>
    <xf numFmtId="0" fontId="51" fillId="74" borderId="126" xfId="0" applyFont="1" applyFill="1" applyBorder="1" applyAlignment="1">
      <alignment horizontal="center" vertical="center" wrapText="1"/>
    </xf>
    <xf numFmtId="0" fontId="34" fillId="12" borderId="3" xfId="0" applyFont="1" applyFill="1" applyBorder="1" applyAlignment="1">
      <alignment horizontal="center" vertical="center" wrapText="1"/>
    </xf>
    <xf numFmtId="0" fontId="9" fillId="15" borderId="7" xfId="0" applyFont="1" applyFill="1" applyBorder="1" applyAlignment="1">
      <alignment horizontal="center" vertical="center"/>
    </xf>
    <xf numFmtId="0" fontId="12" fillId="9" borderId="83" xfId="0" applyFont="1" applyFill="1" applyBorder="1" applyAlignment="1">
      <alignment horizontal="right" vertical="center" indent="1"/>
    </xf>
    <xf numFmtId="0" fontId="12" fillId="9" borderId="131" xfId="0" applyFont="1" applyFill="1" applyBorder="1" applyAlignment="1">
      <alignment horizontal="right" vertical="center" indent="1"/>
    </xf>
    <xf numFmtId="0" fontId="17" fillId="0" borderId="0" xfId="0" applyFont="1" applyAlignment="1">
      <alignment horizontal="right" vertical="center" wrapText="1"/>
    </xf>
    <xf numFmtId="0" fontId="28" fillId="26" borderId="215" xfId="0" applyFont="1" applyFill="1" applyBorder="1" applyAlignment="1">
      <alignment horizontal="left" vertical="center" wrapText="1" indent="1"/>
    </xf>
    <xf numFmtId="0" fontId="28" fillId="26" borderId="134" xfId="0" applyFont="1" applyFill="1" applyBorder="1" applyAlignment="1">
      <alignment horizontal="left" vertical="center" wrapText="1" indent="1"/>
    </xf>
    <xf numFmtId="176" fontId="43" fillId="0" borderId="0" xfId="0" applyNumberFormat="1" applyFont="1" applyAlignment="1">
      <alignment horizontal="center" vertical="center"/>
    </xf>
    <xf numFmtId="0" fontId="42" fillId="18" borderId="0" xfId="0" applyFont="1" applyFill="1" applyAlignment="1">
      <alignment horizontal="center" vertical="top"/>
    </xf>
    <xf numFmtId="0" fontId="23" fillId="0" borderId="0" xfId="0" applyFont="1" applyAlignment="1">
      <alignment horizontal="center" vertical="center" wrapText="1"/>
    </xf>
    <xf numFmtId="0" fontId="9" fillId="9" borderId="7" xfId="0" applyFont="1" applyFill="1" applyBorder="1" applyAlignment="1">
      <alignment horizontal="right" vertical="center" indent="1"/>
    </xf>
    <xf numFmtId="0" fontId="17" fillId="0" borderId="9" xfId="0" applyFont="1" applyBorder="1" applyAlignment="1">
      <alignment horizontal="center" vertical="center"/>
    </xf>
    <xf numFmtId="0" fontId="0" fillId="9" borderId="76" xfId="0" applyFill="1" applyBorder="1" applyAlignment="1">
      <alignment horizontal="center" vertical="center"/>
    </xf>
    <xf numFmtId="0" fontId="12" fillId="0" borderId="19" xfId="0" applyFont="1" applyBorder="1" applyAlignment="1">
      <alignment horizontal="right" vertical="center"/>
    </xf>
    <xf numFmtId="0" fontId="44" fillId="0" borderId="206" xfId="0" applyFont="1" applyBorder="1" applyAlignment="1">
      <alignment horizontal="right" vertical="center" indent="1"/>
    </xf>
    <xf numFmtId="0" fontId="44" fillId="0" borderId="9" xfId="0" applyFont="1" applyBorder="1" applyAlignment="1">
      <alignment horizontal="right" vertical="center" indent="1"/>
    </xf>
    <xf numFmtId="0" fontId="44" fillId="0" borderId="135" xfId="0" applyFont="1" applyBorder="1" applyAlignment="1">
      <alignment horizontal="right" vertical="center" indent="1"/>
    </xf>
    <xf numFmtId="0" fontId="12" fillId="0" borderId="7" xfId="0" applyFont="1" applyBorder="1" applyAlignment="1">
      <alignment horizontal="right" vertical="center" indent="1"/>
    </xf>
    <xf numFmtId="0" fontId="7" fillId="0" borderId="0" xfId="0" applyFont="1" applyAlignment="1">
      <alignment horizontal="left" vertical="center" wrapText="1" indent="1"/>
    </xf>
    <xf numFmtId="0" fontId="9" fillId="9" borderId="7" xfId="0" applyFont="1" applyFill="1" applyBorder="1" applyAlignment="1">
      <alignment horizontal="right" vertical="center"/>
    </xf>
    <xf numFmtId="0" fontId="14" fillId="0" borderId="19" xfId="0" applyFont="1" applyBorder="1" applyAlignment="1">
      <alignment horizontal="left" vertical="center" indent="1"/>
    </xf>
    <xf numFmtId="0" fontId="14" fillId="0" borderId="9" xfId="0" applyFont="1" applyBorder="1" applyAlignment="1">
      <alignment horizontal="left" vertical="center" indent="1"/>
    </xf>
    <xf numFmtId="0" fontId="14" fillId="0" borderId="20" xfId="0" applyFont="1" applyBorder="1" applyAlignment="1">
      <alignment horizontal="left" vertical="center" indent="1"/>
    </xf>
    <xf numFmtId="0" fontId="12" fillId="0" borderId="80" xfId="0" applyFont="1" applyBorder="1" applyAlignment="1">
      <alignment horizontal="right" vertical="center" indent="1"/>
    </xf>
    <xf numFmtId="0" fontId="12" fillId="9" borderId="19" xfId="0" applyFont="1" applyFill="1" applyBorder="1" applyAlignment="1">
      <alignment horizontal="right" vertical="center"/>
    </xf>
    <xf numFmtId="0" fontId="12" fillId="9" borderId="9" xfId="0" applyFont="1" applyFill="1" applyBorder="1" applyAlignment="1">
      <alignment horizontal="right" vertical="center"/>
    </xf>
    <xf numFmtId="0" fontId="12" fillId="9" borderId="20" xfId="0" applyFont="1" applyFill="1" applyBorder="1" applyAlignment="1">
      <alignment horizontal="right" vertical="center"/>
    </xf>
    <xf numFmtId="0" fontId="12" fillId="9" borderId="28" xfId="0" applyFont="1" applyFill="1" applyBorder="1" applyAlignment="1">
      <alignment horizontal="right" vertical="center"/>
    </xf>
    <xf numFmtId="0" fontId="12" fillId="9" borderId="3" xfId="0" applyFont="1" applyFill="1" applyBorder="1" applyAlignment="1">
      <alignment horizontal="right" vertical="center"/>
    </xf>
    <xf numFmtId="0" fontId="12" fillId="9" borderId="213" xfId="0" applyFont="1" applyFill="1" applyBorder="1" applyAlignment="1">
      <alignment horizontal="right" vertical="center"/>
    </xf>
    <xf numFmtId="0" fontId="12" fillId="9" borderId="83" xfId="0" applyFont="1" applyFill="1" applyBorder="1" applyAlignment="1">
      <alignment horizontal="right" vertical="center"/>
    </xf>
    <xf numFmtId="0" fontId="12" fillId="9" borderId="12" xfId="0" applyFont="1" applyFill="1" applyBorder="1" applyAlignment="1">
      <alignment horizontal="right" vertical="center"/>
    </xf>
    <xf numFmtId="0" fontId="0" fillId="9" borderId="42" xfId="0" applyFill="1" applyBorder="1" applyAlignment="1">
      <alignment horizontal="center" vertical="center"/>
    </xf>
    <xf numFmtId="0" fontId="0" fillId="9" borderId="0" xfId="0" applyFill="1" applyAlignment="1">
      <alignment horizontal="center" vertical="center"/>
    </xf>
    <xf numFmtId="0" fontId="0" fillId="9" borderId="6" xfId="0" applyFill="1" applyBorder="1" applyAlignment="1">
      <alignment horizontal="center" vertical="center"/>
    </xf>
    <xf numFmtId="0" fontId="12" fillId="0" borderId="19" xfId="0" applyFont="1" applyBorder="1" applyAlignment="1">
      <alignment horizontal="right" vertical="center" indent="1"/>
    </xf>
    <xf numFmtId="0" fontId="12" fillId="0" borderId="9" xfId="0" applyFont="1" applyBorder="1" applyAlignment="1">
      <alignment horizontal="right" vertical="center" indent="1"/>
    </xf>
    <xf numFmtId="0" fontId="12" fillId="0" borderId="214" xfId="0" applyFont="1" applyBorder="1" applyAlignment="1">
      <alignment horizontal="right" vertical="center" indent="1"/>
    </xf>
    <xf numFmtId="0" fontId="17" fillId="0" borderId="12" xfId="0" applyFont="1" applyBorder="1" applyAlignment="1">
      <alignment horizontal="center" vertical="center"/>
    </xf>
    <xf numFmtId="0" fontId="3" fillId="9" borderId="19"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20" xfId="0" applyFont="1" applyFill="1" applyBorder="1" applyAlignment="1">
      <alignment horizontal="center" vertical="center"/>
    </xf>
    <xf numFmtId="0" fontId="0" fillId="9" borderId="41" xfId="0" applyFill="1" applyBorder="1" applyAlignment="1">
      <alignment horizontal="center" vertical="center"/>
    </xf>
    <xf numFmtId="0" fontId="17" fillId="9" borderId="19"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20" xfId="0" applyFont="1" applyFill="1" applyBorder="1" applyAlignment="1">
      <alignment horizontal="center" vertical="center"/>
    </xf>
    <xf numFmtId="0" fontId="5" fillId="60" borderId="0" xfId="0" applyFont="1" applyFill="1" applyAlignment="1">
      <alignment horizontal="center" vertical="center" wrapText="1"/>
    </xf>
    <xf numFmtId="0" fontId="9" fillId="9" borderId="7" xfId="0" applyFont="1" applyFill="1" applyBorder="1" applyAlignment="1">
      <alignment horizontal="left" vertical="center" indent="1"/>
    </xf>
    <xf numFmtId="0" fontId="91" fillId="60" borderId="0" xfId="0" applyFont="1" applyFill="1" applyAlignment="1">
      <alignment horizontal="center" vertical="center" wrapText="1"/>
    </xf>
    <xf numFmtId="0" fontId="17" fillId="0" borderId="0" xfId="0" applyFont="1" applyAlignment="1">
      <alignment horizontal="center" vertical="center" wrapText="1"/>
    </xf>
    <xf numFmtId="0" fontId="12" fillId="0" borderId="29" xfId="0" applyFont="1" applyBorder="1" applyAlignment="1">
      <alignment horizontal="center" vertical="center" textRotation="90" wrapText="1"/>
    </xf>
    <xf numFmtId="0" fontId="12" fillId="0" borderId="46" xfId="0" applyFont="1" applyBorder="1" applyAlignment="1">
      <alignment horizontal="center" vertical="center" textRotation="90" wrapText="1"/>
    </xf>
    <xf numFmtId="0" fontId="3" fillId="0" borderId="141" xfId="0" applyFont="1" applyBorder="1" applyAlignment="1">
      <alignment horizontal="center" vertical="center" wrapText="1"/>
    </xf>
    <xf numFmtId="0" fontId="5" fillId="14" borderId="7" xfId="0" applyFont="1" applyFill="1" applyBorder="1" applyAlignment="1">
      <alignment horizontal="right" vertical="center" wrapText="1" indent="1"/>
    </xf>
    <xf numFmtId="0" fontId="12" fillId="0" borderId="19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92" xfId="0" applyFont="1" applyBorder="1" applyAlignment="1">
      <alignment horizontal="center" vertical="center" textRotation="90" wrapText="1"/>
    </xf>
    <xf numFmtId="0" fontId="12" fillId="0" borderId="163" xfId="0" applyFont="1" applyBorder="1" applyAlignment="1">
      <alignment horizontal="center" vertical="center" textRotation="90" wrapText="1"/>
    </xf>
    <xf numFmtId="0" fontId="14" fillId="0" borderId="44"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46" xfId="0" applyFont="1" applyBorder="1" applyAlignment="1">
      <alignment horizontal="center" vertical="center" wrapText="1"/>
    </xf>
    <xf numFmtId="0" fontId="12" fillId="0" borderId="196"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97" xfId="0" applyFont="1" applyBorder="1" applyAlignment="1">
      <alignment horizontal="center" vertical="center" wrapText="1"/>
    </xf>
    <xf numFmtId="0" fontId="12" fillId="0" borderId="13" xfId="0" applyFont="1" applyBorder="1" applyAlignment="1">
      <alignment horizontal="center" vertical="center" wrapText="1"/>
    </xf>
    <xf numFmtId="0" fontId="5" fillId="14" borderId="123" xfId="0" applyFont="1" applyFill="1" applyBorder="1" applyAlignment="1">
      <alignment horizontal="right" vertical="center" wrapText="1" indent="1"/>
    </xf>
    <xf numFmtId="0" fontId="54" fillId="14" borderId="148" xfId="0" applyFont="1" applyFill="1" applyBorder="1" applyAlignment="1">
      <alignment horizontal="center" vertical="center" wrapText="1"/>
    </xf>
    <xf numFmtId="0" fontId="54" fillId="14" borderId="194" xfId="0" applyFont="1" applyFill="1" applyBorder="1" applyAlignment="1">
      <alignment horizontal="center" vertical="center" wrapText="1"/>
    </xf>
    <xf numFmtId="0" fontId="12" fillId="0" borderId="140" xfId="0" applyFont="1" applyBorder="1" applyAlignment="1">
      <alignment horizontal="center" vertical="center" textRotation="90" wrapText="1"/>
    </xf>
    <xf numFmtId="0" fontId="3" fillId="0" borderId="146" xfId="0" applyFont="1" applyBorder="1" applyAlignment="1">
      <alignment horizontal="center" vertical="center" wrapText="1"/>
    </xf>
    <xf numFmtId="0" fontId="3" fillId="14" borderId="86" xfId="0" applyFont="1" applyFill="1" applyBorder="1" applyAlignment="1">
      <alignment horizontal="center" vertical="center"/>
    </xf>
    <xf numFmtId="0" fontId="3" fillId="14" borderId="12" xfId="0" applyFont="1" applyFill="1" applyBorder="1" applyAlignment="1">
      <alignment horizontal="center" vertical="center"/>
    </xf>
    <xf numFmtId="0" fontId="3" fillId="14" borderId="89" xfId="0" applyFont="1" applyFill="1" applyBorder="1" applyAlignment="1">
      <alignment horizontal="center" vertical="center"/>
    </xf>
    <xf numFmtId="0" fontId="96" fillId="0" borderId="0" xfId="0" applyFont="1" applyAlignment="1">
      <alignment horizontal="right" vertical="center"/>
    </xf>
    <xf numFmtId="5" fontId="93" fillId="0" borderId="0" xfId="0" applyNumberFormat="1" applyFont="1" applyAlignment="1">
      <alignment horizontal="right" vertical="center"/>
    </xf>
    <xf numFmtId="0" fontId="50" fillId="59" borderId="0" xfId="0" applyFont="1" applyFill="1" applyAlignment="1">
      <alignment horizontal="center" vertical="center"/>
    </xf>
    <xf numFmtId="0" fontId="5" fillId="60" borderId="0" xfId="0" applyFont="1" applyFill="1" applyAlignment="1">
      <alignment horizontal="center" vertical="center"/>
    </xf>
    <xf numFmtId="0" fontId="24" fillId="59" borderId="0" xfId="0" applyFont="1" applyFill="1" applyAlignment="1">
      <alignment horizontal="right" vertical="center"/>
    </xf>
    <xf numFmtId="0" fontId="3" fillId="0" borderId="44" xfId="0" applyFont="1" applyBorder="1" applyAlignment="1">
      <alignment horizontal="center" vertical="center"/>
    </xf>
    <xf numFmtId="0" fontId="3" fillId="0" borderId="41" xfId="0" applyFont="1" applyBorder="1" applyAlignment="1">
      <alignment horizontal="center" vertical="center"/>
    </xf>
    <xf numFmtId="0" fontId="3" fillId="0" borderId="146" xfId="0" applyFont="1" applyBorder="1" applyAlignment="1">
      <alignment horizontal="center" vertical="center"/>
    </xf>
    <xf numFmtId="0" fontId="18" fillId="0" borderId="0" xfId="0" applyFont="1" applyAlignment="1">
      <alignment horizontal="left" vertical="top" wrapText="1"/>
    </xf>
    <xf numFmtId="0" fontId="18" fillId="0" borderId="2" xfId="0" applyFont="1" applyBorder="1" applyAlignment="1">
      <alignment horizontal="left" vertical="top" wrapText="1"/>
    </xf>
    <xf numFmtId="0" fontId="3" fillId="0" borderId="41" xfId="0" applyFont="1" applyBorder="1" applyAlignment="1">
      <alignment horizontal="center" vertical="center" wrapText="1"/>
    </xf>
    <xf numFmtId="0" fontId="3" fillId="0" borderId="142" xfId="0" applyFont="1" applyBorder="1" applyAlignment="1">
      <alignment horizontal="center" vertical="center" wrapText="1"/>
    </xf>
    <xf numFmtId="0" fontId="20" fillId="84" borderId="76" xfId="0" applyFont="1" applyFill="1" applyBorder="1" applyAlignment="1">
      <alignment horizontal="center" vertical="center"/>
    </xf>
    <xf numFmtId="0" fontId="20" fillId="84" borderId="41" xfId="0" applyFont="1" applyFill="1" applyBorder="1" applyAlignment="1">
      <alignment horizontal="center" vertical="center"/>
    </xf>
    <xf numFmtId="0" fontId="20" fillId="84" borderId="153" xfId="0" applyFont="1" applyFill="1" applyBorder="1" applyAlignment="1">
      <alignment horizontal="center" vertical="center"/>
    </xf>
    <xf numFmtId="0" fontId="3" fillId="84" borderId="76" xfId="0" applyFont="1" applyFill="1" applyBorder="1" applyAlignment="1">
      <alignment horizontal="center" vertical="center"/>
    </xf>
    <xf numFmtId="0" fontId="3" fillId="84" borderId="41" xfId="0" applyFont="1" applyFill="1" applyBorder="1" applyAlignment="1">
      <alignment horizontal="center" vertical="center"/>
    </xf>
    <xf numFmtId="0" fontId="13" fillId="0" borderId="2" xfId="0" applyFont="1" applyBorder="1" applyAlignment="1">
      <alignment horizontal="right" vertical="center"/>
    </xf>
    <xf numFmtId="0" fontId="12" fillId="0" borderId="140" xfId="0" applyFont="1" applyBorder="1" applyAlignment="1">
      <alignment horizontal="center" vertical="center" wrapText="1"/>
    </xf>
    <xf numFmtId="0" fontId="20" fillId="84" borderId="36" xfId="0" applyFont="1" applyFill="1" applyBorder="1" applyAlignment="1">
      <alignment horizontal="center" vertical="center"/>
    </xf>
    <xf numFmtId="0" fontId="7" fillId="0" borderId="130" xfId="0" applyFont="1" applyBorder="1" applyAlignment="1">
      <alignment horizontal="center" vertical="center" wrapText="1"/>
    </xf>
    <xf numFmtId="0" fontId="34" fillId="26" borderId="85" xfId="0" applyFont="1" applyFill="1" applyBorder="1" applyAlignment="1">
      <alignment horizontal="center" vertical="center"/>
    </xf>
    <xf numFmtId="0" fontId="103" fillId="51" borderId="92" xfId="0" applyFont="1" applyFill="1" applyBorder="1" applyAlignment="1">
      <alignment horizontal="left" vertical="center" wrapText="1"/>
    </xf>
    <xf numFmtId="0" fontId="103" fillId="52" borderId="92" xfId="0" applyFont="1" applyFill="1" applyBorder="1" applyAlignment="1">
      <alignment horizontal="left" vertical="center" wrapText="1"/>
    </xf>
    <xf numFmtId="0" fontId="103" fillId="15" borderId="92" xfId="0" applyFont="1" applyFill="1" applyBorder="1" applyAlignment="1">
      <alignment horizontal="left" vertical="center" wrapText="1"/>
    </xf>
    <xf numFmtId="0" fontId="24" fillId="26" borderId="85" xfId="0" applyFont="1" applyFill="1" applyBorder="1" applyAlignment="1">
      <alignment horizontal="center" vertical="center" wrapText="1"/>
    </xf>
    <xf numFmtId="0" fontId="34" fillId="26" borderId="83" xfId="0" applyFont="1" applyFill="1" applyBorder="1" applyAlignment="1">
      <alignment horizontal="center" vertical="center" wrapText="1"/>
    </xf>
    <xf numFmtId="0" fontId="34" fillId="26" borderId="7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34" fillId="26" borderId="63" xfId="0" applyFont="1" applyFill="1" applyBorder="1" applyAlignment="1">
      <alignment horizontal="center" vertical="center" wrapText="1"/>
    </xf>
    <xf numFmtId="0" fontId="50" fillId="26" borderId="77" xfId="0" applyFont="1" applyFill="1" applyBorder="1" applyAlignment="1">
      <alignment horizontal="center" vertical="center" wrapText="1"/>
    </xf>
    <xf numFmtId="0" fontId="102" fillId="15" borderId="91" xfId="0" applyFont="1" applyFill="1" applyBorder="1" applyAlignment="1">
      <alignment horizontal="center" vertical="center"/>
    </xf>
    <xf numFmtId="0" fontId="24" fillId="26" borderId="12" xfId="0" applyFont="1" applyFill="1" applyBorder="1" applyAlignment="1">
      <alignment horizontal="center" vertical="center" wrapText="1"/>
    </xf>
    <xf numFmtId="0" fontId="24" fillId="26" borderId="78" xfId="0" applyFont="1" applyFill="1" applyBorder="1" applyAlignment="1">
      <alignment horizontal="center" vertical="center" wrapText="1"/>
    </xf>
    <xf numFmtId="0" fontId="24" fillId="26" borderId="7" xfId="0" applyFont="1" applyFill="1" applyBorder="1" applyAlignment="1">
      <alignment horizontal="center" vertical="center" wrapText="1"/>
    </xf>
    <xf numFmtId="0" fontId="24" fillId="26" borderId="91" xfId="0" applyFont="1" applyFill="1" applyBorder="1" applyAlignment="1">
      <alignment horizontal="center" vertical="center" wrapText="1"/>
    </xf>
    <xf numFmtId="0" fontId="24" fillId="26" borderId="63" xfId="0" applyFont="1" applyFill="1" applyBorder="1" applyAlignment="1">
      <alignment horizontal="center" vertical="center" wrapText="1"/>
    </xf>
    <xf numFmtId="0" fontId="101" fillId="4" borderId="0" xfId="0" applyFont="1" applyFill="1" applyAlignment="1">
      <alignment horizontal="left" vertical="center" wrapText="1"/>
    </xf>
    <xf numFmtId="0" fontId="101" fillId="4" borderId="3" xfId="0" applyFont="1" applyFill="1" applyBorder="1" applyAlignment="1">
      <alignment horizontal="center"/>
    </xf>
    <xf numFmtId="0" fontId="34" fillId="26" borderId="3" xfId="0" applyFont="1" applyFill="1" applyBorder="1" applyAlignment="1">
      <alignment horizontal="center" vertical="center" wrapText="1"/>
    </xf>
    <xf numFmtId="0" fontId="34" fillId="26" borderId="0" xfId="0" applyFont="1" applyFill="1" applyAlignment="1">
      <alignment horizontal="center" vertical="center" wrapText="1"/>
    </xf>
    <xf numFmtId="0" fontId="34" fillId="26" borderId="210" xfId="0" applyFont="1" applyFill="1" applyBorder="1" applyAlignment="1">
      <alignment horizontal="center" vertical="center" wrapText="1"/>
    </xf>
    <xf numFmtId="0" fontId="102" fillId="51" borderId="91" xfId="0" applyFont="1" applyFill="1" applyBorder="1" applyAlignment="1">
      <alignment horizontal="center" vertical="center"/>
    </xf>
    <xf numFmtId="0" fontId="102" fillId="52" borderId="91" xfId="0" applyFont="1" applyFill="1" applyBorder="1" applyAlignment="1">
      <alignment horizontal="center" vertical="center"/>
    </xf>
    <xf numFmtId="0" fontId="105" fillId="59" borderId="0" xfId="0" applyFont="1" applyFill="1" applyAlignment="1">
      <alignment horizontal="center"/>
    </xf>
    <xf numFmtId="0" fontId="28" fillId="60" borderId="0" xfId="0" applyFont="1" applyFill="1" applyAlignment="1">
      <alignment horizontal="center" vertical="center" wrapText="1"/>
    </xf>
    <xf numFmtId="165" fontId="58" fillId="50" borderId="0" xfId="0" applyNumberFormat="1" applyFont="1" applyFill="1" applyAlignment="1">
      <alignment horizontal="center" vertical="center"/>
    </xf>
    <xf numFmtId="0" fontId="101" fillId="4" borderId="130" xfId="0" applyFont="1" applyFill="1" applyBorder="1" applyAlignment="1">
      <alignment horizontal="left" vertical="center" wrapText="1" indent="1"/>
    </xf>
    <xf numFmtId="0" fontId="6" fillId="0" borderId="0" xfId="0" applyFont="1" applyAlignment="1">
      <alignment horizontal="center"/>
    </xf>
    <xf numFmtId="0" fontId="60" fillId="0" borderId="0" xfId="0" applyFont="1" applyAlignment="1">
      <alignment horizontal="center" wrapText="1"/>
    </xf>
    <xf numFmtId="0" fontId="11" fillId="0" borderId="0" xfId="0" applyFont="1" applyAlignment="1">
      <alignment horizontal="center"/>
    </xf>
    <xf numFmtId="0" fontId="61" fillId="0" borderId="0" xfId="0" applyFont="1" applyAlignment="1">
      <alignment horizontal="center" vertical="center"/>
    </xf>
    <xf numFmtId="0" fontId="62" fillId="0" borderId="0" xfId="0" applyFont="1" applyAlignment="1">
      <alignment horizontal="center" vertical="center"/>
    </xf>
    <xf numFmtId="0" fontId="63" fillId="0" borderId="0" xfId="0" applyFont="1" applyAlignment="1">
      <alignment horizontal="center"/>
    </xf>
    <xf numFmtId="0" fontId="66" fillId="0" borderId="19" xfId="0" applyFont="1" applyBorder="1" applyAlignment="1">
      <alignment horizontal="right" vertical="center" indent="1"/>
    </xf>
    <xf numFmtId="0" fontId="66" fillId="0" borderId="9" xfId="0" applyFont="1" applyBorder="1" applyAlignment="1">
      <alignment horizontal="right" vertical="center" indent="1"/>
    </xf>
    <xf numFmtId="0" fontId="66" fillId="0" borderId="20" xfId="0" applyFont="1" applyBorder="1" applyAlignment="1">
      <alignment horizontal="right" vertical="center" indent="1"/>
    </xf>
    <xf numFmtId="49" fontId="69" fillId="0" borderId="12" xfId="0" applyNumberFormat="1" applyFont="1" applyBorder="1" applyAlignment="1">
      <alignment vertical="center"/>
    </xf>
    <xf numFmtId="0" fontId="0" fillId="4" borderId="12" xfId="0" applyFill="1" applyBorder="1" applyAlignment="1">
      <alignment vertical="center"/>
    </xf>
    <xf numFmtId="193" fontId="70" fillId="0" borderId="19" xfId="0" applyNumberFormat="1" applyFont="1" applyBorder="1" applyAlignment="1">
      <alignment horizontal="center" vertical="center"/>
    </xf>
    <xf numFmtId="193" fontId="70" fillId="0" borderId="20" xfId="0" applyNumberFormat="1" applyFont="1" applyBorder="1" applyAlignment="1">
      <alignment horizontal="center" vertical="center"/>
    </xf>
    <xf numFmtId="193" fontId="3" fillId="0" borderId="28" xfId="0" applyNumberFormat="1" applyFont="1" applyBorder="1" applyAlignment="1" applyProtection="1">
      <alignment horizontal="center" vertical="center"/>
      <protection locked="0"/>
    </xf>
    <xf numFmtId="193" fontId="3" fillId="0" borderId="106" xfId="0" applyNumberFormat="1" applyFont="1" applyBorder="1" applyAlignment="1" applyProtection="1">
      <alignment horizontal="center" vertical="center"/>
      <protection locked="0"/>
    </xf>
    <xf numFmtId="0" fontId="3" fillId="0" borderId="17" xfId="0" applyFont="1" applyBorder="1" applyAlignment="1" applyProtection="1">
      <alignment horizontal="left" vertical="center" indent="1"/>
      <protection locked="0"/>
    </xf>
    <xf numFmtId="0" fontId="3" fillId="0" borderId="28" xfId="0" applyFont="1" applyBorder="1" applyAlignment="1">
      <alignment horizontal="left" vertical="center"/>
    </xf>
    <xf numFmtId="0" fontId="3" fillId="0" borderId="3" xfId="0" applyFont="1" applyBorder="1" applyAlignment="1">
      <alignment horizontal="left" vertical="center"/>
    </xf>
    <xf numFmtId="0" fontId="3" fillId="0" borderId="106" xfId="0" applyFont="1" applyBorder="1" applyAlignment="1">
      <alignment horizontal="left" vertical="center"/>
    </xf>
    <xf numFmtId="0" fontId="66" fillId="0" borderId="0" xfId="0" applyFont="1" applyAlignment="1">
      <alignment horizontal="left" vertical="center" indent="1"/>
    </xf>
    <xf numFmtId="0" fontId="12" fillId="5" borderId="3" xfId="0" applyFont="1" applyFill="1" applyBorder="1" applyAlignment="1">
      <alignment horizontal="left" vertical="center" indent="1"/>
    </xf>
    <xf numFmtId="0" fontId="12" fillId="0" borderId="0" xfId="0" applyFont="1" applyAlignment="1">
      <alignment horizontal="center" vertical="center"/>
    </xf>
    <xf numFmtId="0" fontId="12"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3" xfId="0" applyFont="1" applyBorder="1" applyAlignment="1" applyProtection="1">
      <alignment horizontal="left" vertical="top" wrapText="1" indent="1"/>
      <protection locked="0"/>
    </xf>
    <xf numFmtId="0" fontId="17" fillId="0" borderId="12" xfId="0" applyFont="1" applyBorder="1" applyAlignment="1" applyProtection="1">
      <alignment horizontal="left" vertical="top" wrapText="1" indent="1"/>
      <protection locked="0"/>
    </xf>
    <xf numFmtId="0" fontId="17" fillId="0" borderId="82" xfId="0" applyFont="1" applyBorder="1" applyAlignment="1" applyProtection="1">
      <alignment horizontal="left" vertical="top" wrapText="1" indent="1"/>
      <protection locked="0"/>
    </xf>
    <xf numFmtId="0" fontId="17" fillId="0" borderId="28" xfId="0" applyFont="1" applyBorder="1" applyAlignment="1" applyProtection="1">
      <alignment horizontal="left" vertical="top" wrapText="1" indent="1"/>
      <protection locked="0"/>
    </xf>
    <xf numFmtId="0" fontId="17" fillId="0" borderId="3" xfId="0" applyFont="1" applyBorder="1" applyAlignment="1" applyProtection="1">
      <alignment horizontal="left" vertical="top" wrapText="1" indent="1"/>
      <protection locked="0"/>
    </xf>
    <xf numFmtId="0" fontId="17" fillId="0" borderId="106" xfId="0" applyFont="1" applyBorder="1" applyAlignment="1" applyProtection="1">
      <alignment horizontal="left" vertical="top" wrapText="1" indent="1"/>
      <protection locked="0"/>
    </xf>
    <xf numFmtId="0" fontId="17" fillId="0" borderId="19" xfId="0" applyFont="1" applyBorder="1" applyAlignment="1" applyProtection="1">
      <alignment horizontal="left" vertical="top" indent="1"/>
      <protection locked="0"/>
    </xf>
    <xf numFmtId="0" fontId="17" fillId="0" borderId="9" xfId="0" applyFont="1" applyBorder="1" applyAlignment="1" applyProtection="1">
      <alignment horizontal="left" vertical="top" indent="1"/>
      <protection locked="0"/>
    </xf>
    <xf numFmtId="0" fontId="17" fillId="0" borderId="20" xfId="0" applyFont="1" applyBorder="1" applyAlignment="1" applyProtection="1">
      <alignment horizontal="left" vertical="top" indent="1"/>
      <protection locked="0"/>
    </xf>
    <xf numFmtId="0" fontId="66" fillId="4" borderId="83" xfId="0" applyFont="1" applyFill="1" applyBorder="1" applyAlignment="1">
      <alignment horizontal="left" vertical="center" indent="1"/>
    </xf>
    <xf numFmtId="0" fontId="66" fillId="4" borderId="82" xfId="0" applyFont="1" applyFill="1" applyBorder="1" applyAlignment="1">
      <alignment horizontal="left" vertical="center" indent="1"/>
    </xf>
    <xf numFmtId="0" fontId="66" fillId="4" borderId="76" xfId="0" applyFont="1" applyFill="1" applyBorder="1" applyAlignment="1">
      <alignment horizontal="left" vertical="center" indent="1"/>
    </xf>
    <xf numFmtId="0" fontId="66" fillId="4" borderId="12" xfId="0" applyFont="1" applyFill="1" applyBorder="1" applyAlignment="1">
      <alignment horizontal="left" vertical="center" indent="1"/>
    </xf>
    <xf numFmtId="0" fontId="3" fillId="0" borderId="28"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106" xfId="0" applyFont="1" applyBorder="1" applyAlignment="1" applyProtection="1">
      <alignment horizontal="left" vertical="center"/>
      <protection locked="0"/>
    </xf>
    <xf numFmtId="0" fontId="67" fillId="0" borderId="0" xfId="0" applyFont="1" applyAlignment="1">
      <alignment horizontal="right" vertical="center" indent="1"/>
    </xf>
    <xf numFmtId="0" fontId="12" fillId="5" borderId="9" xfId="0" applyFont="1" applyFill="1" applyBorder="1" applyAlignment="1">
      <alignment horizontal="right" vertical="center"/>
    </xf>
    <xf numFmtId="0" fontId="65" fillId="5" borderId="83" xfId="0" applyFont="1" applyFill="1" applyBorder="1" applyAlignment="1">
      <alignment horizontal="center" vertical="center"/>
    </xf>
    <xf numFmtId="0" fontId="65" fillId="5" borderId="12" xfId="0" applyFont="1" applyFill="1" applyBorder="1" applyAlignment="1">
      <alignment horizontal="center" vertical="center"/>
    </xf>
    <xf numFmtId="0" fontId="65" fillId="5" borderId="82" xfId="0" applyFont="1" applyFill="1" applyBorder="1" applyAlignment="1">
      <alignment horizontal="center" vertical="center"/>
    </xf>
    <xf numFmtId="0" fontId="3" fillId="5" borderId="42"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6" xfId="0" applyFont="1" applyFill="1" applyBorder="1" applyAlignment="1">
      <alignment horizontal="center" vertical="center" wrapText="1"/>
    </xf>
    <xf numFmtId="0" fontId="3" fillId="5" borderId="28"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106" xfId="0" applyFont="1" applyFill="1" applyBorder="1" applyAlignment="1">
      <alignment horizontal="center" vertical="top" wrapText="1"/>
    </xf>
    <xf numFmtId="0" fontId="66" fillId="0" borderId="6" xfId="0" applyFont="1" applyBorder="1" applyAlignment="1">
      <alignment horizontal="right" vertical="center" indent="1"/>
    </xf>
    <xf numFmtId="0" fontId="66" fillId="0" borderId="42" xfId="0" applyFont="1" applyBorder="1" applyAlignment="1">
      <alignment horizontal="right" vertical="center" indent="1"/>
    </xf>
    <xf numFmtId="194" fontId="12" fillId="5" borderId="9" xfId="0" applyNumberFormat="1" applyFont="1" applyFill="1" applyBorder="1" applyAlignment="1">
      <alignment horizontal="left" vertical="center" indent="1"/>
    </xf>
    <xf numFmtId="0" fontId="17" fillId="0" borderId="0" xfId="0" applyFont="1" applyAlignment="1">
      <alignment horizontal="center" vertical="center"/>
    </xf>
    <xf numFmtId="0" fontId="12" fillId="5" borderId="3" xfId="0" applyFont="1" applyFill="1" applyBorder="1" applyAlignment="1">
      <alignment horizontal="right" vertical="center"/>
    </xf>
    <xf numFmtId="0" fontId="12" fillId="5" borderId="9" xfId="0" applyFont="1" applyFill="1" applyBorder="1" applyAlignment="1">
      <alignment horizontal="left" vertical="center" indent="1"/>
    </xf>
    <xf numFmtId="0" fontId="67" fillId="0" borderId="0" xfId="0" applyFont="1" applyAlignment="1">
      <alignment horizontal="left" vertical="center"/>
    </xf>
    <xf numFmtId="49" fontId="12" fillId="5" borderId="9" xfId="0" applyNumberFormat="1" applyFont="1" applyFill="1" applyBorder="1" applyAlignment="1">
      <alignment horizontal="left" vertical="center" indent="1"/>
    </xf>
    <xf numFmtId="0" fontId="124" fillId="0" borderId="0" xfId="0" applyFont="1" applyAlignment="1">
      <alignment horizontal="right" vertical="center"/>
    </xf>
    <xf numFmtId="0" fontId="66" fillId="0" borderId="0" xfId="0" applyFont="1" applyAlignment="1">
      <alignment horizontal="left" vertical="center"/>
    </xf>
    <xf numFmtId="0" fontId="12" fillId="5" borderId="3" xfId="0" applyFont="1" applyFill="1" applyBorder="1" applyAlignment="1">
      <alignment horizontal="center" vertical="center"/>
    </xf>
    <xf numFmtId="0" fontId="12" fillId="4" borderId="0" xfId="0" applyFont="1" applyFill="1" applyAlignment="1">
      <alignment horizontal="center" vertical="center"/>
    </xf>
    <xf numFmtId="0" fontId="64" fillId="0" borderId="76" xfId="0" applyFont="1" applyBorder="1" applyAlignment="1">
      <alignment horizontal="center" vertical="center"/>
    </xf>
    <xf numFmtId="0" fontId="52" fillId="0" borderId="41" xfId="0" applyFont="1" applyBorder="1" applyAlignment="1">
      <alignment horizontal="center" vertical="center"/>
    </xf>
    <xf numFmtId="0" fontId="52" fillId="0" borderId="17" xfId="0" applyFont="1" applyBorder="1" applyAlignment="1">
      <alignment horizontal="center" vertical="center"/>
    </xf>
    <xf numFmtId="0" fontId="65" fillId="0" borderId="0" xfId="0" applyFont="1" applyAlignment="1">
      <alignment horizontal="center" vertical="center"/>
    </xf>
    <xf numFmtId="0" fontId="66" fillId="0" borderId="0" xfId="0" applyFont="1" applyAlignment="1">
      <alignment horizontal="right" vertical="center" wrapText="1"/>
    </xf>
    <xf numFmtId="0" fontId="12" fillId="5" borderId="3" xfId="0" applyFont="1" applyFill="1" applyBorder="1" applyAlignment="1">
      <alignment horizontal="left" vertical="center" wrapText="1" indent="1"/>
    </xf>
    <xf numFmtId="0" fontId="5" fillId="59" borderId="0" xfId="0" applyFont="1" applyFill="1" applyAlignment="1">
      <alignment horizontal="center" vertical="center" wrapText="1"/>
    </xf>
    <xf numFmtId="0" fontId="4" fillId="60" borderId="0" xfId="0" applyFont="1" applyFill="1" applyAlignment="1">
      <alignment horizontal="center" vertical="center"/>
    </xf>
    <xf numFmtId="0" fontId="3" fillId="0" borderId="3" xfId="0" applyFont="1" applyBorder="1" applyAlignment="1">
      <alignment horizontal="left" vertical="center" wrapText="1"/>
    </xf>
    <xf numFmtId="0" fontId="3" fillId="0" borderId="17" xfId="0" applyFont="1" applyBorder="1" applyAlignment="1">
      <alignment horizontal="left" vertical="center" wrapText="1" indent="1"/>
    </xf>
    <xf numFmtId="0" fontId="73" fillId="15" borderId="7" xfId="0" applyFont="1" applyFill="1" applyBorder="1" applyAlignment="1">
      <alignment horizontal="right" vertical="center" indent="1"/>
    </xf>
    <xf numFmtId="0" fontId="16" fillId="0" borderId="0" xfId="0" applyFont="1" applyAlignment="1">
      <alignment vertical="center"/>
    </xf>
    <xf numFmtId="0" fontId="0" fillId="0" borderId="0" xfId="0" applyAlignment="1">
      <alignment vertical="center"/>
    </xf>
    <xf numFmtId="0" fontId="0" fillId="0" borderId="19" xfId="0" applyBorder="1" applyAlignment="1">
      <alignment horizontal="center" vertical="center"/>
    </xf>
    <xf numFmtId="0" fontId="12" fillId="22" borderId="81" xfId="0" applyFont="1" applyFill="1" applyBorder="1" applyAlignment="1">
      <alignment horizontal="left" vertical="center" indent="1"/>
    </xf>
    <xf numFmtId="0" fontId="17" fillId="0" borderId="152" xfId="0" applyFont="1" applyBorder="1" applyAlignment="1">
      <alignment horizontal="center" vertical="center"/>
    </xf>
    <xf numFmtId="0" fontId="45" fillId="0" borderId="20" xfId="0" applyFont="1" applyBorder="1" applyAlignment="1">
      <alignment horizontal="left" vertical="center" indent="1"/>
    </xf>
    <xf numFmtId="0" fontId="28" fillId="14" borderId="7" xfId="0" applyFont="1" applyFill="1" applyBorder="1" applyAlignment="1">
      <alignment horizontal="right" vertical="center" indent="1"/>
    </xf>
    <xf numFmtId="0" fontId="20" fillId="0" borderId="19" xfId="0" applyFont="1" applyBorder="1" applyAlignment="1">
      <alignment horizontal="center" vertical="center"/>
    </xf>
    <xf numFmtId="0" fontId="0" fillId="0" borderId="7" xfId="0" applyBorder="1" applyAlignment="1">
      <alignment horizontal="center" vertical="center"/>
    </xf>
    <xf numFmtId="0" fontId="20" fillId="0" borderId="0" xfId="0" applyFont="1" applyAlignment="1">
      <alignment vertical="center"/>
    </xf>
    <xf numFmtId="0" fontId="57" fillId="0" borderId="19" xfId="0" applyFont="1" applyBorder="1" applyAlignment="1">
      <alignment horizontal="center" vertical="center"/>
    </xf>
    <xf numFmtId="0" fontId="12" fillId="22" borderId="88" xfId="0" applyFont="1" applyFill="1" applyBorder="1" applyAlignment="1">
      <alignment horizontal="left" vertical="center" indent="1"/>
    </xf>
    <xf numFmtId="0" fontId="45" fillId="0" borderId="106" xfId="0" applyFont="1" applyBorder="1" applyAlignment="1">
      <alignment horizontal="left" vertical="center" indent="1"/>
    </xf>
    <xf numFmtId="0" fontId="20" fillId="0" borderId="7" xfId="0" applyFont="1" applyBorder="1" applyAlignment="1">
      <alignment horizontal="center" vertical="center"/>
    </xf>
    <xf numFmtId="0" fontId="28" fillId="31" borderId="7" xfId="0" applyFont="1" applyFill="1" applyBorder="1" applyAlignment="1">
      <alignment horizontal="right" vertical="center" indent="1"/>
    </xf>
    <xf numFmtId="0" fontId="4" fillId="59" borderId="0" xfId="0" applyFont="1" applyFill="1" applyAlignment="1">
      <alignment horizontal="center" vertical="center"/>
    </xf>
    <xf numFmtId="49" fontId="5" fillId="60" borderId="0" xfId="0" applyNumberFormat="1" applyFont="1" applyFill="1" applyAlignment="1">
      <alignment horizontal="center" vertical="center"/>
    </xf>
    <xf numFmtId="0" fontId="25" fillId="0" borderId="0" xfId="0" applyFont="1" applyAlignment="1">
      <alignment horizontal="center" vertical="top"/>
    </xf>
    <xf numFmtId="0" fontId="67" fillId="0" borderId="0" xfId="0" applyFont="1" applyAlignment="1">
      <alignment horizontal="center" vertical="center" wrapText="1"/>
    </xf>
    <xf numFmtId="0" fontId="12" fillId="0" borderId="0" xfId="0" applyFont="1" applyAlignment="1">
      <alignment horizontal="left" vertical="center" wrapText="1" indent="1"/>
    </xf>
    <xf numFmtId="0" fontId="12" fillId="15" borderId="7" xfId="0" applyFont="1" applyFill="1" applyBorder="1" applyAlignment="1">
      <alignment horizontal="right" vertical="center" indent="1"/>
    </xf>
    <xf numFmtId="0" fontId="57" fillId="0" borderId="110" xfId="0" applyFont="1" applyBorder="1" applyAlignment="1">
      <alignment horizontal="center" vertical="center"/>
    </xf>
    <xf numFmtId="0" fontId="45" fillId="0" borderId="19" xfId="0" applyFont="1" applyBorder="1" applyAlignment="1">
      <alignment horizontal="left" vertical="center" indent="1"/>
    </xf>
    <xf numFmtId="0" fontId="45" fillId="0" borderId="9" xfId="0" applyFont="1" applyBorder="1" applyAlignment="1">
      <alignment horizontal="left" vertical="center" indent="1"/>
    </xf>
    <xf numFmtId="0" fontId="28" fillId="14" borderId="82" xfId="0" applyFont="1" applyFill="1" applyBorder="1" applyAlignment="1">
      <alignment horizontal="right" vertical="center" indent="1"/>
    </xf>
    <xf numFmtId="0" fontId="28" fillId="14" borderId="20" xfId="0" applyFont="1" applyFill="1" applyBorder="1" applyAlignment="1">
      <alignment horizontal="right" vertical="center" indent="1"/>
    </xf>
    <xf numFmtId="184" fontId="17" fillId="0" borderId="7" xfId="0" applyNumberFormat="1" applyFont="1" applyBorder="1" applyAlignment="1">
      <alignment horizontal="center" vertical="center"/>
    </xf>
    <xf numFmtId="0" fontId="0" fillId="0" borderId="12" xfId="0" applyBorder="1" applyAlignment="1">
      <alignment horizontal="left" vertical="center"/>
    </xf>
    <xf numFmtId="0" fontId="45" fillId="0" borderId="28" xfId="0" applyFont="1" applyBorder="1" applyAlignment="1">
      <alignment horizontal="left" vertical="center" indent="1"/>
    </xf>
    <xf numFmtId="0" fontId="45" fillId="0" borderId="7" xfId="0" applyFont="1" applyBorder="1" applyAlignment="1">
      <alignment horizontal="left" vertical="center" indent="1"/>
    </xf>
    <xf numFmtId="0" fontId="17" fillId="0" borderId="88" xfId="0" applyFont="1" applyBorder="1" applyAlignment="1">
      <alignment horizontal="center" vertical="center"/>
    </xf>
    <xf numFmtId="0" fontId="17" fillId="0" borderId="22" xfId="0" applyFont="1" applyBorder="1" applyAlignment="1">
      <alignment horizontal="center" vertical="center"/>
    </xf>
    <xf numFmtId="0" fontId="12" fillId="0" borderId="76" xfId="0" applyFont="1" applyBorder="1" applyAlignment="1">
      <alignment horizontal="center" vertical="center"/>
    </xf>
    <xf numFmtId="0" fontId="12" fillId="0" borderId="41" xfId="0" applyFont="1" applyBorder="1" applyAlignment="1">
      <alignment horizontal="center" vertical="center"/>
    </xf>
    <xf numFmtId="0" fontId="12" fillId="0" borderId="17" xfId="0" applyFont="1"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52" fillId="0" borderId="0" xfId="0" applyFont="1" applyAlignment="1">
      <alignment horizontal="center" vertical="center"/>
    </xf>
    <xf numFmtId="0" fontId="17" fillId="0" borderId="0" xfId="0" applyFont="1" applyAlignment="1">
      <alignment horizontal="left" vertical="center" wrapText="1" indent="1"/>
    </xf>
    <xf numFmtId="0" fontId="57" fillId="0" borderId="83" xfId="0" applyFont="1" applyBorder="1" applyAlignment="1">
      <alignment horizontal="center" vertical="center"/>
    </xf>
    <xf numFmtId="0" fontId="57" fillId="0" borderId="42" xfId="0" applyFont="1" applyBorder="1" applyAlignment="1">
      <alignment horizontal="center" vertical="center"/>
    </xf>
    <xf numFmtId="0" fontId="57" fillId="0" borderId="28" xfId="0" applyFont="1" applyBorder="1" applyAlignment="1">
      <alignment horizontal="center" vertical="center"/>
    </xf>
    <xf numFmtId="0" fontId="0" fillId="0" borderId="87" xfId="0" applyBorder="1" applyAlignment="1">
      <alignment horizontal="center" vertical="center"/>
    </xf>
    <xf numFmtId="0" fontId="0" fillId="0" borderId="110" xfId="0" applyBorder="1" applyAlignment="1">
      <alignment horizontal="center" vertical="center"/>
    </xf>
    <xf numFmtId="0" fontId="0" fillId="0" borderId="28" xfId="0" applyBorder="1" applyAlignment="1">
      <alignment horizontal="center" vertical="center"/>
    </xf>
    <xf numFmtId="0" fontId="12" fillId="22" borderId="161" xfId="0" applyFont="1" applyFill="1" applyBorder="1" applyAlignment="1">
      <alignment horizontal="left" vertical="center"/>
    </xf>
    <xf numFmtId="0" fontId="12" fillId="22" borderId="9" xfId="0" applyFont="1" applyFill="1" applyBorder="1" applyAlignment="1">
      <alignment horizontal="left" vertical="center"/>
    </xf>
    <xf numFmtId="0" fontId="12" fillId="22" borderId="20" xfId="0" applyFont="1" applyFill="1" applyBorder="1" applyAlignment="1">
      <alignment horizontal="left" vertical="center"/>
    </xf>
    <xf numFmtId="0" fontId="27" fillId="0" borderId="0" xfId="0" applyFont="1" applyAlignment="1">
      <alignment horizontal="center" vertical="center"/>
    </xf>
    <xf numFmtId="0" fontId="17" fillId="0" borderId="0" xfId="0" applyFont="1" applyAlignment="1">
      <alignment horizontal="left" vertical="top" wrapText="1"/>
    </xf>
    <xf numFmtId="0" fontId="14" fillId="0" borderId="157" xfId="0" applyFont="1" applyBorder="1" applyAlignment="1">
      <alignment horizontal="left" vertical="center"/>
    </xf>
    <xf numFmtId="0" fontId="31" fillId="0" borderId="0" xfId="0" applyFont="1" applyAlignment="1">
      <alignment horizontal="left" vertical="center" wrapText="1"/>
    </xf>
    <xf numFmtId="0" fontId="14" fillId="0" borderId="0" xfId="0" applyFont="1" applyAlignment="1">
      <alignment horizontal="left" vertical="center" wrapText="1" indent="1"/>
    </xf>
    <xf numFmtId="0" fontId="20" fillId="0" borderId="8" xfId="0" applyFont="1" applyBorder="1" applyAlignment="1">
      <alignment horizontal="left" vertical="center" indent="1"/>
    </xf>
    <xf numFmtId="0" fontId="14" fillId="0" borderId="81"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3" fillId="0" borderId="81" xfId="0" applyFont="1" applyBorder="1" applyAlignment="1">
      <alignment horizontal="center" vertical="center"/>
    </xf>
    <xf numFmtId="49" fontId="3" fillId="0" borderId="7" xfId="0" applyNumberFormat="1" applyFont="1" applyBorder="1" applyAlignment="1">
      <alignment horizontal="center" vertical="center"/>
    </xf>
    <xf numFmtId="49" fontId="3" fillId="0" borderId="80" xfId="0" applyNumberFormat="1" applyFont="1" applyBorder="1" applyAlignment="1">
      <alignment horizontal="center" vertical="center"/>
    </xf>
    <xf numFmtId="0" fontId="3" fillId="0" borderId="80" xfId="0" applyFont="1" applyBorder="1" applyAlignment="1">
      <alignment horizontal="center" vertical="center"/>
    </xf>
    <xf numFmtId="0" fontId="20" fillId="0" borderId="155" xfId="0" applyFont="1" applyBorder="1" applyAlignment="1">
      <alignment horizontal="left" vertical="center" indent="1"/>
    </xf>
    <xf numFmtId="193" fontId="3" fillId="4" borderId="152" xfId="0" applyNumberFormat="1" applyFont="1" applyFill="1" applyBorder="1" applyAlignment="1">
      <alignment horizontal="center" vertical="center"/>
    </xf>
    <xf numFmtId="193" fontId="3" fillId="4" borderId="123" xfId="0" applyNumberFormat="1" applyFont="1" applyFill="1" applyBorder="1" applyAlignment="1">
      <alignment horizontal="center" vertical="center"/>
    </xf>
    <xf numFmtId="193" fontId="3" fillId="4" borderId="156" xfId="0" applyNumberFormat="1" applyFont="1" applyFill="1" applyBorder="1" applyAlignment="1">
      <alignment horizontal="center" vertical="center"/>
    </xf>
    <xf numFmtId="0" fontId="14" fillId="0" borderId="138" xfId="0" applyFont="1" applyBorder="1" applyAlignment="1">
      <alignment horizontal="left" vertical="center"/>
    </xf>
    <xf numFmtId="0" fontId="14" fillId="0" borderId="0" xfId="0" applyFont="1" applyAlignment="1">
      <alignment horizontal="left" vertical="top" wrapText="1" indent="1"/>
    </xf>
    <xf numFmtId="0" fontId="17" fillId="0" borderId="132" xfId="0" applyFont="1" applyBorder="1" applyAlignment="1">
      <alignment horizontal="left" vertical="center" wrapText="1" indent="1"/>
    </xf>
    <xf numFmtId="0" fontId="17" fillId="0" borderId="0" xfId="0" applyFont="1" applyAlignment="1">
      <alignment horizontal="left" vertical="center" wrapText="1"/>
    </xf>
    <xf numFmtId="0" fontId="20" fillId="0" borderId="5" xfId="0" applyFont="1" applyBorder="1" applyAlignment="1">
      <alignment horizontal="left" vertical="center"/>
    </xf>
    <xf numFmtId="0" fontId="3" fillId="0" borderId="4" xfId="0" applyFont="1" applyBorder="1" applyAlignment="1">
      <alignment horizontal="center" vertical="center"/>
    </xf>
    <xf numFmtId="0" fontId="17" fillId="0" borderId="107" xfId="0" applyFont="1" applyBorder="1" applyAlignment="1">
      <alignment horizontal="center" vertical="center"/>
    </xf>
    <xf numFmtId="0" fontId="3" fillId="0" borderId="7" xfId="0" applyFont="1" applyBorder="1" applyAlignment="1">
      <alignment horizontal="center" vertical="center"/>
    </xf>
    <xf numFmtId="0" fontId="48" fillId="0" borderId="0" xfId="0" applyFont="1" applyAlignment="1">
      <alignment horizontal="left" vertical="top" wrapText="1"/>
    </xf>
    <xf numFmtId="0" fontId="12" fillId="0" borderId="42" xfId="0" applyFont="1" applyBorder="1" applyAlignment="1">
      <alignment vertical="center"/>
    </xf>
    <xf numFmtId="0" fontId="45" fillId="0" borderId="9" xfId="0" applyFont="1" applyBorder="1" applyAlignment="1">
      <alignment horizontal="left" vertical="center" wrapText="1" indent="1"/>
    </xf>
    <xf numFmtId="0" fontId="45" fillId="0" borderId="20" xfId="0" applyFont="1" applyBorder="1" applyAlignment="1">
      <alignment horizontal="left" vertical="center" wrapText="1" indent="1"/>
    </xf>
    <xf numFmtId="0" fontId="12" fillId="27" borderId="9" xfId="0" applyFont="1" applyFill="1" applyBorder="1" applyAlignment="1">
      <alignment horizontal="left" vertical="center" indent="1"/>
    </xf>
    <xf numFmtId="0" fontId="12" fillId="15" borderId="7" xfId="0" applyFont="1" applyFill="1" applyBorder="1" applyAlignment="1">
      <alignment horizontal="left" vertical="center" indent="1"/>
    </xf>
    <xf numFmtId="0" fontId="28" fillId="18" borderId="7" xfId="0" applyFont="1" applyFill="1" applyBorder="1" applyAlignment="1">
      <alignment horizontal="left" vertical="center" indent="1"/>
    </xf>
    <xf numFmtId="0" fontId="44" fillId="32" borderId="7" xfId="0" applyFont="1" applyFill="1" applyBorder="1" applyAlignment="1">
      <alignment horizontal="center" vertical="center"/>
    </xf>
    <xf numFmtId="0" fontId="44" fillId="32" borderId="42" xfId="0" applyFont="1" applyFill="1" applyBorder="1" applyAlignment="1">
      <alignment horizontal="center" vertical="center"/>
    </xf>
    <xf numFmtId="0" fontId="12" fillId="27" borderId="7" xfId="0" applyFont="1" applyFill="1" applyBorder="1" applyAlignment="1">
      <alignment horizontal="left" vertical="center" indent="1"/>
    </xf>
    <xf numFmtId="165" fontId="44" fillId="32" borderId="7" xfId="2" applyNumberFormat="1" applyFont="1" applyFill="1" applyBorder="1" applyAlignment="1" applyProtection="1">
      <alignment horizontal="center" vertical="center"/>
    </xf>
    <xf numFmtId="0" fontId="26" fillId="0" borderId="12" xfId="0" applyFont="1" applyBorder="1" applyAlignment="1">
      <alignment horizontal="center" vertical="top" wrapText="1"/>
    </xf>
    <xf numFmtId="0" fontId="5" fillId="14" borderId="7" xfId="0" applyFont="1" applyFill="1" applyBorder="1" applyAlignment="1">
      <alignment horizontal="center" vertical="center"/>
    </xf>
    <xf numFmtId="0" fontId="12" fillId="0" borderId="7" xfId="0" applyFont="1" applyBorder="1" applyAlignment="1">
      <alignment horizontal="left" vertical="center" indent="1"/>
    </xf>
    <xf numFmtId="0" fontId="80" fillId="32" borderId="19" xfId="0" applyFont="1" applyFill="1" applyBorder="1" applyAlignment="1">
      <alignment horizontal="left" vertical="center" textRotation="90"/>
    </xf>
    <xf numFmtId="0" fontId="12" fillId="0" borderId="12" xfId="0" applyFont="1" applyBorder="1" applyAlignment="1">
      <alignment horizontal="left" vertical="center" indent="1"/>
    </xf>
    <xf numFmtId="0" fontId="14" fillId="0" borderId="7" xfId="0" applyFont="1" applyBorder="1" applyAlignment="1">
      <alignment vertical="center"/>
    </xf>
    <xf numFmtId="0" fontId="52" fillId="0" borderId="7" xfId="0" applyFont="1" applyBorder="1" applyAlignment="1">
      <alignment horizontal="center" vertical="center"/>
    </xf>
    <xf numFmtId="0" fontId="12" fillId="27" borderId="76" xfId="0" applyFont="1" applyFill="1" applyBorder="1" applyAlignment="1">
      <alignment horizontal="left" vertical="center" indent="1"/>
    </xf>
    <xf numFmtId="0" fontId="45" fillId="0" borderId="3" xfId="0" applyFont="1" applyBorder="1" applyAlignment="1">
      <alignment horizontal="left" vertical="center" indent="1"/>
    </xf>
    <xf numFmtId="0" fontId="0" fillId="0" borderId="17" xfId="0" applyBorder="1" applyAlignment="1">
      <alignment vertical="center"/>
    </xf>
    <xf numFmtId="0" fontId="14" fillId="0" borderId="7" xfId="0" applyFont="1" applyBorder="1" applyAlignment="1">
      <alignment horizontal="center" vertical="center"/>
    </xf>
    <xf numFmtId="0" fontId="45" fillId="0" borderId="106" xfId="0" applyFont="1" applyBorder="1" applyAlignment="1">
      <alignment horizontal="left" vertical="center" indent="1" shrinkToFit="1"/>
    </xf>
    <xf numFmtId="0" fontId="18" fillId="0" borderId="7" xfId="0" applyFont="1" applyBorder="1" applyAlignment="1">
      <alignment horizontal="center" vertical="center"/>
    </xf>
    <xf numFmtId="0" fontId="79" fillId="27" borderId="19" xfId="0" applyFont="1" applyFill="1" applyBorder="1" applyAlignment="1">
      <alignment horizontal="right" vertical="center" indent="1"/>
    </xf>
    <xf numFmtId="0" fontId="12" fillId="27" borderId="7" xfId="0" applyFont="1" applyFill="1" applyBorder="1" applyAlignment="1">
      <alignment horizontal="left" indent="1"/>
    </xf>
    <xf numFmtId="0" fontId="12" fillId="27" borderId="20" xfId="0" applyFont="1" applyFill="1" applyBorder="1" applyAlignment="1">
      <alignment horizontal="left" vertical="center" indent="1"/>
    </xf>
    <xf numFmtId="0" fontId="14" fillId="0" borderId="0" xfId="0" applyFont="1" applyAlignment="1">
      <alignment vertical="center"/>
    </xf>
    <xf numFmtId="1" fontId="17" fillId="0" borderId="0" xfId="0" applyNumberFormat="1" applyFont="1" applyAlignment="1">
      <alignment horizontal="center" vertical="center"/>
    </xf>
    <xf numFmtId="0" fontId="28" fillId="14" borderId="22" xfId="0" applyFont="1" applyFill="1" applyBorder="1" applyAlignment="1">
      <alignment horizontal="center" vertical="center"/>
    </xf>
    <xf numFmtId="0" fontId="16" fillId="0" borderId="0" xfId="0" applyFont="1" applyAlignment="1">
      <alignment horizontal="left" vertical="center" wrapText="1"/>
    </xf>
    <xf numFmtId="0" fontId="14" fillId="4" borderId="7" xfId="0" applyFont="1" applyFill="1" applyBorder="1" applyAlignment="1" applyProtection="1">
      <alignment horizontal="left" vertical="center" indent="1"/>
      <protection locked="0"/>
    </xf>
    <xf numFmtId="0" fontId="12" fillId="27" borderId="159" xfId="0" applyFont="1" applyFill="1" applyBorder="1" applyAlignment="1">
      <alignment horizontal="center" vertical="center"/>
    </xf>
    <xf numFmtId="0" fontId="9" fillId="4" borderId="158" xfId="0" applyFont="1" applyFill="1" applyBorder="1" applyAlignment="1">
      <alignment horizontal="left" vertical="center"/>
    </xf>
    <xf numFmtId="189" fontId="14" fillId="4" borderId="7" xfId="0" applyNumberFormat="1" applyFont="1" applyFill="1" applyBorder="1" applyAlignment="1" applyProtection="1">
      <alignment horizontal="left" vertical="center" indent="1"/>
      <protection locked="0"/>
    </xf>
    <xf numFmtId="0" fontId="12" fillId="0" borderId="130" xfId="0" applyFont="1" applyBorder="1" applyAlignment="1">
      <alignment horizontal="center" vertical="center" wrapText="1"/>
    </xf>
    <xf numFmtId="0" fontId="18" fillId="22" borderId="7" xfId="0" applyFont="1" applyFill="1" applyBorder="1" applyAlignment="1">
      <alignment horizontal="center" vertical="center"/>
    </xf>
    <xf numFmtId="0" fontId="25" fillId="28" borderId="7" xfId="0" applyFont="1" applyFill="1" applyBorder="1" applyAlignment="1">
      <alignment horizontal="left" vertical="center"/>
    </xf>
    <xf numFmtId="0" fontId="0" fillId="0" borderId="0" xfId="0" applyAlignment="1">
      <alignment horizontal="left" vertical="center"/>
    </xf>
    <xf numFmtId="0" fontId="28" fillId="85" borderId="20" xfId="0" applyFont="1" applyFill="1" applyBorder="1" applyAlignment="1">
      <alignment horizontal="left" vertical="center" wrapText="1"/>
    </xf>
    <xf numFmtId="0" fontId="21" fillId="28" borderId="7" xfId="0" applyFont="1" applyFill="1" applyBorder="1" applyAlignment="1">
      <alignment horizontal="left" vertical="center"/>
    </xf>
    <xf numFmtId="0" fontId="0" fillId="0" borderId="0" xfId="0" applyAlignment="1">
      <alignment horizontal="left" vertical="center" wrapText="1"/>
    </xf>
    <xf numFmtId="0" fontId="29" fillId="0" borderId="0" xfId="0" applyFont="1" applyAlignment="1">
      <alignment horizontal="center" vertical="top"/>
    </xf>
    <xf numFmtId="0" fontId="28" fillId="85" borderId="20" xfId="0" applyFont="1" applyFill="1" applyBorder="1" applyAlignment="1">
      <alignment horizontal="left" vertical="center" wrapText="1" indent="1"/>
    </xf>
    <xf numFmtId="0" fontId="32" fillId="0" borderId="26" xfId="0" applyFont="1" applyBorder="1" applyAlignment="1">
      <alignment horizontal="left" vertical="center" wrapText="1" indent="1"/>
    </xf>
    <xf numFmtId="0" fontId="28" fillId="2" borderId="1" xfId="0" applyFont="1" applyFill="1" applyBorder="1" applyAlignment="1">
      <alignment horizontal="center" vertical="center" wrapText="1"/>
    </xf>
    <xf numFmtId="0" fontId="30" fillId="4" borderId="0" xfId="0" applyFont="1" applyFill="1" applyAlignment="1">
      <alignment horizontal="center" vertical="center"/>
    </xf>
    <xf numFmtId="164" fontId="0" fillId="0" borderId="0" xfId="0" applyNumberFormat="1" applyAlignment="1">
      <alignment horizontal="center" vertical="center"/>
    </xf>
    <xf numFmtId="0" fontId="14" fillId="0" borderId="0" xfId="0" applyFont="1" applyAlignment="1">
      <alignment horizontal="left" vertical="center" indent="1"/>
    </xf>
    <xf numFmtId="164" fontId="21" fillId="0" borderId="7" xfId="0" applyNumberFormat="1" applyFont="1" applyBorder="1" applyAlignment="1">
      <alignment horizontal="right" indent="1"/>
    </xf>
    <xf numFmtId="0" fontId="16" fillId="0" borderId="0" xfId="0" applyFont="1" applyAlignment="1">
      <alignment horizontal="left" vertical="top" wrapText="1" indent="1"/>
    </xf>
    <xf numFmtId="0" fontId="25" fillId="0" borderId="0" xfId="0" applyFont="1" applyAlignment="1">
      <alignment horizontal="center"/>
    </xf>
    <xf numFmtId="0" fontId="4" fillId="59" borderId="0" xfId="0" applyFont="1" applyFill="1" applyAlignment="1">
      <alignment horizontal="center" wrapText="1"/>
    </xf>
    <xf numFmtId="0" fontId="15" fillId="0" borderId="0" xfId="0" applyFont="1" applyAlignment="1">
      <alignment horizontal="center" vertical="center"/>
    </xf>
    <xf numFmtId="0" fontId="117" fillId="0" borderId="0" xfId="0" applyFont="1" applyAlignment="1">
      <alignment horizontal="center" vertical="center"/>
    </xf>
    <xf numFmtId="0" fontId="28" fillId="12" borderId="0" xfId="0" applyFont="1" applyFill="1" applyAlignment="1">
      <alignment horizontal="center" vertical="center" wrapText="1"/>
    </xf>
    <xf numFmtId="0" fontId="121" fillId="12" borderId="0" xfId="0" applyFont="1" applyFill="1" applyAlignment="1">
      <alignment horizontal="center" vertical="center" wrapText="1"/>
    </xf>
    <xf numFmtId="0" fontId="119" fillId="64" borderId="25" xfId="0" applyFont="1" applyFill="1" applyBorder="1" applyAlignment="1">
      <alignment horizontal="center" vertical="center"/>
    </xf>
    <xf numFmtId="0" fontId="119" fillId="64" borderId="26" xfId="0" applyFont="1" applyFill="1" applyBorder="1" applyAlignment="1">
      <alignment horizontal="center" vertical="center"/>
    </xf>
    <xf numFmtId="0" fontId="119" fillId="64" borderId="27" xfId="0" applyFont="1" applyFill="1" applyBorder="1" applyAlignment="1">
      <alignment horizontal="center" vertical="center"/>
    </xf>
    <xf numFmtId="0" fontId="86" fillId="4" borderId="0" xfId="0" applyFont="1" applyFill="1" applyAlignment="1">
      <alignment horizontal="center" vertical="center" wrapText="1"/>
    </xf>
    <xf numFmtId="0" fontId="122" fillId="4" borderId="0" xfId="0" applyFont="1" applyFill="1" applyAlignment="1">
      <alignment horizontal="center" vertical="center" wrapText="1"/>
    </xf>
    <xf numFmtId="0" fontId="100" fillId="0" borderId="0" xfId="0" applyFont="1" applyAlignment="1">
      <alignment horizontal="center" vertical="center"/>
    </xf>
    <xf numFmtId="0" fontId="95" fillId="0" borderId="0" xfId="0" applyFont="1" applyAlignment="1">
      <alignment horizontal="right" vertical="center" wrapText="1" indent="1"/>
    </xf>
    <xf numFmtId="0" fontId="95" fillId="0" borderId="6" xfId="0" applyFont="1" applyBorder="1" applyAlignment="1">
      <alignment horizontal="right" vertical="center" wrapText="1" indent="1"/>
    </xf>
    <xf numFmtId="0" fontId="5" fillId="64" borderId="25" xfId="0" applyFont="1" applyFill="1" applyBorder="1" applyAlignment="1">
      <alignment horizontal="center" vertical="center" wrapText="1"/>
    </xf>
    <xf numFmtId="0" fontId="5" fillId="64" borderId="26" xfId="0" applyFont="1" applyFill="1" applyBorder="1" applyAlignment="1">
      <alignment horizontal="center" vertical="center" wrapText="1"/>
    </xf>
    <xf numFmtId="0" fontId="5" fillId="64" borderId="27" xfId="0" applyFont="1" applyFill="1" applyBorder="1" applyAlignment="1">
      <alignment horizontal="center" vertical="center" wrapText="1"/>
    </xf>
    <xf numFmtId="0" fontId="5" fillId="55" borderId="29" xfId="0" applyFont="1" applyFill="1" applyBorder="1" applyAlignment="1">
      <alignment horizontal="center" vertical="center"/>
    </xf>
    <xf numFmtId="0" fontId="5" fillId="55" borderId="30" xfId="0" applyFont="1" applyFill="1" applyBorder="1" applyAlignment="1">
      <alignment horizontal="center" vertical="center"/>
    </xf>
    <xf numFmtId="0" fontId="95" fillId="0" borderId="0" xfId="0" applyFont="1" applyAlignment="1">
      <alignment horizontal="right" vertical="center" indent="1"/>
    </xf>
    <xf numFmtId="0" fontId="95" fillId="0" borderId="6" xfId="0" applyFont="1" applyBorder="1" applyAlignment="1">
      <alignment horizontal="right" vertical="center" indent="1"/>
    </xf>
    <xf numFmtId="0" fontId="95" fillId="0" borderId="42" xfId="0" applyFont="1" applyBorder="1" applyAlignment="1">
      <alignment horizontal="right" vertical="center" indent="1"/>
    </xf>
    <xf numFmtId="0" fontId="50" fillId="14" borderId="202" xfId="0" applyFont="1" applyFill="1" applyBorder="1" applyAlignment="1">
      <alignment horizontal="center" vertical="center" wrapText="1"/>
    </xf>
    <xf numFmtId="0" fontId="50" fillId="14" borderId="37" xfId="0" applyFont="1" applyFill="1" applyBorder="1" applyAlignment="1">
      <alignment horizontal="center" vertical="center" wrapText="1"/>
    </xf>
    <xf numFmtId="0" fontId="50" fillId="14" borderId="164" xfId="0" applyFont="1" applyFill="1" applyBorder="1" applyAlignment="1">
      <alignment horizontal="center" vertical="center" wrapText="1"/>
    </xf>
    <xf numFmtId="164" fontId="52" fillId="0" borderId="0" xfId="0" applyNumberFormat="1" applyFont="1" applyAlignment="1">
      <alignment horizontal="right" vertical="center" wrapText="1"/>
    </xf>
    <xf numFmtId="0" fontId="13" fillId="0" borderId="0" xfId="0" applyFont="1" applyAlignment="1">
      <alignment horizontal="right" vertical="center"/>
    </xf>
    <xf numFmtId="0" fontId="18" fillId="0" borderId="0" xfId="0" applyFont="1" applyAlignment="1">
      <alignment horizontal="center" vertical="top" wrapText="1"/>
    </xf>
    <xf numFmtId="0" fontId="123" fillId="0" borderId="0" xfId="0" applyFont="1" applyAlignment="1">
      <alignment horizontal="center" vertical="center"/>
    </xf>
    <xf numFmtId="193" fontId="13" fillId="76" borderId="37" xfId="0" applyNumberFormat="1" applyFont="1" applyFill="1" applyBorder="1" applyAlignment="1" applyProtection="1">
      <alignment horizontal="center" vertical="center" wrapText="1"/>
      <protection locked="0"/>
    </xf>
    <xf numFmtId="0" fontId="99" fillId="36" borderId="238" xfId="0" applyFont="1" applyFill="1" applyBorder="1" applyAlignment="1">
      <alignment horizontal="center" vertical="center" wrapText="1"/>
    </xf>
    <xf numFmtId="0" fontId="99" fillId="36" borderId="240" xfId="0" applyFont="1" applyFill="1" applyBorder="1" applyAlignment="1">
      <alignment horizontal="center" vertical="center" wrapText="1"/>
    </xf>
    <xf numFmtId="164" fontId="28" fillId="14" borderId="241" xfId="0" applyNumberFormat="1" applyFont="1" applyFill="1" applyBorder="1" applyAlignment="1">
      <alignment horizontal="center" vertical="center" wrapText="1"/>
    </xf>
    <xf numFmtId="164" fontId="28" fillId="14" borderId="199" xfId="0" applyNumberFormat="1" applyFont="1" applyFill="1" applyBorder="1" applyAlignment="1">
      <alignment horizontal="center" vertical="center" wrapText="1"/>
    </xf>
    <xf numFmtId="0" fontId="12" fillId="0" borderId="29"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192" xfId="0" applyFont="1" applyBorder="1" applyAlignment="1">
      <alignment horizontal="center" vertical="center" wrapText="1"/>
    </xf>
    <xf numFmtId="0" fontId="4" fillId="44" borderId="0" xfId="0" applyFont="1" applyFill="1" applyAlignment="1">
      <alignment horizontal="center" vertical="center" wrapText="1"/>
    </xf>
    <xf numFmtId="0" fontId="24" fillId="0" borderId="0" xfId="0" applyFont="1" applyAlignment="1">
      <alignment horizontal="center" vertical="center"/>
    </xf>
    <xf numFmtId="0" fontId="54" fillId="14" borderId="238" xfId="0" applyFont="1" applyFill="1" applyBorder="1" applyAlignment="1">
      <alignment horizontal="center" vertical="center" wrapText="1"/>
    </xf>
    <xf numFmtId="0" fontId="54" fillId="14" borderId="205" xfId="0" applyFont="1" applyFill="1" applyBorder="1" applyAlignment="1">
      <alignment horizontal="center" vertical="center" wrapText="1"/>
    </xf>
    <xf numFmtId="0" fontId="3" fillId="84" borderId="146" xfId="0" applyFont="1" applyFill="1" applyBorder="1" applyAlignment="1">
      <alignment horizontal="center" vertical="center"/>
    </xf>
    <xf numFmtId="0" fontId="20" fillId="84" borderId="146" xfId="0" applyFont="1" applyFill="1" applyBorder="1" applyAlignment="1">
      <alignment horizontal="center" vertical="center"/>
    </xf>
  </cellXfs>
  <cellStyles count="20">
    <cellStyle name="Comma" xfId="1" builtinId="3"/>
    <cellStyle name="Currency" xfId="2" builtinId="4"/>
    <cellStyle name="Currency 2" xfId="4" xr:uid="{00000000-0005-0000-0000-000006000000}"/>
    <cellStyle name="Currency 2 2" xfId="5" xr:uid="{00000000-0005-0000-0000-000007000000}"/>
    <cellStyle name="Hyperlink 2" xfId="6" xr:uid="{00000000-0005-0000-0000-000008000000}"/>
    <cellStyle name="Normal" xfId="0" builtinId="0"/>
    <cellStyle name="Normal 2" xfId="7" xr:uid="{00000000-0005-0000-0000-000009000000}"/>
    <cellStyle name="Normal 2 2" xfId="8" xr:uid="{00000000-0005-0000-0000-00000A000000}"/>
    <cellStyle name="Normal 3" xfId="9" xr:uid="{00000000-0005-0000-0000-00000B000000}"/>
    <cellStyle name="Normal 3 2" xfId="10" xr:uid="{00000000-0005-0000-0000-00000C000000}"/>
    <cellStyle name="Normal 4" xfId="11" xr:uid="{00000000-0005-0000-0000-00000D000000}"/>
    <cellStyle name="Normal 4 2" xfId="12" xr:uid="{00000000-0005-0000-0000-00000E000000}"/>
    <cellStyle name="Normal 5" xfId="13" xr:uid="{00000000-0005-0000-0000-00000F000000}"/>
    <cellStyle name="Normal 5 2" xfId="14" xr:uid="{00000000-0005-0000-0000-000010000000}"/>
    <cellStyle name="Normal 5 3" xfId="15" xr:uid="{00000000-0005-0000-0000-000011000000}"/>
    <cellStyle name="Normal 6" xfId="16" xr:uid="{00000000-0005-0000-0000-000012000000}"/>
    <cellStyle name="Normal 6 2" xfId="17" xr:uid="{00000000-0005-0000-0000-000013000000}"/>
    <cellStyle name="Normal 7" xfId="18" xr:uid="{00000000-0005-0000-0000-000014000000}"/>
    <cellStyle name="Percent" xfId="3" builtinId="5"/>
    <cellStyle name="Percent 2" xfId="19" xr:uid="{00000000-0005-0000-0000-000015000000}"/>
  </cellStyles>
  <dxfs count="175">
    <dxf>
      <font>
        <b/>
        <i val="0"/>
        <color theme="0"/>
      </font>
      <fill>
        <patternFill>
          <bgColor rgb="FF00B050"/>
        </patternFill>
      </fill>
    </dxf>
    <dxf>
      <font>
        <color theme="0" tint="-0.14996795556505021"/>
      </font>
    </dxf>
    <dxf>
      <font>
        <color theme="0" tint="-0.14996795556505021"/>
      </font>
    </dxf>
    <dxf>
      <font>
        <color theme="0" tint="-0.499984740745262"/>
      </font>
    </dxf>
    <dxf>
      <font>
        <color theme="0" tint="-0.24994659260841701"/>
      </font>
    </dxf>
    <dxf>
      <font>
        <b/>
        <i val="0"/>
        <color rgb="FF000000"/>
      </font>
      <fill>
        <patternFill>
          <bgColor rgb="FFFFFF00"/>
        </patternFill>
      </fill>
    </dxf>
    <dxf>
      <font>
        <color theme="0"/>
      </font>
    </dxf>
    <dxf>
      <font>
        <color theme="0"/>
      </font>
    </dxf>
    <dxf>
      <font>
        <color theme="4" tint="0.79998168889431442"/>
      </font>
    </dxf>
    <dxf>
      <font>
        <color rgb="FFFFFF99"/>
      </font>
    </dxf>
    <dxf>
      <font>
        <b/>
        <i val="0"/>
        <color rgb="FF000000"/>
      </font>
      <fill>
        <patternFill>
          <bgColor rgb="FF009B1B"/>
        </patternFill>
      </fill>
    </dxf>
    <dxf>
      <font>
        <b/>
        <i val="0"/>
        <color rgb="FF000000"/>
      </font>
      <fill>
        <patternFill>
          <bgColor rgb="FF009B1B"/>
        </patternFill>
      </fill>
    </dxf>
    <dxf>
      <font>
        <b/>
        <i val="0"/>
        <color rgb="FF000000"/>
      </font>
      <fill>
        <patternFill>
          <bgColor rgb="FF009B1B"/>
        </patternFill>
      </fill>
    </dxf>
    <dxf>
      <font>
        <color rgb="FFFFFFFF"/>
      </font>
    </dxf>
    <dxf>
      <font>
        <color rgb="FFFFFFFF"/>
      </font>
    </dxf>
    <dxf>
      <font>
        <color rgb="FFFFFFFF"/>
      </font>
    </dxf>
    <dxf>
      <font>
        <color rgb="FFFFFFFF"/>
      </font>
    </dxf>
    <dxf>
      <font>
        <color rgb="FFFFFFFF"/>
      </font>
    </dxf>
    <dxf>
      <font>
        <color rgb="FFFFFF99"/>
      </font>
    </dxf>
    <dxf>
      <font>
        <b/>
        <i val="0"/>
        <color rgb="FF000000"/>
      </font>
    </dxf>
    <dxf>
      <font>
        <b/>
        <i val="0"/>
        <color rgb="FF000000"/>
      </font>
      <fill>
        <patternFill>
          <bgColor rgb="FF00FF00"/>
        </patternFill>
      </fill>
    </dxf>
    <dxf>
      <font>
        <b/>
        <i val="0"/>
        <color rgb="FFFFFFFF"/>
      </font>
      <fill>
        <patternFill>
          <bgColor rgb="FFFF0000"/>
        </patternFill>
      </fill>
    </dxf>
    <dxf>
      <font>
        <color rgb="FFFFFF99"/>
      </font>
    </dxf>
    <dxf>
      <font>
        <b/>
        <i val="0"/>
        <color rgb="FFFFFFFF"/>
      </font>
      <fill>
        <patternFill>
          <bgColor rgb="FFFF0000"/>
        </patternFill>
      </fill>
    </dxf>
    <dxf>
      <font>
        <color rgb="FFFFFF99"/>
      </font>
    </dxf>
    <dxf>
      <font>
        <color rgb="FFFFFF99"/>
      </font>
    </dxf>
    <dxf>
      <font>
        <color rgb="FFFFFFFF"/>
      </font>
    </dxf>
    <dxf>
      <font>
        <color rgb="FFF2F2F2"/>
      </font>
    </dxf>
    <dxf>
      <fill>
        <patternFill>
          <bgColor rgb="FFFF0000"/>
        </patternFill>
      </fill>
    </dxf>
    <dxf>
      <fill>
        <patternFill>
          <bgColor rgb="FFDCE6F2"/>
        </patternFill>
      </fill>
    </dxf>
    <dxf>
      <fill>
        <patternFill>
          <bgColor rgb="FFB9CDE5"/>
        </patternFill>
      </fill>
    </dxf>
    <dxf>
      <fill>
        <patternFill>
          <bgColor rgb="FFFF0000"/>
        </patternFill>
      </fill>
    </dxf>
    <dxf>
      <font>
        <b/>
        <i val="0"/>
        <color rgb="FF000000"/>
      </font>
      <fill>
        <patternFill>
          <bgColor rgb="FF00C000"/>
        </patternFill>
      </fill>
    </dxf>
    <dxf>
      <font>
        <b/>
        <i val="0"/>
        <color rgb="FFFFFFFF"/>
      </font>
      <fill>
        <patternFill>
          <bgColor rgb="FFDF0000"/>
        </patternFill>
      </fill>
    </dxf>
    <dxf>
      <font>
        <b/>
        <i val="0"/>
        <color rgb="FF000000"/>
      </font>
      <fill>
        <patternFill>
          <bgColor rgb="FF009B1B"/>
        </patternFill>
      </fill>
    </dxf>
    <dxf>
      <font>
        <color theme="0" tint="-0.24994659260841701"/>
      </font>
    </dxf>
    <dxf>
      <font>
        <color theme="0" tint="-0.499984740745262"/>
      </font>
    </dxf>
    <dxf>
      <font>
        <b/>
        <i val="0"/>
        <color rgb="FF000000"/>
      </font>
      <fill>
        <patternFill>
          <bgColor rgb="FFFFFF00"/>
        </patternFill>
      </fill>
    </dxf>
    <dxf>
      <font>
        <color rgb="FFFFFFFF"/>
      </font>
    </dxf>
    <dxf>
      <font>
        <color rgb="FFB7DEE8"/>
      </font>
    </dxf>
    <dxf>
      <font>
        <color rgb="FFFFFFFF"/>
      </font>
    </dxf>
    <dxf>
      <font>
        <color theme="0"/>
      </font>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b/>
        <i val="0"/>
        <color rgb="FFFFFFFF"/>
      </font>
      <fill>
        <patternFill>
          <bgColor rgb="FF10243E"/>
        </patternFill>
      </fill>
    </dxf>
    <dxf>
      <font>
        <color rgb="FFFFFFFF"/>
      </font>
    </dxf>
    <dxf>
      <font>
        <color rgb="FFFFFFFF"/>
      </font>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215968"/>
        </patternFill>
      </fill>
    </dxf>
    <dxf>
      <font>
        <color rgb="FFFFFFFF"/>
      </font>
      <fill>
        <patternFill>
          <bgColor rgb="FF403152"/>
        </patternFill>
      </fill>
    </dxf>
    <dxf>
      <font>
        <color rgb="FFFFFFFF"/>
      </font>
      <fill>
        <patternFill>
          <bgColor rgb="FF215968"/>
        </patternFill>
      </fill>
    </dxf>
    <dxf>
      <font>
        <color rgb="FFFFFFFF"/>
      </font>
      <fill>
        <patternFill>
          <bgColor rgb="FF4F6228"/>
        </patternFill>
      </fill>
    </dxf>
    <dxf>
      <font>
        <color rgb="FFFFFFFF"/>
      </font>
      <fill>
        <patternFill>
          <bgColor rgb="FF4F6228"/>
        </patternFill>
      </fill>
    </dxf>
    <dxf>
      <font>
        <color theme="1"/>
      </font>
      <fill>
        <patternFill>
          <bgColor theme="0" tint="-0.14996795556505021"/>
        </patternFill>
      </fill>
    </dxf>
    <dxf>
      <font>
        <color theme="1"/>
      </font>
      <fill>
        <patternFill>
          <bgColor theme="0" tint="-0.14996795556505021"/>
        </patternFill>
      </fill>
    </dxf>
    <dxf>
      <font>
        <b/>
        <i val="0"/>
        <color theme="0"/>
      </font>
      <fill>
        <patternFill>
          <bgColor rgb="FFFF0000"/>
        </patternFill>
      </fill>
    </dxf>
    <dxf>
      <font>
        <b/>
        <i val="0"/>
        <color rgb="FFFFFFFF"/>
      </font>
      <fill>
        <patternFill>
          <bgColor rgb="FFFF0000"/>
        </patternFill>
      </fill>
    </dxf>
    <dxf>
      <font>
        <color auto="1"/>
      </font>
      <fill>
        <patternFill>
          <bgColor rgb="FFDCE6F1"/>
        </patternFill>
      </fill>
    </dxf>
    <dxf>
      <font>
        <b/>
        <i val="0"/>
        <color theme="0"/>
      </font>
      <fill>
        <patternFill>
          <bgColor rgb="FFFF0000"/>
        </patternFill>
      </fill>
    </dxf>
    <dxf>
      <font>
        <b/>
        <i val="0"/>
        <color theme="0"/>
      </font>
      <fill>
        <patternFill>
          <bgColor rgb="FFFF0000"/>
        </patternFill>
      </fill>
    </dxf>
    <dxf>
      <font>
        <color rgb="FFFFFFFF"/>
      </font>
      <fill>
        <patternFill>
          <bgColor rgb="FF215968"/>
        </patternFill>
      </fill>
    </dxf>
    <dxf>
      <font>
        <color rgb="FFFFFFFF"/>
      </font>
      <fill>
        <patternFill>
          <bgColor rgb="FF215968"/>
        </patternFill>
      </fill>
    </dxf>
    <dxf>
      <font>
        <color rgb="FFFFFFFF"/>
      </font>
      <fill>
        <patternFill>
          <bgColor rgb="FF403152"/>
        </patternFill>
      </fill>
    </dxf>
    <dxf>
      <font>
        <color theme="1"/>
      </font>
      <fill>
        <patternFill>
          <bgColor theme="0" tint="-0.14996795556505021"/>
        </patternFill>
      </fill>
    </dxf>
    <dxf>
      <font>
        <color theme="1"/>
      </font>
      <fill>
        <patternFill>
          <bgColor theme="0" tint="-0.14996795556505021"/>
        </patternFill>
      </fill>
    </dxf>
    <dxf>
      <font>
        <b/>
        <i val="0"/>
        <color rgb="FFFFFFFF"/>
      </font>
      <fill>
        <patternFill>
          <bgColor rgb="FFFF0000"/>
        </patternFill>
      </fill>
    </dxf>
    <dxf>
      <fill>
        <patternFill>
          <bgColor rgb="FFDCE6F1"/>
        </patternFill>
      </fill>
    </dxf>
    <dxf>
      <font>
        <color rgb="FFFFFFFF"/>
      </font>
    </dxf>
    <dxf>
      <fill>
        <patternFill>
          <bgColor rgb="FFDCE6F1"/>
        </patternFill>
      </fill>
    </dxf>
    <dxf>
      <font>
        <color rgb="FFFFFFFF"/>
      </font>
    </dxf>
    <dxf>
      <fill>
        <patternFill>
          <bgColor rgb="FFDCE6F1"/>
        </patternFill>
      </fill>
    </dxf>
    <dxf>
      <font>
        <color rgb="FFFFFFFF"/>
      </font>
    </dxf>
    <dxf>
      <font>
        <color rgb="FFFFFFFF"/>
      </font>
    </dxf>
    <dxf>
      <font>
        <color rgb="FFFFFFFF"/>
      </font>
    </dxf>
    <dxf>
      <fill>
        <patternFill>
          <bgColor rgb="FFDCE6F2"/>
        </patternFill>
      </fill>
    </dxf>
    <dxf>
      <fill>
        <patternFill>
          <bgColor rgb="FFDCE6F1"/>
        </patternFill>
      </fill>
    </dxf>
    <dxf>
      <font>
        <color rgb="FFCCFFCC"/>
      </font>
    </dxf>
    <dxf>
      <font>
        <b/>
        <i val="0"/>
        <color rgb="FFFFFFFF"/>
      </font>
      <fill>
        <patternFill>
          <bgColor rgb="FF27B114"/>
        </patternFill>
      </fill>
    </dxf>
    <dxf>
      <font>
        <b/>
        <i val="0"/>
        <color rgb="FFFFFFFF"/>
      </font>
      <fill>
        <patternFill>
          <bgColor rgb="FFB21211"/>
        </patternFill>
      </fill>
    </dxf>
    <dxf>
      <font>
        <color rgb="FFFFFFFF"/>
      </font>
    </dxf>
    <dxf>
      <font>
        <color rgb="FFFFFF99"/>
      </font>
    </dxf>
    <dxf>
      <font>
        <color rgb="FFFFFFFF"/>
      </font>
    </dxf>
    <dxf>
      <font>
        <color rgb="FFFFFFFF"/>
      </font>
      <fill>
        <patternFill>
          <bgColor rgb="FF632523"/>
        </patternFill>
      </fill>
    </dxf>
    <dxf>
      <font>
        <color rgb="FFFFFFFF"/>
      </font>
      <fill>
        <patternFill>
          <bgColor rgb="FF17375E"/>
        </patternFill>
      </fill>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E6E0EC"/>
      <rgbColor rgb="FF00C000"/>
      <rgbColor rgb="FF800000"/>
      <rgbColor rgb="FF009B1B"/>
      <rgbColor rgb="FF0D203F"/>
      <rgbColor rgb="FF4F6228"/>
      <rgbColor rgb="FFEEECE1"/>
      <rgbColor rgb="FF215968"/>
      <rgbColor rgb="FFC0C0C0"/>
      <rgbColor rgb="FF83817A"/>
      <rgbColor rgb="FF8EB4E3"/>
      <rgbColor rgb="FF404040"/>
      <rgbColor rgb="FFEBF1DE"/>
      <rgbColor rgb="FFCCFFFF"/>
      <rgbColor rgb="FF18375E"/>
      <rgbColor rgb="FFBFBFBF"/>
      <rgbColor rgb="FF0070C8"/>
      <rgbColor rgb="FFC6D9F1"/>
      <rgbColor rgb="FF0D0D0D"/>
      <rgbColor rgb="FFDCE6F2"/>
      <rgbColor rgb="FFFFFF7F"/>
      <rgbColor rgb="FF95B3D7"/>
      <rgbColor rgb="FFFDEADA"/>
      <rgbColor rgb="FFDF0000"/>
      <rgbColor rgb="FF254061"/>
      <rgbColor rgb="FFF2F2F2"/>
      <rgbColor rgb="FF92CDDC"/>
      <rgbColor rgb="FFDBEEF4"/>
      <rgbColor rgb="FFCCFFCC"/>
      <rgbColor rgb="FFFFFF99"/>
      <rgbColor rgb="FF93CDDE"/>
      <rgbColor rgb="FFE6B9B8"/>
      <rgbColor rgb="FFB8A1C5"/>
      <rgbColor rgb="FFFAC090"/>
      <rgbColor rgb="FF335C8E"/>
      <rgbColor rgb="FF558ED5"/>
      <rgbColor rgb="FFC4BD97"/>
      <rgbColor rgb="FFDDD9C3"/>
      <rgbColor rgb="FFD9D9D9"/>
      <rgbColor rgb="FFE05427"/>
      <rgbColor rgb="FF604A7B"/>
      <rgbColor rgb="FFA6A6A6"/>
      <rgbColor rgb="FF17375E"/>
      <rgbColor rgb="FF27B114"/>
      <rgbColor rgb="FF10243E"/>
      <rgbColor rgb="FF4C2B36"/>
      <rgbColor rgb="FFB21211"/>
      <rgbColor rgb="FFB9CDE5"/>
      <rgbColor rgb="FF1F497D"/>
      <rgbColor rgb="FF333333"/>
      <rgbColor rgb="00003366"/>
      <rgbColor rgb="00339966"/>
      <rgbColor rgb="00003300"/>
      <rgbColor rgb="00333300"/>
      <rgbColor rgb="00993300"/>
      <rgbColor rgb="00993366"/>
      <rgbColor rgb="00333399"/>
      <rgbColor rgb="00333333"/>
    </indexedColors>
    <mruColors>
      <color rgb="FFDBEEF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1075680</xdr:colOff>
      <xdr:row>0</xdr:row>
      <xdr:rowOff>268920</xdr:rowOff>
    </xdr:from>
    <xdr:to>
      <xdr:col>9</xdr:col>
      <xdr:colOff>2033640</xdr:colOff>
      <xdr:row>2</xdr:row>
      <xdr:rowOff>436680</xdr:rowOff>
    </xdr:to>
    <xdr:pic>
      <xdr:nvPicPr>
        <xdr:cNvPr id="6" name="Picture 10">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xdr:blipFill>
      <xdr:spPr>
        <a:xfrm>
          <a:off x="12879000" y="268920"/>
          <a:ext cx="957960" cy="10249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594000</xdr:colOff>
      <xdr:row>0</xdr:row>
      <xdr:rowOff>156960</xdr:rowOff>
    </xdr:from>
    <xdr:to>
      <xdr:col>10</xdr:col>
      <xdr:colOff>498599</xdr:colOff>
      <xdr:row>2</xdr:row>
      <xdr:rowOff>324720</xdr:rowOff>
    </xdr:to>
    <xdr:pic>
      <xdr:nvPicPr>
        <xdr:cNvPr id="91" name="Picture 3">
          <a:extLst>
            <a:ext uri="{FF2B5EF4-FFF2-40B4-BE49-F238E27FC236}">
              <a16:creationId xmlns:a16="http://schemas.microsoft.com/office/drawing/2014/main" id="{00000000-0008-0000-0900-00005B000000}"/>
            </a:ext>
          </a:extLst>
        </xdr:cNvPr>
        <xdr:cNvPicPr/>
      </xdr:nvPicPr>
      <xdr:blipFill>
        <a:blip xmlns:r="http://schemas.openxmlformats.org/officeDocument/2006/relationships" r:embed="rId1"/>
        <a:stretch/>
      </xdr:blipFill>
      <xdr:spPr>
        <a:xfrm>
          <a:off x="8314920" y="156960"/>
          <a:ext cx="1013040" cy="102492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560160</xdr:colOff>
      <xdr:row>0</xdr:row>
      <xdr:rowOff>111960</xdr:rowOff>
    </xdr:from>
    <xdr:to>
      <xdr:col>10</xdr:col>
      <xdr:colOff>464759</xdr:colOff>
      <xdr:row>2</xdr:row>
      <xdr:rowOff>279720</xdr:rowOff>
    </xdr:to>
    <xdr:pic>
      <xdr:nvPicPr>
        <xdr:cNvPr id="92" name="Picture 3">
          <a:extLst>
            <a:ext uri="{FF2B5EF4-FFF2-40B4-BE49-F238E27FC236}">
              <a16:creationId xmlns:a16="http://schemas.microsoft.com/office/drawing/2014/main" id="{00000000-0008-0000-0A00-00005C000000}"/>
            </a:ext>
          </a:extLst>
        </xdr:cNvPr>
        <xdr:cNvPicPr/>
      </xdr:nvPicPr>
      <xdr:blipFill>
        <a:blip xmlns:r="http://schemas.openxmlformats.org/officeDocument/2006/relationships" r:embed="rId1"/>
        <a:stretch/>
      </xdr:blipFill>
      <xdr:spPr>
        <a:xfrm>
          <a:off x="8281080" y="111960"/>
          <a:ext cx="1013040" cy="102492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268920</xdr:colOff>
      <xdr:row>0</xdr:row>
      <xdr:rowOff>179280</xdr:rowOff>
    </xdr:from>
    <xdr:to>
      <xdr:col>13</xdr:col>
      <xdr:colOff>117360</xdr:colOff>
      <xdr:row>4</xdr:row>
      <xdr:rowOff>5945</xdr:rowOff>
    </xdr:to>
    <xdr:pic>
      <xdr:nvPicPr>
        <xdr:cNvPr id="93" name="Picture 2">
          <a:extLst>
            <a:ext uri="{FF2B5EF4-FFF2-40B4-BE49-F238E27FC236}">
              <a16:creationId xmlns:a16="http://schemas.microsoft.com/office/drawing/2014/main" id="{00000000-0008-0000-0B00-00005D000000}"/>
            </a:ext>
          </a:extLst>
        </xdr:cNvPr>
        <xdr:cNvPicPr/>
      </xdr:nvPicPr>
      <xdr:blipFill>
        <a:blip xmlns:r="http://schemas.openxmlformats.org/officeDocument/2006/relationships" r:embed="rId1"/>
        <a:stretch/>
      </xdr:blipFill>
      <xdr:spPr>
        <a:xfrm>
          <a:off x="9511200" y="179280"/>
          <a:ext cx="1027440" cy="102024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425880</xdr:colOff>
      <xdr:row>0</xdr:row>
      <xdr:rowOff>100800</xdr:rowOff>
    </xdr:from>
    <xdr:to>
      <xdr:col>9</xdr:col>
      <xdr:colOff>1383840</xdr:colOff>
      <xdr:row>4</xdr:row>
      <xdr:rowOff>21960</xdr:rowOff>
    </xdr:to>
    <xdr:pic>
      <xdr:nvPicPr>
        <xdr:cNvPr id="94" name="Picture 3">
          <a:extLst>
            <a:ext uri="{FF2B5EF4-FFF2-40B4-BE49-F238E27FC236}">
              <a16:creationId xmlns:a16="http://schemas.microsoft.com/office/drawing/2014/main" id="{00000000-0008-0000-0C00-00005E000000}"/>
            </a:ext>
          </a:extLst>
        </xdr:cNvPr>
        <xdr:cNvPicPr/>
      </xdr:nvPicPr>
      <xdr:blipFill>
        <a:blip xmlns:r="http://schemas.openxmlformats.org/officeDocument/2006/relationships" r:embed="rId1"/>
        <a:stretch/>
      </xdr:blipFill>
      <xdr:spPr>
        <a:xfrm>
          <a:off x="9548280" y="100800"/>
          <a:ext cx="957960" cy="101628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504360</xdr:colOff>
      <xdr:row>0</xdr:row>
      <xdr:rowOff>123120</xdr:rowOff>
    </xdr:from>
    <xdr:to>
      <xdr:col>6</xdr:col>
      <xdr:colOff>408960</xdr:colOff>
      <xdr:row>2</xdr:row>
      <xdr:rowOff>290880</xdr:rowOff>
    </xdr:to>
    <xdr:pic>
      <xdr:nvPicPr>
        <xdr:cNvPr id="95" name="Picture 2">
          <a:extLst>
            <a:ext uri="{FF2B5EF4-FFF2-40B4-BE49-F238E27FC236}">
              <a16:creationId xmlns:a16="http://schemas.microsoft.com/office/drawing/2014/main" id="{00000000-0008-0000-0D00-00005F000000}"/>
            </a:ext>
          </a:extLst>
        </xdr:cNvPr>
        <xdr:cNvPicPr/>
      </xdr:nvPicPr>
      <xdr:blipFill>
        <a:blip xmlns:r="http://schemas.openxmlformats.org/officeDocument/2006/relationships" r:embed="rId1"/>
        <a:stretch/>
      </xdr:blipFill>
      <xdr:spPr>
        <a:xfrm>
          <a:off x="10261440" y="123120"/>
          <a:ext cx="1013400" cy="10249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403560</xdr:colOff>
      <xdr:row>0</xdr:row>
      <xdr:rowOff>280080</xdr:rowOff>
    </xdr:from>
    <xdr:to>
      <xdr:col>5</xdr:col>
      <xdr:colOff>610560</xdr:colOff>
      <xdr:row>2</xdr:row>
      <xdr:rowOff>447840</xdr:rowOff>
    </xdr:to>
    <xdr:pic>
      <xdr:nvPicPr>
        <xdr:cNvPr id="96" name="Picture 2">
          <a:extLst>
            <a:ext uri="{FF2B5EF4-FFF2-40B4-BE49-F238E27FC236}">
              <a16:creationId xmlns:a16="http://schemas.microsoft.com/office/drawing/2014/main" id="{00000000-0008-0000-0E00-000060000000}"/>
            </a:ext>
          </a:extLst>
        </xdr:cNvPr>
        <xdr:cNvPicPr/>
      </xdr:nvPicPr>
      <xdr:blipFill>
        <a:blip xmlns:r="http://schemas.openxmlformats.org/officeDocument/2006/relationships" r:embed="rId1"/>
        <a:stretch/>
      </xdr:blipFill>
      <xdr:spPr>
        <a:xfrm>
          <a:off x="9485280" y="280080"/>
          <a:ext cx="1003320" cy="102492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1154160</xdr:colOff>
      <xdr:row>2</xdr:row>
      <xdr:rowOff>111960</xdr:rowOff>
    </xdr:from>
    <xdr:to>
      <xdr:col>6</xdr:col>
      <xdr:colOff>700102</xdr:colOff>
      <xdr:row>4</xdr:row>
      <xdr:rowOff>279720</xdr:rowOff>
    </xdr:to>
    <xdr:pic>
      <xdr:nvPicPr>
        <xdr:cNvPr id="97" name="Picture 2">
          <a:extLst>
            <a:ext uri="{FF2B5EF4-FFF2-40B4-BE49-F238E27FC236}">
              <a16:creationId xmlns:a16="http://schemas.microsoft.com/office/drawing/2014/main" id="{00000000-0008-0000-0F00-000061000000}"/>
            </a:ext>
          </a:extLst>
        </xdr:cNvPr>
        <xdr:cNvPicPr/>
      </xdr:nvPicPr>
      <xdr:blipFill>
        <a:blip xmlns:r="http://schemas.openxmlformats.org/officeDocument/2006/relationships" r:embed="rId1"/>
        <a:stretch/>
      </xdr:blipFill>
      <xdr:spPr>
        <a:xfrm>
          <a:off x="7675560" y="111960"/>
          <a:ext cx="1038960" cy="102492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1344600</xdr:colOff>
      <xdr:row>0</xdr:row>
      <xdr:rowOff>67320</xdr:rowOff>
    </xdr:from>
    <xdr:to>
      <xdr:col>7</xdr:col>
      <xdr:colOff>958206</xdr:colOff>
      <xdr:row>2</xdr:row>
      <xdr:rowOff>235080</xdr:rowOff>
    </xdr:to>
    <xdr:pic>
      <xdr:nvPicPr>
        <xdr:cNvPr id="98" name="Picture 2">
          <a:extLst>
            <a:ext uri="{FF2B5EF4-FFF2-40B4-BE49-F238E27FC236}">
              <a16:creationId xmlns:a16="http://schemas.microsoft.com/office/drawing/2014/main" id="{00000000-0008-0000-1000-000062000000}"/>
            </a:ext>
          </a:extLst>
        </xdr:cNvPr>
        <xdr:cNvPicPr/>
      </xdr:nvPicPr>
      <xdr:blipFill>
        <a:blip xmlns:r="http://schemas.openxmlformats.org/officeDocument/2006/relationships" r:embed="rId1"/>
        <a:stretch/>
      </xdr:blipFill>
      <xdr:spPr>
        <a:xfrm>
          <a:off x="11111400" y="67320"/>
          <a:ext cx="1033200" cy="1024920"/>
        </a:xfrm>
        <a:prstGeom prst="rect">
          <a:avLst/>
        </a:prstGeom>
        <a:ln w="0">
          <a:noFill/>
        </a:ln>
      </xdr:spPr>
    </xdr:pic>
    <xdr:clientData/>
  </xdr:twoCellAnchor>
  <xdr:twoCellAnchor>
    <xdr:from>
      <xdr:col>2</xdr:col>
      <xdr:colOff>744167</xdr:colOff>
      <xdr:row>81</xdr:row>
      <xdr:rowOff>179293</xdr:rowOff>
    </xdr:from>
    <xdr:to>
      <xdr:col>2</xdr:col>
      <xdr:colOff>915407</xdr:colOff>
      <xdr:row>82</xdr:row>
      <xdr:rowOff>67235</xdr:rowOff>
    </xdr:to>
    <xdr:sp macro="" textlink="">
      <xdr:nvSpPr>
        <xdr:cNvPr id="2" name="Rectangle 1">
          <a:extLst>
            <a:ext uri="{FF2B5EF4-FFF2-40B4-BE49-F238E27FC236}">
              <a16:creationId xmlns:a16="http://schemas.microsoft.com/office/drawing/2014/main" id="{00000000-0008-0000-1000-000002000000}"/>
            </a:ext>
          </a:extLst>
        </xdr:cNvPr>
        <xdr:cNvSpPr/>
      </xdr:nvSpPr>
      <xdr:spPr>
        <a:xfrm>
          <a:off x="3279282" y="19075428"/>
          <a:ext cx="171240" cy="276269"/>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2257635</xdr:colOff>
      <xdr:row>81</xdr:row>
      <xdr:rowOff>134471</xdr:rowOff>
    </xdr:from>
    <xdr:to>
      <xdr:col>3</xdr:col>
      <xdr:colOff>2452687</xdr:colOff>
      <xdr:row>82</xdr:row>
      <xdr:rowOff>22413</xdr:rowOff>
    </xdr:to>
    <xdr:sp macro="" textlink="">
      <xdr:nvSpPr>
        <xdr:cNvPr id="3" name="Rectangle 2">
          <a:extLst>
            <a:ext uri="{FF2B5EF4-FFF2-40B4-BE49-F238E27FC236}">
              <a16:creationId xmlns:a16="http://schemas.microsoft.com/office/drawing/2014/main" id="{00000000-0008-0000-1000-000003000000}"/>
            </a:ext>
          </a:extLst>
        </xdr:cNvPr>
        <xdr:cNvSpPr/>
      </xdr:nvSpPr>
      <xdr:spPr>
        <a:xfrm>
          <a:off x="5728307" y="18999924"/>
          <a:ext cx="195052"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993541</xdr:colOff>
      <xdr:row>81</xdr:row>
      <xdr:rowOff>186018</xdr:rowOff>
    </xdr:from>
    <xdr:to>
      <xdr:col>4</xdr:col>
      <xdr:colOff>1262062</xdr:colOff>
      <xdr:row>82</xdr:row>
      <xdr:rowOff>73960</xdr:rowOff>
    </xdr:to>
    <xdr:sp macro="" textlink="">
      <xdr:nvSpPr>
        <xdr:cNvPr id="4" name="Rectangle 3">
          <a:extLst>
            <a:ext uri="{FF2B5EF4-FFF2-40B4-BE49-F238E27FC236}">
              <a16:creationId xmlns:a16="http://schemas.microsoft.com/office/drawing/2014/main" id="{00000000-0008-0000-1000-000004000000}"/>
            </a:ext>
          </a:extLst>
        </xdr:cNvPr>
        <xdr:cNvSpPr/>
      </xdr:nvSpPr>
      <xdr:spPr>
        <a:xfrm>
          <a:off x="6928807" y="19051471"/>
          <a:ext cx="268521"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579695</xdr:colOff>
      <xdr:row>81</xdr:row>
      <xdr:rowOff>147919</xdr:rowOff>
    </xdr:from>
    <xdr:to>
      <xdr:col>6</xdr:col>
      <xdr:colOff>880013</xdr:colOff>
      <xdr:row>82</xdr:row>
      <xdr:rowOff>35861</xdr:rowOff>
    </xdr:to>
    <xdr:sp macro="" textlink="">
      <xdr:nvSpPr>
        <xdr:cNvPr id="5" name="Rectangle 4">
          <a:extLst>
            <a:ext uri="{FF2B5EF4-FFF2-40B4-BE49-F238E27FC236}">
              <a16:creationId xmlns:a16="http://schemas.microsoft.com/office/drawing/2014/main" id="{00000000-0008-0000-1000-000005000000}"/>
            </a:ext>
          </a:extLst>
        </xdr:cNvPr>
        <xdr:cNvSpPr/>
      </xdr:nvSpPr>
      <xdr:spPr>
        <a:xfrm>
          <a:off x="9199820" y="19013372"/>
          <a:ext cx="300318" cy="280848"/>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1189461</xdr:colOff>
      <xdr:row>81</xdr:row>
      <xdr:rowOff>160594</xdr:rowOff>
    </xdr:from>
    <xdr:to>
      <xdr:col>5</xdr:col>
      <xdr:colOff>1391658</xdr:colOff>
      <xdr:row>82</xdr:row>
      <xdr:rowOff>48536</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8399153" y="19056729"/>
          <a:ext cx="202197" cy="276269"/>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496440</xdr:colOff>
      <xdr:row>11</xdr:row>
      <xdr:rowOff>95400</xdr:rowOff>
    </xdr:from>
    <xdr:to>
      <xdr:col>6</xdr:col>
      <xdr:colOff>715320</xdr:colOff>
      <xdr:row>11</xdr:row>
      <xdr:rowOff>285480</xdr:rowOff>
    </xdr:to>
    <xdr:sp macro="" textlink="">
      <xdr:nvSpPr>
        <xdr:cNvPr id="3" name="Bent Arrow 4">
          <a:extLst>
            <a:ext uri="{FF2B5EF4-FFF2-40B4-BE49-F238E27FC236}">
              <a16:creationId xmlns:a16="http://schemas.microsoft.com/office/drawing/2014/main" id="{00000000-0008-0000-1100-000003000000}"/>
            </a:ext>
          </a:extLst>
        </xdr:cNvPr>
        <xdr:cNvSpPr/>
      </xdr:nvSpPr>
      <xdr:spPr>
        <a:xfrm>
          <a:off x="9497565" y="384825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475560</xdr:colOff>
      <xdr:row>89</xdr:row>
      <xdr:rowOff>104760</xdr:rowOff>
    </xdr:from>
    <xdr:to>
      <xdr:col>6</xdr:col>
      <xdr:colOff>694440</xdr:colOff>
      <xdr:row>89</xdr:row>
      <xdr:rowOff>294840</xdr:rowOff>
    </xdr:to>
    <xdr:sp macro="" textlink="">
      <xdr:nvSpPr>
        <xdr:cNvPr id="4" name="Bent Arrow 5">
          <a:extLst>
            <a:ext uri="{FF2B5EF4-FFF2-40B4-BE49-F238E27FC236}">
              <a16:creationId xmlns:a16="http://schemas.microsoft.com/office/drawing/2014/main" id="{00000000-0008-0000-1100-000004000000}"/>
            </a:ext>
          </a:extLst>
        </xdr:cNvPr>
        <xdr:cNvSpPr/>
      </xdr:nvSpPr>
      <xdr:spPr>
        <a:xfrm>
          <a:off x="9476685" y="3273741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488742</xdr:colOff>
      <xdr:row>94</xdr:row>
      <xdr:rowOff>115920</xdr:rowOff>
    </xdr:from>
    <xdr:to>
      <xdr:col>6</xdr:col>
      <xdr:colOff>707622</xdr:colOff>
      <xdr:row>94</xdr:row>
      <xdr:rowOff>306000</xdr:rowOff>
    </xdr:to>
    <xdr:sp macro="" textlink="">
      <xdr:nvSpPr>
        <xdr:cNvPr id="5" name="Bent Arrow 7">
          <a:extLst>
            <a:ext uri="{FF2B5EF4-FFF2-40B4-BE49-F238E27FC236}">
              <a16:creationId xmlns:a16="http://schemas.microsoft.com/office/drawing/2014/main" id="{00000000-0008-0000-1100-000005000000}"/>
            </a:ext>
          </a:extLst>
        </xdr:cNvPr>
        <xdr:cNvSpPr/>
      </xdr:nvSpPr>
      <xdr:spPr>
        <a:xfrm>
          <a:off x="9489867" y="3484407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editAs="oneCell">
    <xdr:from>
      <xdr:col>9</xdr:col>
      <xdr:colOff>257601</xdr:colOff>
      <xdr:row>0</xdr:row>
      <xdr:rowOff>100977</xdr:rowOff>
    </xdr:from>
    <xdr:to>
      <xdr:col>9</xdr:col>
      <xdr:colOff>1411941</xdr:colOff>
      <xdr:row>2</xdr:row>
      <xdr:rowOff>434200</xdr:rowOff>
    </xdr:to>
    <xdr:pic>
      <xdr:nvPicPr>
        <xdr:cNvPr id="6" name="Picture 8">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1"/>
        <a:stretch/>
      </xdr:blipFill>
      <xdr:spPr>
        <a:xfrm>
          <a:off x="12920248" y="100977"/>
          <a:ext cx="1154340" cy="1090421"/>
        </a:xfrm>
        <a:prstGeom prst="rect">
          <a:avLst/>
        </a:prstGeom>
        <a:ln w="0">
          <a:noFill/>
        </a:ln>
      </xdr:spPr>
    </xdr:pic>
    <xdr:clientData/>
  </xdr:twoCellAnchor>
  <xdr:twoCellAnchor>
    <xdr:from>
      <xdr:col>6</xdr:col>
      <xdr:colOff>522360</xdr:colOff>
      <xdr:row>122</xdr:row>
      <xdr:rowOff>115920</xdr:rowOff>
    </xdr:from>
    <xdr:to>
      <xdr:col>6</xdr:col>
      <xdr:colOff>741240</xdr:colOff>
      <xdr:row>122</xdr:row>
      <xdr:rowOff>306000</xdr:rowOff>
    </xdr:to>
    <xdr:sp macro="" textlink="">
      <xdr:nvSpPr>
        <xdr:cNvPr id="7" name="Bent Arrow 7">
          <a:extLst>
            <a:ext uri="{FF2B5EF4-FFF2-40B4-BE49-F238E27FC236}">
              <a16:creationId xmlns:a16="http://schemas.microsoft.com/office/drawing/2014/main" id="{00000000-0008-0000-1100-000007000000}"/>
            </a:ext>
          </a:extLst>
        </xdr:cNvPr>
        <xdr:cNvSpPr/>
      </xdr:nvSpPr>
      <xdr:spPr>
        <a:xfrm>
          <a:off x="9523485" y="4657887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11160</xdr:colOff>
      <xdr:row>6</xdr:row>
      <xdr:rowOff>208131</xdr:rowOff>
    </xdr:from>
    <xdr:to>
      <xdr:col>22</xdr:col>
      <xdr:colOff>896040</xdr:colOff>
      <xdr:row>7</xdr:row>
      <xdr:rowOff>327585</xdr:rowOff>
    </xdr:to>
    <xdr:sp macro="" textlink="">
      <xdr:nvSpPr>
        <xdr:cNvPr id="5" name="Left Arrow 38">
          <a:extLst>
            <a:ext uri="{FF2B5EF4-FFF2-40B4-BE49-F238E27FC236}">
              <a16:creationId xmlns:a16="http://schemas.microsoft.com/office/drawing/2014/main" id="{00000000-0008-0000-0100-000005000000}"/>
            </a:ext>
          </a:extLst>
        </xdr:cNvPr>
        <xdr:cNvSpPr/>
      </xdr:nvSpPr>
      <xdr:spPr>
        <a:xfrm>
          <a:off x="15700196" y="2575774"/>
          <a:ext cx="3619915" cy="350775"/>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oneCellAnchor>
    <xdr:from>
      <xdr:col>0</xdr:col>
      <xdr:colOff>246528</xdr:colOff>
      <xdr:row>2</xdr:row>
      <xdr:rowOff>497018</xdr:rowOff>
    </xdr:from>
    <xdr:ext cx="2599765" cy="1095621"/>
    <xdr:sp macro="" textlink="">
      <xdr:nvSpPr>
        <xdr:cNvPr id="6" name="TextBox 2">
          <a:extLst>
            <a:ext uri="{FF2B5EF4-FFF2-40B4-BE49-F238E27FC236}">
              <a16:creationId xmlns:a16="http://schemas.microsoft.com/office/drawing/2014/main" id="{00000000-0008-0000-0100-000006000000}"/>
            </a:ext>
          </a:extLst>
        </xdr:cNvPr>
        <xdr:cNvSpPr/>
      </xdr:nvSpPr>
      <xdr:spPr>
        <a:xfrm>
          <a:off x="246528" y="1348665"/>
          <a:ext cx="2599765" cy="1095621"/>
        </a:xfrm>
        <a:prstGeom prst="rect">
          <a:avLst/>
        </a:prstGeom>
        <a:solidFill>
          <a:schemeClr val="bg1">
            <a:lumMod val="8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horzOverflow="clip" lIns="90000" tIns="0" rIns="90000" bIns="0" anchor="t">
          <a:spAutoFit/>
        </a:bodyPr>
        <a:lstStyle/>
        <a:p>
          <a:pPr>
            <a:lnSpc>
              <a:spcPct val="100000"/>
            </a:lnSpc>
          </a:pPr>
          <a:r>
            <a:rPr lang="fr-CA" sz="1000" b="1" strike="noStrike" spc="-1">
              <a:solidFill>
                <a:srgbClr val="000000"/>
              </a:solidFill>
              <a:latin typeface="Calibri"/>
            </a:rPr>
            <a:t>ADJ</a:t>
          </a:r>
          <a:r>
            <a:rPr lang="fr-CA" sz="1000" b="0" strike="noStrike" spc="-1">
              <a:solidFill>
                <a:srgbClr val="000000"/>
              </a:solidFill>
              <a:latin typeface="Calibri"/>
            </a:rPr>
            <a:t> Adjustment / Ajustement</a:t>
          </a:r>
          <a:endParaRPr lang="en-CA" sz="1000" b="0" strike="noStrike" spc="-1">
            <a:latin typeface="Times New Roman"/>
          </a:endParaRPr>
        </a:p>
        <a:p>
          <a:pPr>
            <a:lnSpc>
              <a:spcPct val="100000"/>
            </a:lnSpc>
          </a:pPr>
          <a:r>
            <a:rPr lang="fr-CA" sz="1000" b="1" strike="noStrike" spc="-1">
              <a:solidFill>
                <a:srgbClr val="000000"/>
              </a:solidFill>
              <a:latin typeface="Calibri"/>
            </a:rPr>
            <a:t>BK</a:t>
          </a:r>
          <a:r>
            <a:rPr lang="fr-CA" sz="1000" b="0" strike="noStrike" spc="-1">
              <a:solidFill>
                <a:srgbClr val="000000"/>
              </a:solidFill>
              <a:latin typeface="Calibri"/>
            </a:rPr>
            <a:t>   Bank / Banque</a:t>
          </a:r>
          <a:endParaRPr lang="en-CA" sz="1000" b="0" strike="noStrike" spc="-1">
            <a:latin typeface="Times New Roman"/>
          </a:endParaRPr>
        </a:p>
        <a:p>
          <a:pPr>
            <a:lnSpc>
              <a:spcPct val="100000"/>
            </a:lnSpc>
          </a:pPr>
          <a:r>
            <a:rPr lang="fr-CA" sz="1000" b="1" strike="noStrike" spc="-1">
              <a:solidFill>
                <a:srgbClr val="000000"/>
              </a:solidFill>
              <a:latin typeface="Calibri"/>
            </a:rPr>
            <a:t>CC   </a:t>
          </a:r>
          <a:r>
            <a:rPr lang="fr-CA" sz="1000" b="0" strike="noStrike" spc="-1">
              <a:solidFill>
                <a:srgbClr val="000000"/>
              </a:solidFill>
              <a:latin typeface="Calibri"/>
            </a:rPr>
            <a:t>Credit Card / Carte de crédit</a:t>
          </a:r>
          <a:endParaRPr lang="en-CA" sz="1000" b="0" strike="noStrike" spc="-1">
            <a:latin typeface="Times New Roman"/>
          </a:endParaRPr>
        </a:p>
        <a:p>
          <a:pPr>
            <a:lnSpc>
              <a:spcPct val="100000"/>
            </a:lnSpc>
          </a:pPr>
          <a:r>
            <a:rPr lang="fr-CA" sz="1000" b="1" strike="noStrike" spc="-1">
              <a:solidFill>
                <a:srgbClr val="000000"/>
              </a:solidFill>
              <a:latin typeface="Calibri"/>
            </a:rPr>
            <a:t>DD</a:t>
          </a:r>
          <a:r>
            <a:rPr lang="fr-CA" sz="1000" b="0" strike="noStrike" spc="-1">
              <a:solidFill>
                <a:srgbClr val="000000"/>
              </a:solidFill>
              <a:latin typeface="Calibri"/>
            </a:rPr>
            <a:t>  Direct Deposit / Dépôt direct </a:t>
          </a:r>
          <a:endParaRPr lang="en-CA" sz="1000" b="0" strike="noStrike" spc="-1">
            <a:latin typeface="Times New Roman"/>
          </a:endParaRPr>
        </a:p>
        <a:p>
          <a:pPr>
            <a:lnSpc>
              <a:spcPct val="100000"/>
            </a:lnSpc>
          </a:pPr>
          <a:r>
            <a:rPr lang="fr-CA" sz="1000" b="1" strike="noStrike" spc="-1">
              <a:solidFill>
                <a:srgbClr val="000000"/>
              </a:solidFill>
              <a:latin typeface="Calibri"/>
            </a:rPr>
            <a:t>DP</a:t>
          </a:r>
          <a:r>
            <a:rPr lang="fr-CA" sz="1000" b="0" strike="noStrike" spc="-1">
              <a:solidFill>
                <a:srgbClr val="000000"/>
              </a:solidFill>
              <a:latin typeface="Calibri"/>
            </a:rPr>
            <a:t>   Deposit / Dépôt</a:t>
          </a:r>
          <a:endParaRPr lang="en-CA" sz="1000" b="0" strike="noStrike" spc="-1">
            <a:latin typeface="Times New Roman"/>
          </a:endParaRPr>
        </a:p>
        <a:p>
          <a:pPr>
            <a:lnSpc>
              <a:spcPct val="100000"/>
            </a:lnSpc>
          </a:pPr>
          <a:r>
            <a:rPr lang="fr-CA" sz="1000" b="1" strike="noStrike" spc="-1">
              <a:solidFill>
                <a:srgbClr val="000000"/>
              </a:solidFill>
              <a:latin typeface="Calibri"/>
            </a:rPr>
            <a:t>ET</a:t>
          </a:r>
          <a:r>
            <a:rPr lang="fr-CA" sz="1000" b="0" strike="noStrike" spc="-1">
              <a:solidFill>
                <a:srgbClr val="000000"/>
              </a:solidFill>
              <a:latin typeface="Calibri"/>
            </a:rPr>
            <a:t>   eTransfer / Transfert électronique</a:t>
          </a:r>
          <a:endParaRPr lang="en-CA" sz="1000" b="0" strike="noStrike" spc="-1">
            <a:latin typeface="Times New Roman"/>
          </a:endParaRPr>
        </a:p>
        <a:p>
          <a:pPr>
            <a:lnSpc>
              <a:spcPct val="100000"/>
            </a:lnSpc>
          </a:pPr>
          <a:r>
            <a:rPr lang="fr-CA" sz="1000" b="1" strike="noStrike" spc="-1">
              <a:solidFill>
                <a:srgbClr val="000000"/>
              </a:solidFill>
              <a:latin typeface="Calibri"/>
            </a:rPr>
            <a:t>PC</a:t>
          </a:r>
          <a:r>
            <a:rPr lang="fr-CA" sz="1000" b="0" strike="noStrike" spc="-1">
              <a:solidFill>
                <a:srgbClr val="000000"/>
              </a:solidFill>
              <a:latin typeface="Calibri"/>
            </a:rPr>
            <a:t>   Petty Cash / Petite caisse</a:t>
          </a:r>
          <a:endParaRPr lang="en-CA" sz="1000" b="0" strike="noStrike" spc="-1">
            <a:latin typeface="Times New Roman"/>
          </a:endParaRPr>
        </a:p>
      </xdr:txBody>
    </xdr:sp>
    <xdr:clientData/>
  </xdr:oneCellAnchor>
  <xdr:twoCellAnchor editAs="oneCell">
    <xdr:from>
      <xdr:col>7</xdr:col>
      <xdr:colOff>1221480</xdr:colOff>
      <xdr:row>0</xdr:row>
      <xdr:rowOff>190440</xdr:rowOff>
    </xdr:from>
    <xdr:to>
      <xdr:col>9</xdr:col>
      <xdr:colOff>359304</xdr:colOff>
      <xdr:row>2</xdr:row>
      <xdr:rowOff>358200</xdr:rowOff>
    </xdr:to>
    <xdr:pic>
      <xdr:nvPicPr>
        <xdr:cNvPr id="7" name="Picture 3">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xdr:blipFill>
      <xdr:spPr>
        <a:xfrm>
          <a:off x="8810280" y="190440"/>
          <a:ext cx="1037520" cy="1024920"/>
        </a:xfrm>
        <a:prstGeom prst="rect">
          <a:avLst/>
        </a:prstGeom>
        <a:ln w="0">
          <a:noFill/>
        </a:ln>
      </xdr:spPr>
    </xdr:pic>
    <xdr:clientData/>
  </xdr:twoCellAnchor>
  <xdr:twoCellAnchor editAs="oneCell">
    <xdr:from>
      <xdr:col>0</xdr:col>
      <xdr:colOff>0</xdr:colOff>
      <xdr:row>0</xdr:row>
      <xdr:rowOff>0</xdr:rowOff>
    </xdr:from>
    <xdr:to>
      <xdr:col>0</xdr:col>
      <xdr:colOff>0</xdr:colOff>
      <xdr:row>0</xdr:row>
      <xdr:rowOff>0</xdr:rowOff>
    </xdr:to>
    <xdr:sp macro="" textlink="">
      <xdr:nvSpPr>
        <xdr:cNvPr id="2" name="CommandButton4845" descr="Edit">
          <a:extLst>
            <a:ext uri="{FF2B5EF4-FFF2-40B4-BE49-F238E27FC236}">
              <a16:creationId xmlns:a16="http://schemas.microsoft.com/office/drawing/2014/main" id="{00000000-0008-0000-0100-000002000000}"/>
            </a:ext>
          </a:extLst>
        </xdr:cNvPr>
        <xdr:cNvSpPr/>
      </xdr:nvSpPr>
      <xdr:spPr>
        <a:xfrm>
          <a:off x="0" y="0"/>
          <a:ext cx="0" cy="0"/>
        </a:xfrm>
        <a:prstGeom prst="rect">
          <a:avLst/>
        </a:prstGeom>
      </xdr:spPr>
      <xdr:txBody>
        <a:bodyPr anchor="ctr">
          <a:noAutofit/>
        </a:bodyPr>
        <a:lstStyle/>
        <a:p>
          <a:r>
            <a:t>Edit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8714</xdr:colOff>
      <xdr:row>6</xdr:row>
      <xdr:rowOff>201600</xdr:rowOff>
    </xdr:from>
    <xdr:to>
      <xdr:col>45</xdr:col>
      <xdr:colOff>884466</xdr:colOff>
      <xdr:row>7</xdr:row>
      <xdr:rowOff>306360</xdr:rowOff>
    </xdr:to>
    <xdr:sp macro="" textlink="">
      <xdr:nvSpPr>
        <xdr:cNvPr id="8" name="Left Arrow 1">
          <a:extLst>
            <a:ext uri="{FF2B5EF4-FFF2-40B4-BE49-F238E27FC236}">
              <a16:creationId xmlns:a16="http://schemas.microsoft.com/office/drawing/2014/main" id="{00000000-0008-0000-0200-000008000000}"/>
            </a:ext>
          </a:extLst>
        </xdr:cNvPr>
        <xdr:cNvSpPr/>
      </xdr:nvSpPr>
      <xdr:spPr>
        <a:xfrm>
          <a:off x="30434285" y="2542029"/>
          <a:ext cx="3610788" cy="336081"/>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twoCellAnchor editAs="oneCell">
    <xdr:from>
      <xdr:col>1</xdr:col>
      <xdr:colOff>3670</xdr:colOff>
      <xdr:row>3</xdr:row>
      <xdr:rowOff>0</xdr:rowOff>
    </xdr:from>
    <xdr:to>
      <xdr:col>4</xdr:col>
      <xdr:colOff>974910</xdr:colOff>
      <xdr:row>7</xdr:row>
      <xdr:rowOff>0</xdr:rowOff>
    </xdr:to>
    <xdr:sp macro="" textlink="">
      <xdr:nvSpPr>
        <xdr:cNvPr id="9" name="TextBox 51">
          <a:extLst>
            <a:ext uri="{FF2B5EF4-FFF2-40B4-BE49-F238E27FC236}">
              <a16:creationId xmlns:a16="http://schemas.microsoft.com/office/drawing/2014/main" id="{00000000-0008-0000-0200-000009000000}"/>
            </a:ext>
          </a:extLst>
        </xdr:cNvPr>
        <xdr:cNvSpPr/>
      </xdr:nvSpPr>
      <xdr:spPr>
        <a:xfrm>
          <a:off x="252785" y="1216269"/>
          <a:ext cx="2663760" cy="1186962"/>
        </a:xfrm>
        <a:prstGeom prst="rect">
          <a:avLst/>
        </a:prstGeom>
        <a:solidFill>
          <a:schemeClr val="bg1">
            <a:lumMod val="8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horzOverflow="clip" lIns="90000" tIns="0" rIns="90000" bIns="0" anchor="t">
          <a:noAutofit/>
        </a:bodyPr>
        <a:lstStyle/>
        <a:p>
          <a:pPr>
            <a:lnSpc>
              <a:spcPct val="100000"/>
            </a:lnSpc>
          </a:pPr>
          <a:r>
            <a:rPr lang="fr-CA" sz="1050" b="1" strike="noStrike" spc="-1">
              <a:solidFill>
                <a:srgbClr val="000000"/>
              </a:solidFill>
              <a:latin typeface="Calibri"/>
            </a:rPr>
            <a:t>ADJ</a:t>
          </a:r>
          <a:r>
            <a:rPr lang="fr-CA" sz="1050" b="0" strike="noStrike" spc="-1">
              <a:solidFill>
                <a:srgbClr val="000000"/>
              </a:solidFill>
              <a:latin typeface="Calibri"/>
            </a:rPr>
            <a:t> Adjustment / Ajustement</a:t>
          </a:r>
          <a:endParaRPr lang="en-CA" sz="1050" b="0" strike="noStrike" spc="-1">
            <a:latin typeface="Times New Roman"/>
          </a:endParaRPr>
        </a:p>
        <a:p>
          <a:pPr>
            <a:lnSpc>
              <a:spcPct val="100000"/>
            </a:lnSpc>
          </a:pPr>
          <a:r>
            <a:rPr lang="fr-CA" sz="1050" b="1" strike="noStrike" spc="-1">
              <a:solidFill>
                <a:srgbClr val="000000"/>
              </a:solidFill>
              <a:latin typeface="Calibri"/>
            </a:rPr>
            <a:t>AT</a:t>
          </a:r>
          <a:r>
            <a:rPr lang="fr-CA" sz="1050" b="0" strike="noStrike" spc="-1">
              <a:solidFill>
                <a:srgbClr val="000000"/>
              </a:solidFill>
              <a:latin typeface="Calibri"/>
            </a:rPr>
            <a:t>    Auto. Payment / Paiement auto.</a:t>
          </a:r>
          <a:endParaRPr lang="en-CA" sz="1050" b="0" strike="noStrike" spc="-1">
            <a:latin typeface="Times New Roman"/>
          </a:endParaRPr>
        </a:p>
        <a:p>
          <a:pPr>
            <a:lnSpc>
              <a:spcPct val="100000"/>
            </a:lnSpc>
          </a:pPr>
          <a:r>
            <a:rPr lang="fr-CA" sz="1050" b="1" strike="noStrike" spc="-1">
              <a:solidFill>
                <a:srgbClr val="000000"/>
              </a:solidFill>
              <a:latin typeface="Calibri"/>
            </a:rPr>
            <a:t>BK</a:t>
          </a:r>
          <a:r>
            <a:rPr lang="fr-CA" sz="1050" b="0" strike="noStrike" spc="-1">
              <a:solidFill>
                <a:srgbClr val="000000"/>
              </a:solidFill>
              <a:latin typeface="Calibri"/>
            </a:rPr>
            <a:t>   Bank / Banque</a:t>
          </a:r>
          <a:endParaRPr lang="en-CA" sz="1050" b="0" strike="noStrike" spc="-1">
            <a:latin typeface="Times New Roman"/>
          </a:endParaRPr>
        </a:p>
        <a:p>
          <a:pPr>
            <a:lnSpc>
              <a:spcPct val="100000"/>
            </a:lnSpc>
          </a:pPr>
          <a:r>
            <a:rPr lang="fr-CA" sz="1050" b="1" strike="noStrike" spc="-1">
              <a:solidFill>
                <a:srgbClr val="000000"/>
              </a:solidFill>
              <a:latin typeface="Calibri"/>
            </a:rPr>
            <a:t>CC </a:t>
          </a:r>
          <a:r>
            <a:rPr lang="fr-CA" sz="1050" b="0" strike="noStrike" spc="-1">
              <a:solidFill>
                <a:srgbClr val="000000"/>
              </a:solidFill>
              <a:latin typeface="Calibri"/>
            </a:rPr>
            <a:t>  Credit Card / Carte de crédit</a:t>
          </a:r>
          <a:endParaRPr lang="en-CA" sz="1050" b="0" strike="noStrike" spc="-1">
            <a:latin typeface="Times New Roman"/>
          </a:endParaRPr>
        </a:p>
        <a:p>
          <a:pPr>
            <a:lnSpc>
              <a:spcPct val="100000"/>
            </a:lnSpc>
          </a:pPr>
          <a:r>
            <a:rPr lang="fr-CA" sz="1050" b="1" strike="noStrike" spc="-1">
              <a:solidFill>
                <a:srgbClr val="000000"/>
              </a:solidFill>
              <a:latin typeface="Calibri"/>
            </a:rPr>
            <a:t>CH</a:t>
          </a:r>
          <a:r>
            <a:rPr lang="fr-CA" sz="1050" b="0" strike="noStrike" spc="-1">
              <a:solidFill>
                <a:srgbClr val="000000"/>
              </a:solidFill>
              <a:latin typeface="Calibri"/>
            </a:rPr>
            <a:t>   Cheque / Chèque </a:t>
          </a:r>
          <a:endParaRPr lang="en-CA" sz="1050" b="0" strike="noStrike" spc="-1">
            <a:latin typeface="Times New Roman"/>
          </a:endParaRPr>
        </a:p>
        <a:p>
          <a:pPr>
            <a:lnSpc>
              <a:spcPct val="100000"/>
            </a:lnSpc>
          </a:pPr>
          <a:r>
            <a:rPr lang="fr-CA" sz="1050" b="1" strike="noStrike" spc="-1">
              <a:solidFill>
                <a:srgbClr val="000000"/>
              </a:solidFill>
              <a:latin typeface="Calibri"/>
            </a:rPr>
            <a:t>ET</a:t>
          </a:r>
          <a:r>
            <a:rPr lang="fr-CA" sz="1050" b="0" strike="noStrike" spc="-1">
              <a:solidFill>
                <a:srgbClr val="000000"/>
              </a:solidFill>
              <a:latin typeface="Calibri"/>
            </a:rPr>
            <a:t>   eTransfer / Transfert électronique</a:t>
          </a:r>
          <a:endParaRPr lang="en-CA" sz="1050" b="0" strike="noStrike" spc="-1">
            <a:latin typeface="Times New Roman"/>
          </a:endParaRPr>
        </a:p>
        <a:p>
          <a:pPr>
            <a:lnSpc>
              <a:spcPct val="100000"/>
            </a:lnSpc>
          </a:pPr>
          <a:r>
            <a:rPr lang="fr-CA" sz="1050" b="1" strike="noStrike" spc="-1">
              <a:solidFill>
                <a:srgbClr val="000000"/>
              </a:solidFill>
              <a:latin typeface="Calibri"/>
            </a:rPr>
            <a:t>PC</a:t>
          </a:r>
          <a:r>
            <a:rPr lang="fr-CA" sz="1050" b="0" strike="noStrike" spc="-1">
              <a:solidFill>
                <a:srgbClr val="000000"/>
              </a:solidFill>
              <a:latin typeface="Calibri"/>
            </a:rPr>
            <a:t>   Petty Cash / Petite caisse</a:t>
          </a:r>
          <a:endParaRPr lang="en-CA" sz="1050" b="0" strike="noStrike" spc="-1">
            <a:latin typeface="Times New Roman"/>
          </a:endParaRPr>
        </a:p>
      </xdr:txBody>
    </xdr:sp>
    <xdr:clientData/>
  </xdr:twoCellAnchor>
  <xdr:twoCellAnchor>
    <xdr:from>
      <xdr:col>75</xdr:col>
      <xdr:colOff>11160</xdr:colOff>
      <xdr:row>6</xdr:row>
      <xdr:rowOff>179280</xdr:rowOff>
    </xdr:from>
    <xdr:to>
      <xdr:col>81</xdr:col>
      <xdr:colOff>896040</xdr:colOff>
      <xdr:row>7</xdr:row>
      <xdr:rowOff>284040</xdr:rowOff>
    </xdr:to>
    <xdr:sp macro="" textlink="">
      <xdr:nvSpPr>
        <xdr:cNvPr id="10" name="Left Arrow 52">
          <a:extLst>
            <a:ext uri="{FF2B5EF4-FFF2-40B4-BE49-F238E27FC236}">
              <a16:creationId xmlns:a16="http://schemas.microsoft.com/office/drawing/2014/main" id="{00000000-0008-0000-0200-00000A000000}"/>
            </a:ext>
          </a:extLst>
        </xdr:cNvPr>
        <xdr:cNvSpPr/>
      </xdr:nvSpPr>
      <xdr:spPr>
        <a:xfrm>
          <a:off x="48493800" y="2503080"/>
          <a:ext cx="6687720" cy="333360"/>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twoCellAnchor editAs="oneCell">
    <xdr:from>
      <xdr:col>7</xdr:col>
      <xdr:colOff>1120680</xdr:colOff>
      <xdr:row>0</xdr:row>
      <xdr:rowOff>212760</xdr:rowOff>
    </xdr:from>
    <xdr:to>
      <xdr:col>9</xdr:col>
      <xdr:colOff>233380</xdr:colOff>
      <xdr:row>3</xdr:row>
      <xdr:rowOff>28828</xdr:rowOff>
    </xdr:to>
    <xdr:pic>
      <xdr:nvPicPr>
        <xdr:cNvPr id="11" name="Picture 5">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
        <a:stretch/>
      </xdr:blipFill>
      <xdr:spPr>
        <a:xfrm>
          <a:off x="8699760" y="212760"/>
          <a:ext cx="1036440" cy="1024920"/>
        </a:xfrm>
        <a:prstGeom prst="rect">
          <a:avLst/>
        </a:prstGeom>
        <a:ln w="0">
          <a:noFill/>
        </a:ln>
      </xdr:spPr>
    </xdr:pic>
    <xdr:clientData/>
  </xdr:twoCellAnchor>
  <xdr:twoCellAnchor>
    <xdr:from>
      <xdr:col>47</xdr:col>
      <xdr:colOff>0</xdr:colOff>
      <xdr:row>6</xdr:row>
      <xdr:rowOff>190500</xdr:rowOff>
    </xdr:from>
    <xdr:to>
      <xdr:col>50</xdr:col>
      <xdr:colOff>875752</xdr:colOff>
      <xdr:row>7</xdr:row>
      <xdr:rowOff>295260</xdr:rowOff>
    </xdr:to>
    <xdr:sp macro="" textlink="">
      <xdr:nvSpPr>
        <xdr:cNvPr id="2" name="Left Arrow 1">
          <a:extLst>
            <a:ext uri="{FF2B5EF4-FFF2-40B4-BE49-F238E27FC236}">
              <a16:creationId xmlns:a16="http://schemas.microsoft.com/office/drawing/2014/main" id="{00000000-0008-0000-0200-000002000000}"/>
            </a:ext>
          </a:extLst>
        </xdr:cNvPr>
        <xdr:cNvSpPr/>
      </xdr:nvSpPr>
      <xdr:spPr>
        <a:xfrm>
          <a:off x="34983964" y="2530929"/>
          <a:ext cx="3610788" cy="336081"/>
        </a:xfrm>
        <a:prstGeom prst="leftArrow">
          <a:avLst>
            <a:gd name="adj1" fmla="val 50000"/>
            <a:gd name="adj2" fmla="val 50000"/>
          </a:avLst>
        </a:prstGeom>
        <a:solidFill>
          <a:srgbClr val="FFFF00"/>
        </a:solidFill>
        <a:ln>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tabLst>
              <a:tab pos="0" algn="l"/>
            </a:tabLst>
          </a:pPr>
          <a:r>
            <a:rPr lang="en-CA" sz="1100" b="0" strike="noStrike" spc="-1">
              <a:solidFill>
                <a:srgbClr val="000000"/>
              </a:solidFill>
              <a:latin typeface="Calibri"/>
            </a:rPr>
            <a:t>Sub-Account s/ Sous-comptes</a:t>
          </a:r>
          <a:endParaRPr lang="en-CA" sz="11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2860200</xdr:colOff>
      <xdr:row>7</xdr:row>
      <xdr:rowOff>212760</xdr:rowOff>
    </xdr:from>
    <xdr:to>
      <xdr:col>6</xdr:col>
      <xdr:colOff>55440</xdr:colOff>
      <xdr:row>8</xdr:row>
      <xdr:rowOff>21960</xdr:rowOff>
    </xdr:to>
    <xdr:sp macro="" textlink="">
      <xdr:nvSpPr>
        <xdr:cNvPr id="12" name="Rectangle 6">
          <a:extLst>
            <a:ext uri="{FF2B5EF4-FFF2-40B4-BE49-F238E27FC236}">
              <a16:creationId xmlns:a16="http://schemas.microsoft.com/office/drawing/2014/main" id="{00000000-0008-0000-0300-00000C000000}"/>
            </a:ext>
          </a:extLst>
        </xdr:cNvPr>
        <xdr:cNvSpPr/>
      </xdr:nvSpPr>
      <xdr:spPr>
        <a:xfrm>
          <a:off x="6085080" y="1946160"/>
          <a:ext cx="1025640" cy="23796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10</xdr:col>
      <xdr:colOff>930240</xdr:colOff>
      <xdr:row>7</xdr:row>
      <xdr:rowOff>212760</xdr:rowOff>
    </xdr:from>
    <xdr:to>
      <xdr:col>11</xdr:col>
      <xdr:colOff>100800</xdr:colOff>
      <xdr:row>8</xdr:row>
      <xdr:rowOff>33120</xdr:rowOff>
    </xdr:to>
    <xdr:sp macro="" textlink="">
      <xdr:nvSpPr>
        <xdr:cNvPr id="13" name="Rectangle 12">
          <a:extLst>
            <a:ext uri="{FF2B5EF4-FFF2-40B4-BE49-F238E27FC236}">
              <a16:creationId xmlns:a16="http://schemas.microsoft.com/office/drawing/2014/main" id="{00000000-0008-0000-0300-00000D000000}"/>
            </a:ext>
          </a:extLst>
        </xdr:cNvPr>
        <xdr:cNvSpPr/>
      </xdr:nvSpPr>
      <xdr:spPr>
        <a:xfrm>
          <a:off x="11352240" y="1946160"/>
          <a:ext cx="420480" cy="2491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930240</xdr:colOff>
      <xdr:row>7</xdr:row>
      <xdr:rowOff>190440</xdr:rowOff>
    </xdr:from>
    <xdr:to>
      <xdr:col>3</xdr:col>
      <xdr:colOff>178920</xdr:colOff>
      <xdr:row>7</xdr:row>
      <xdr:rowOff>414360</xdr:rowOff>
    </xdr:to>
    <xdr:sp macro="" textlink="">
      <xdr:nvSpPr>
        <xdr:cNvPr id="14" name="Rectangle 10">
          <a:extLst>
            <a:ext uri="{FF2B5EF4-FFF2-40B4-BE49-F238E27FC236}">
              <a16:creationId xmlns:a16="http://schemas.microsoft.com/office/drawing/2014/main" id="{00000000-0008-0000-0300-00000E000000}"/>
            </a:ext>
          </a:extLst>
        </xdr:cNvPr>
        <xdr:cNvSpPr/>
      </xdr:nvSpPr>
      <xdr:spPr>
        <a:xfrm>
          <a:off x="1867320" y="1923840"/>
          <a:ext cx="448200" cy="2239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xdr:col>
      <xdr:colOff>963720</xdr:colOff>
      <xdr:row>7</xdr:row>
      <xdr:rowOff>212760</xdr:rowOff>
    </xdr:from>
    <xdr:to>
      <xdr:col>14</xdr:col>
      <xdr:colOff>10800</xdr:colOff>
      <xdr:row>8</xdr:row>
      <xdr:rowOff>10800</xdr:rowOff>
    </xdr:to>
    <xdr:sp macro="" textlink="">
      <xdr:nvSpPr>
        <xdr:cNvPr id="15" name="Rectangle 5">
          <a:extLst>
            <a:ext uri="{FF2B5EF4-FFF2-40B4-BE49-F238E27FC236}">
              <a16:creationId xmlns:a16="http://schemas.microsoft.com/office/drawing/2014/main" id="{00000000-0008-0000-0300-00000F000000}"/>
            </a:ext>
          </a:extLst>
        </xdr:cNvPr>
        <xdr:cNvSpPr/>
      </xdr:nvSpPr>
      <xdr:spPr>
        <a:xfrm>
          <a:off x="12635640" y="1946160"/>
          <a:ext cx="296640" cy="22680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750960</xdr:colOff>
      <xdr:row>7</xdr:row>
      <xdr:rowOff>212760</xdr:rowOff>
    </xdr:from>
    <xdr:to>
      <xdr:col>4</xdr:col>
      <xdr:colOff>100800</xdr:colOff>
      <xdr:row>8</xdr:row>
      <xdr:rowOff>10800</xdr:rowOff>
    </xdr:to>
    <xdr:sp macro="" textlink="">
      <xdr:nvSpPr>
        <xdr:cNvPr id="16" name="Rectangle 7">
          <a:extLst>
            <a:ext uri="{FF2B5EF4-FFF2-40B4-BE49-F238E27FC236}">
              <a16:creationId xmlns:a16="http://schemas.microsoft.com/office/drawing/2014/main" id="{00000000-0008-0000-0300-000010000000}"/>
            </a:ext>
          </a:extLst>
        </xdr:cNvPr>
        <xdr:cNvSpPr/>
      </xdr:nvSpPr>
      <xdr:spPr>
        <a:xfrm>
          <a:off x="2887560" y="1946160"/>
          <a:ext cx="438120" cy="22680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xdr:col>
      <xdr:colOff>963720</xdr:colOff>
      <xdr:row>0</xdr:row>
      <xdr:rowOff>190440</xdr:rowOff>
    </xdr:from>
    <xdr:to>
      <xdr:col>11</xdr:col>
      <xdr:colOff>744840</xdr:colOff>
      <xdr:row>2</xdr:row>
      <xdr:rowOff>335880</xdr:rowOff>
    </xdr:to>
    <xdr:pic>
      <xdr:nvPicPr>
        <xdr:cNvPr id="17" name="Picture 8">
          <a:extLst>
            <a:ext uri="{FF2B5EF4-FFF2-40B4-BE49-F238E27FC236}">
              <a16:creationId xmlns:a16="http://schemas.microsoft.com/office/drawing/2014/main" id="{00000000-0008-0000-0300-000011000000}"/>
            </a:ext>
          </a:extLst>
        </xdr:cNvPr>
        <xdr:cNvPicPr/>
      </xdr:nvPicPr>
      <xdr:blipFill>
        <a:blip xmlns:r="http://schemas.openxmlformats.org/officeDocument/2006/relationships" r:embed="rId1"/>
        <a:stretch/>
      </xdr:blipFill>
      <xdr:spPr>
        <a:xfrm>
          <a:off x="11385720" y="190440"/>
          <a:ext cx="1031040" cy="1021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552240</xdr:colOff>
      <xdr:row>10</xdr:row>
      <xdr:rowOff>145800</xdr:rowOff>
    </xdr:from>
    <xdr:to>
      <xdr:col>13</xdr:col>
      <xdr:colOff>905760</xdr:colOff>
      <xdr:row>13</xdr:row>
      <xdr:rowOff>95040</xdr:rowOff>
    </xdr:to>
    <xdr:sp macro="" textlink="">
      <xdr:nvSpPr>
        <xdr:cNvPr id="43" name="Down Arrow 33">
          <a:extLst>
            <a:ext uri="{FF2B5EF4-FFF2-40B4-BE49-F238E27FC236}">
              <a16:creationId xmlns:a16="http://schemas.microsoft.com/office/drawing/2014/main" id="{00000000-0008-0000-0400-00002B000000}"/>
            </a:ext>
          </a:extLst>
        </xdr:cNvPr>
        <xdr:cNvSpPr/>
      </xdr:nvSpPr>
      <xdr:spPr>
        <a:xfrm>
          <a:off x="13211280" y="3698280"/>
          <a:ext cx="353520" cy="920880"/>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14</xdr:row>
      <xdr:rowOff>2520</xdr:rowOff>
    </xdr:from>
    <xdr:to>
      <xdr:col>12</xdr:col>
      <xdr:colOff>830520</xdr:colOff>
      <xdr:row>15</xdr:row>
      <xdr:rowOff>25920</xdr:rowOff>
    </xdr:to>
    <xdr:sp macro="" textlink="">
      <xdr:nvSpPr>
        <xdr:cNvPr id="44" name="Down Arrow 34">
          <a:extLst>
            <a:ext uri="{FF2B5EF4-FFF2-40B4-BE49-F238E27FC236}">
              <a16:creationId xmlns:a16="http://schemas.microsoft.com/office/drawing/2014/main" id="{00000000-0008-0000-0400-00002C000000}"/>
            </a:ext>
          </a:extLst>
        </xdr:cNvPr>
        <xdr:cNvSpPr/>
      </xdr:nvSpPr>
      <xdr:spPr>
        <a:xfrm rot="5400000">
          <a:off x="9916560" y="2733480"/>
          <a:ext cx="347040" cy="4581000"/>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29</xdr:row>
      <xdr:rowOff>134471</xdr:rowOff>
    </xdr:from>
    <xdr:to>
      <xdr:col>13</xdr:col>
      <xdr:colOff>906480</xdr:colOff>
      <xdr:row>39</xdr:row>
      <xdr:rowOff>168090</xdr:rowOff>
    </xdr:to>
    <xdr:sp macro="" textlink="">
      <xdr:nvSpPr>
        <xdr:cNvPr id="46" name="Down Arrow 36">
          <a:extLst>
            <a:ext uri="{FF2B5EF4-FFF2-40B4-BE49-F238E27FC236}">
              <a16:creationId xmlns:a16="http://schemas.microsoft.com/office/drawing/2014/main" id="{00000000-0008-0000-0400-00002E000000}"/>
            </a:ext>
          </a:extLst>
        </xdr:cNvPr>
        <xdr:cNvSpPr/>
      </xdr:nvSpPr>
      <xdr:spPr>
        <a:xfrm>
          <a:off x="13248551" y="9547412"/>
          <a:ext cx="365400" cy="3283325"/>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39</xdr:row>
      <xdr:rowOff>304623</xdr:rowOff>
    </xdr:from>
    <xdr:to>
      <xdr:col>12</xdr:col>
      <xdr:colOff>830520</xdr:colOff>
      <xdr:row>41</xdr:row>
      <xdr:rowOff>3771</xdr:rowOff>
    </xdr:to>
    <xdr:sp macro="" textlink="">
      <xdr:nvSpPr>
        <xdr:cNvPr id="47" name="Down Arrow 37">
          <a:extLst>
            <a:ext uri="{FF2B5EF4-FFF2-40B4-BE49-F238E27FC236}">
              <a16:creationId xmlns:a16="http://schemas.microsoft.com/office/drawing/2014/main" id="{00000000-0008-0000-0400-00002F000000}"/>
            </a:ext>
          </a:extLst>
        </xdr:cNvPr>
        <xdr:cNvSpPr/>
      </xdr:nvSpPr>
      <xdr:spPr>
        <a:xfrm rot="5400000">
          <a:off x="10126705" y="9109456"/>
          <a:ext cx="34909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111960</xdr:colOff>
      <xdr:row>0</xdr:row>
      <xdr:rowOff>257760</xdr:rowOff>
    </xdr:from>
    <xdr:to>
      <xdr:col>13</xdr:col>
      <xdr:colOff>1069920</xdr:colOff>
      <xdr:row>4</xdr:row>
      <xdr:rowOff>113235</xdr:rowOff>
    </xdr:to>
    <xdr:pic>
      <xdr:nvPicPr>
        <xdr:cNvPr id="72" name="Picture 57">
          <a:extLst>
            <a:ext uri="{FF2B5EF4-FFF2-40B4-BE49-F238E27FC236}">
              <a16:creationId xmlns:a16="http://schemas.microsoft.com/office/drawing/2014/main" id="{00000000-0008-0000-0400-000048000000}"/>
            </a:ext>
          </a:extLst>
        </xdr:cNvPr>
        <xdr:cNvPicPr/>
      </xdr:nvPicPr>
      <xdr:blipFill>
        <a:blip xmlns:r="http://schemas.openxmlformats.org/officeDocument/2006/relationships" r:embed="rId1"/>
        <a:stretch/>
      </xdr:blipFill>
      <xdr:spPr>
        <a:xfrm>
          <a:off x="12771000" y="257760"/>
          <a:ext cx="957960" cy="1026720"/>
        </a:xfrm>
        <a:prstGeom prst="rect">
          <a:avLst/>
        </a:prstGeom>
        <a:ln w="0">
          <a:noFill/>
        </a:ln>
      </xdr:spPr>
    </xdr:pic>
    <xdr:clientData/>
  </xdr:twoCellAnchor>
  <xdr:twoCellAnchor editAs="oneCell">
    <xdr:from>
      <xdr:col>0</xdr:col>
      <xdr:colOff>0</xdr:colOff>
      <xdr:row>0</xdr:row>
      <xdr:rowOff>0</xdr:rowOff>
    </xdr:from>
    <xdr:to>
      <xdr:col>0</xdr:col>
      <xdr:colOff>0</xdr:colOff>
      <xdr:row>0</xdr:row>
      <xdr:rowOff>0</xdr:rowOff>
    </xdr:to>
    <xdr:sp macro="" textlink="">
      <xdr:nvSpPr>
        <xdr:cNvPr id="2" name="CommandButtonRec1055" descr="Hide Details">
          <a:extLst>
            <a:ext uri="{FF2B5EF4-FFF2-40B4-BE49-F238E27FC236}">
              <a16:creationId xmlns:a16="http://schemas.microsoft.com/office/drawing/2014/main" id="{00000000-0008-0000-0400-000002000000}"/>
            </a:ext>
          </a:extLst>
        </xdr:cNvPr>
        <xdr:cNvSpPr/>
      </xdr:nvSpPr>
      <xdr:spPr>
        <a:xfrm>
          <a:off x="0" y="0"/>
          <a:ext cx="0" cy="0"/>
        </a:xfrm>
        <a:prstGeom prst="rect">
          <a:avLst/>
        </a:prstGeom>
      </xdr:spPr>
      <xdr:txBody>
        <a:bodyPr anchor="ctr">
          <a:noAutofit/>
        </a:bodyPr>
        <a:lstStyle/>
        <a:p>
          <a:r>
            <a:t>Hide Details</a:t>
          </a:r>
        </a:p>
      </xdr:txBody>
    </xdr:sp>
    <xdr:clientData/>
  </xdr:twoCellAnchor>
  <xdr:twoCellAnchor>
    <xdr:from>
      <xdr:col>13</xdr:col>
      <xdr:colOff>541080</xdr:colOff>
      <xdr:row>400</xdr:row>
      <xdr:rowOff>122400</xdr:rowOff>
    </xdr:from>
    <xdr:to>
      <xdr:col>13</xdr:col>
      <xdr:colOff>894600</xdr:colOff>
      <xdr:row>403</xdr:row>
      <xdr:rowOff>94680</xdr:rowOff>
    </xdr:to>
    <xdr:sp macro="" textlink="">
      <xdr:nvSpPr>
        <xdr:cNvPr id="101" name="Down Arrow 15">
          <a:extLst>
            <a:ext uri="{FF2B5EF4-FFF2-40B4-BE49-F238E27FC236}">
              <a16:creationId xmlns:a16="http://schemas.microsoft.com/office/drawing/2014/main" id="{00000000-0008-0000-0400-000065000000}"/>
            </a:ext>
          </a:extLst>
        </xdr:cNvPr>
        <xdr:cNvSpPr/>
      </xdr:nvSpPr>
      <xdr:spPr>
        <a:xfrm>
          <a:off x="12520168" y="45035576"/>
          <a:ext cx="353520" cy="94719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404</xdr:row>
      <xdr:rowOff>2880</xdr:rowOff>
    </xdr:from>
    <xdr:to>
      <xdr:col>12</xdr:col>
      <xdr:colOff>830520</xdr:colOff>
      <xdr:row>405</xdr:row>
      <xdr:rowOff>25920</xdr:rowOff>
    </xdr:to>
    <xdr:sp macro="" textlink="">
      <xdr:nvSpPr>
        <xdr:cNvPr id="102" name="Down Arrow 16">
          <a:extLst>
            <a:ext uri="{FF2B5EF4-FFF2-40B4-BE49-F238E27FC236}">
              <a16:creationId xmlns:a16="http://schemas.microsoft.com/office/drawing/2014/main" id="{00000000-0008-0000-0400-000066000000}"/>
            </a:ext>
          </a:extLst>
        </xdr:cNvPr>
        <xdr:cNvSpPr/>
      </xdr:nvSpPr>
      <xdr:spPr>
        <a:xfrm rot="5400000">
          <a:off x="9398863" y="44206556"/>
          <a:ext cx="348010" cy="4366775"/>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582</xdr:row>
      <xdr:rowOff>122400</xdr:rowOff>
    </xdr:from>
    <xdr:to>
      <xdr:col>13</xdr:col>
      <xdr:colOff>894600</xdr:colOff>
      <xdr:row>585</xdr:row>
      <xdr:rowOff>94680</xdr:rowOff>
    </xdr:to>
    <xdr:sp macro="" textlink="">
      <xdr:nvSpPr>
        <xdr:cNvPr id="140" name="Down Arrow 15">
          <a:extLst>
            <a:ext uri="{FF2B5EF4-FFF2-40B4-BE49-F238E27FC236}">
              <a16:creationId xmlns:a16="http://schemas.microsoft.com/office/drawing/2014/main" id="{00000000-0008-0000-0400-00008C000000}"/>
            </a:ext>
          </a:extLst>
        </xdr:cNvPr>
        <xdr:cNvSpPr/>
      </xdr:nvSpPr>
      <xdr:spPr>
        <a:xfrm>
          <a:off x="12520168" y="124619753"/>
          <a:ext cx="353520" cy="94719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586</xdr:row>
      <xdr:rowOff>2880</xdr:rowOff>
    </xdr:from>
    <xdr:to>
      <xdr:col>12</xdr:col>
      <xdr:colOff>830520</xdr:colOff>
      <xdr:row>587</xdr:row>
      <xdr:rowOff>25920</xdr:rowOff>
    </xdr:to>
    <xdr:sp macro="" textlink="">
      <xdr:nvSpPr>
        <xdr:cNvPr id="141" name="Down Arrow 16">
          <a:extLst>
            <a:ext uri="{FF2B5EF4-FFF2-40B4-BE49-F238E27FC236}">
              <a16:creationId xmlns:a16="http://schemas.microsoft.com/office/drawing/2014/main" id="{00000000-0008-0000-0400-00008D000000}"/>
            </a:ext>
          </a:extLst>
        </xdr:cNvPr>
        <xdr:cNvSpPr/>
      </xdr:nvSpPr>
      <xdr:spPr>
        <a:xfrm rot="5400000">
          <a:off x="9398862" y="123790733"/>
          <a:ext cx="348011" cy="4366775"/>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541080</xdr:colOff>
      <xdr:row>166</xdr:row>
      <xdr:rowOff>122400</xdr:rowOff>
    </xdr:from>
    <xdr:to>
      <xdr:col>13</xdr:col>
      <xdr:colOff>894600</xdr:colOff>
      <xdr:row>169</xdr:row>
      <xdr:rowOff>94680</xdr:rowOff>
    </xdr:to>
    <xdr:sp macro="" textlink="">
      <xdr:nvSpPr>
        <xdr:cNvPr id="9" name="Down Arrow 15">
          <a:extLst>
            <a:ext uri="{FF2B5EF4-FFF2-40B4-BE49-F238E27FC236}">
              <a16:creationId xmlns:a16="http://schemas.microsoft.com/office/drawing/2014/main" id="{00000000-0008-0000-0400-000009000000}"/>
            </a:ext>
          </a:extLst>
        </xdr:cNvPr>
        <xdr:cNvSpPr/>
      </xdr:nvSpPr>
      <xdr:spPr>
        <a:xfrm>
          <a:off x="13248551" y="44441665"/>
          <a:ext cx="353520" cy="947191"/>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170</xdr:row>
      <xdr:rowOff>2880</xdr:rowOff>
    </xdr:from>
    <xdr:to>
      <xdr:col>12</xdr:col>
      <xdr:colOff>830520</xdr:colOff>
      <xdr:row>171</xdr:row>
      <xdr:rowOff>25920</xdr:rowOff>
    </xdr:to>
    <xdr:sp macro="" textlink="">
      <xdr:nvSpPr>
        <xdr:cNvPr id="12" name="Down Arrow 16">
          <a:extLst>
            <a:ext uri="{FF2B5EF4-FFF2-40B4-BE49-F238E27FC236}">
              <a16:creationId xmlns:a16="http://schemas.microsoft.com/office/drawing/2014/main" id="{00000000-0008-0000-0400-00000C000000}"/>
            </a:ext>
          </a:extLst>
        </xdr:cNvPr>
        <xdr:cNvSpPr/>
      </xdr:nvSpPr>
      <xdr:spPr>
        <a:xfrm rot="5400000">
          <a:off x="10127244" y="43612645"/>
          <a:ext cx="34801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xdr:row>
      <xdr:rowOff>145800</xdr:rowOff>
    </xdr:from>
    <xdr:to>
      <xdr:col>13</xdr:col>
      <xdr:colOff>905760</xdr:colOff>
      <xdr:row>52</xdr:row>
      <xdr:rowOff>95040</xdr:rowOff>
    </xdr:to>
    <xdr:sp macro="" textlink="">
      <xdr:nvSpPr>
        <xdr:cNvPr id="31" name="Down Arrow 33">
          <a:extLst>
            <a:ext uri="{FF2B5EF4-FFF2-40B4-BE49-F238E27FC236}">
              <a16:creationId xmlns:a16="http://schemas.microsoft.com/office/drawing/2014/main" id="{00000000-0008-0000-0400-00001F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xdr:row>
      <xdr:rowOff>2520</xdr:rowOff>
    </xdr:from>
    <xdr:to>
      <xdr:col>12</xdr:col>
      <xdr:colOff>830520</xdr:colOff>
      <xdr:row>54</xdr:row>
      <xdr:rowOff>25920</xdr:rowOff>
    </xdr:to>
    <xdr:sp macro="" textlink="">
      <xdr:nvSpPr>
        <xdr:cNvPr id="32" name="Down Arrow 34">
          <a:extLst>
            <a:ext uri="{FF2B5EF4-FFF2-40B4-BE49-F238E27FC236}">
              <a16:creationId xmlns:a16="http://schemas.microsoft.com/office/drawing/2014/main" id="{00000000-0008-0000-0400-000020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62</xdr:row>
      <xdr:rowOff>145800</xdr:rowOff>
    </xdr:from>
    <xdr:to>
      <xdr:col>13</xdr:col>
      <xdr:colOff>905760</xdr:colOff>
      <xdr:row>65</xdr:row>
      <xdr:rowOff>95040</xdr:rowOff>
    </xdr:to>
    <xdr:sp macro="" textlink="">
      <xdr:nvSpPr>
        <xdr:cNvPr id="33" name="Down Arrow 33">
          <a:extLst>
            <a:ext uri="{FF2B5EF4-FFF2-40B4-BE49-F238E27FC236}">
              <a16:creationId xmlns:a16="http://schemas.microsoft.com/office/drawing/2014/main" id="{00000000-0008-0000-0400-000021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66</xdr:row>
      <xdr:rowOff>2520</xdr:rowOff>
    </xdr:from>
    <xdr:to>
      <xdr:col>12</xdr:col>
      <xdr:colOff>830520</xdr:colOff>
      <xdr:row>67</xdr:row>
      <xdr:rowOff>25920</xdr:rowOff>
    </xdr:to>
    <xdr:sp macro="" textlink="">
      <xdr:nvSpPr>
        <xdr:cNvPr id="34" name="Down Arrow 34">
          <a:extLst>
            <a:ext uri="{FF2B5EF4-FFF2-40B4-BE49-F238E27FC236}">
              <a16:creationId xmlns:a16="http://schemas.microsoft.com/office/drawing/2014/main" id="{00000000-0008-0000-0400-000022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75</xdr:row>
      <xdr:rowOff>145800</xdr:rowOff>
    </xdr:from>
    <xdr:to>
      <xdr:col>13</xdr:col>
      <xdr:colOff>905760</xdr:colOff>
      <xdr:row>78</xdr:row>
      <xdr:rowOff>95040</xdr:rowOff>
    </xdr:to>
    <xdr:sp macro="" textlink="">
      <xdr:nvSpPr>
        <xdr:cNvPr id="35" name="Down Arrow 33">
          <a:extLst>
            <a:ext uri="{FF2B5EF4-FFF2-40B4-BE49-F238E27FC236}">
              <a16:creationId xmlns:a16="http://schemas.microsoft.com/office/drawing/2014/main" id="{00000000-0008-0000-0400-000023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79</xdr:row>
      <xdr:rowOff>2520</xdr:rowOff>
    </xdr:from>
    <xdr:to>
      <xdr:col>12</xdr:col>
      <xdr:colOff>830520</xdr:colOff>
      <xdr:row>80</xdr:row>
      <xdr:rowOff>25920</xdr:rowOff>
    </xdr:to>
    <xdr:sp macro="" textlink="">
      <xdr:nvSpPr>
        <xdr:cNvPr id="36" name="Down Arrow 34">
          <a:extLst>
            <a:ext uri="{FF2B5EF4-FFF2-40B4-BE49-F238E27FC236}">
              <a16:creationId xmlns:a16="http://schemas.microsoft.com/office/drawing/2014/main" id="{00000000-0008-0000-0400-000024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88</xdr:row>
      <xdr:rowOff>145800</xdr:rowOff>
    </xdr:from>
    <xdr:to>
      <xdr:col>13</xdr:col>
      <xdr:colOff>905760</xdr:colOff>
      <xdr:row>91</xdr:row>
      <xdr:rowOff>95040</xdr:rowOff>
    </xdr:to>
    <xdr:sp macro="" textlink="">
      <xdr:nvSpPr>
        <xdr:cNvPr id="37" name="Down Arrow 33">
          <a:extLst>
            <a:ext uri="{FF2B5EF4-FFF2-40B4-BE49-F238E27FC236}">
              <a16:creationId xmlns:a16="http://schemas.microsoft.com/office/drawing/2014/main" id="{00000000-0008-0000-0400-000025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92</xdr:row>
      <xdr:rowOff>2520</xdr:rowOff>
    </xdr:from>
    <xdr:to>
      <xdr:col>12</xdr:col>
      <xdr:colOff>830520</xdr:colOff>
      <xdr:row>93</xdr:row>
      <xdr:rowOff>25920</xdr:rowOff>
    </xdr:to>
    <xdr:sp macro="" textlink="">
      <xdr:nvSpPr>
        <xdr:cNvPr id="38" name="Down Arrow 34">
          <a:extLst>
            <a:ext uri="{FF2B5EF4-FFF2-40B4-BE49-F238E27FC236}">
              <a16:creationId xmlns:a16="http://schemas.microsoft.com/office/drawing/2014/main" id="{00000000-0008-0000-0400-000026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101</xdr:row>
      <xdr:rowOff>145800</xdr:rowOff>
    </xdr:from>
    <xdr:to>
      <xdr:col>13</xdr:col>
      <xdr:colOff>905760</xdr:colOff>
      <xdr:row>104</xdr:row>
      <xdr:rowOff>95040</xdr:rowOff>
    </xdr:to>
    <xdr:sp macro="" textlink="">
      <xdr:nvSpPr>
        <xdr:cNvPr id="39" name="Down Arrow 33">
          <a:extLst>
            <a:ext uri="{FF2B5EF4-FFF2-40B4-BE49-F238E27FC236}">
              <a16:creationId xmlns:a16="http://schemas.microsoft.com/office/drawing/2014/main" id="{00000000-0008-0000-0400-000027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105</xdr:row>
      <xdr:rowOff>2520</xdr:rowOff>
    </xdr:from>
    <xdr:to>
      <xdr:col>12</xdr:col>
      <xdr:colOff>830520</xdr:colOff>
      <xdr:row>106</xdr:row>
      <xdr:rowOff>25920</xdr:rowOff>
    </xdr:to>
    <xdr:sp macro="" textlink="">
      <xdr:nvSpPr>
        <xdr:cNvPr id="40" name="Down Arrow 34">
          <a:extLst>
            <a:ext uri="{FF2B5EF4-FFF2-40B4-BE49-F238E27FC236}">
              <a16:creationId xmlns:a16="http://schemas.microsoft.com/office/drawing/2014/main" id="{00000000-0008-0000-0400-000028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114</xdr:row>
      <xdr:rowOff>145800</xdr:rowOff>
    </xdr:from>
    <xdr:to>
      <xdr:col>13</xdr:col>
      <xdr:colOff>905760</xdr:colOff>
      <xdr:row>117</xdr:row>
      <xdr:rowOff>95040</xdr:rowOff>
    </xdr:to>
    <xdr:sp macro="" textlink="">
      <xdr:nvSpPr>
        <xdr:cNvPr id="41" name="Down Arrow 33">
          <a:extLst>
            <a:ext uri="{FF2B5EF4-FFF2-40B4-BE49-F238E27FC236}">
              <a16:creationId xmlns:a16="http://schemas.microsoft.com/office/drawing/2014/main" id="{00000000-0008-0000-0400-000029000000}"/>
            </a:ext>
          </a:extLst>
        </xdr:cNvPr>
        <xdr:cNvSpPr/>
      </xdr:nvSpPr>
      <xdr:spPr>
        <a:xfrm>
          <a:off x="13259711" y="3092947"/>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118</xdr:row>
      <xdr:rowOff>2520</xdr:rowOff>
    </xdr:from>
    <xdr:to>
      <xdr:col>12</xdr:col>
      <xdr:colOff>830520</xdr:colOff>
      <xdr:row>119</xdr:row>
      <xdr:rowOff>25920</xdr:rowOff>
    </xdr:to>
    <xdr:sp macro="" textlink="">
      <xdr:nvSpPr>
        <xdr:cNvPr id="42" name="Down Arrow 34">
          <a:extLst>
            <a:ext uri="{FF2B5EF4-FFF2-40B4-BE49-F238E27FC236}">
              <a16:creationId xmlns:a16="http://schemas.microsoft.com/office/drawing/2014/main" id="{00000000-0008-0000-0400-00002A000000}"/>
            </a:ext>
          </a:extLst>
        </xdr:cNvPr>
        <xdr:cNvSpPr/>
      </xdr:nvSpPr>
      <xdr:spPr>
        <a:xfrm rot="5400000">
          <a:off x="10127064" y="2240347"/>
          <a:ext cx="348371"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xdr:row>
      <xdr:rowOff>145800</xdr:rowOff>
    </xdr:from>
    <xdr:to>
      <xdr:col>13</xdr:col>
      <xdr:colOff>905760</xdr:colOff>
      <xdr:row>52</xdr:row>
      <xdr:rowOff>95040</xdr:rowOff>
    </xdr:to>
    <xdr:sp macro="" textlink="">
      <xdr:nvSpPr>
        <xdr:cNvPr id="45" name="Down Arrow 33">
          <a:extLst>
            <a:ext uri="{FF2B5EF4-FFF2-40B4-BE49-F238E27FC236}">
              <a16:creationId xmlns:a16="http://schemas.microsoft.com/office/drawing/2014/main" id="{00000000-0008-0000-0400-00002D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xdr:row>
      <xdr:rowOff>2520</xdr:rowOff>
    </xdr:from>
    <xdr:to>
      <xdr:col>12</xdr:col>
      <xdr:colOff>830520</xdr:colOff>
      <xdr:row>54</xdr:row>
      <xdr:rowOff>25920</xdr:rowOff>
    </xdr:to>
    <xdr:sp macro="" textlink="">
      <xdr:nvSpPr>
        <xdr:cNvPr id="48" name="Down Arrow 34">
          <a:extLst>
            <a:ext uri="{FF2B5EF4-FFF2-40B4-BE49-F238E27FC236}">
              <a16:creationId xmlns:a16="http://schemas.microsoft.com/office/drawing/2014/main" id="{00000000-0008-0000-0400-000030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62</xdr:row>
      <xdr:rowOff>145800</xdr:rowOff>
    </xdr:from>
    <xdr:to>
      <xdr:col>13</xdr:col>
      <xdr:colOff>905760</xdr:colOff>
      <xdr:row>65</xdr:row>
      <xdr:rowOff>95040</xdr:rowOff>
    </xdr:to>
    <xdr:sp macro="" textlink="">
      <xdr:nvSpPr>
        <xdr:cNvPr id="49" name="Down Arrow 33">
          <a:extLst>
            <a:ext uri="{FF2B5EF4-FFF2-40B4-BE49-F238E27FC236}">
              <a16:creationId xmlns:a16="http://schemas.microsoft.com/office/drawing/2014/main" id="{00000000-0008-0000-0400-000031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66</xdr:row>
      <xdr:rowOff>2520</xdr:rowOff>
    </xdr:from>
    <xdr:to>
      <xdr:col>12</xdr:col>
      <xdr:colOff>830520</xdr:colOff>
      <xdr:row>67</xdr:row>
      <xdr:rowOff>25920</xdr:rowOff>
    </xdr:to>
    <xdr:sp macro="" textlink="">
      <xdr:nvSpPr>
        <xdr:cNvPr id="50" name="Down Arrow 34">
          <a:extLst>
            <a:ext uri="{FF2B5EF4-FFF2-40B4-BE49-F238E27FC236}">
              <a16:creationId xmlns:a16="http://schemas.microsoft.com/office/drawing/2014/main" id="{00000000-0008-0000-0400-000032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75</xdr:row>
      <xdr:rowOff>145800</xdr:rowOff>
    </xdr:from>
    <xdr:to>
      <xdr:col>13</xdr:col>
      <xdr:colOff>905760</xdr:colOff>
      <xdr:row>78</xdr:row>
      <xdr:rowOff>95040</xdr:rowOff>
    </xdr:to>
    <xdr:sp macro="" textlink="">
      <xdr:nvSpPr>
        <xdr:cNvPr id="51" name="Down Arrow 33">
          <a:extLst>
            <a:ext uri="{FF2B5EF4-FFF2-40B4-BE49-F238E27FC236}">
              <a16:creationId xmlns:a16="http://schemas.microsoft.com/office/drawing/2014/main" id="{00000000-0008-0000-0400-000033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79</xdr:row>
      <xdr:rowOff>2520</xdr:rowOff>
    </xdr:from>
    <xdr:to>
      <xdr:col>12</xdr:col>
      <xdr:colOff>830520</xdr:colOff>
      <xdr:row>80</xdr:row>
      <xdr:rowOff>25920</xdr:rowOff>
    </xdr:to>
    <xdr:sp macro="" textlink="">
      <xdr:nvSpPr>
        <xdr:cNvPr id="52" name="Down Arrow 34">
          <a:extLst>
            <a:ext uri="{FF2B5EF4-FFF2-40B4-BE49-F238E27FC236}">
              <a16:creationId xmlns:a16="http://schemas.microsoft.com/office/drawing/2014/main" id="{00000000-0008-0000-0400-000034000000}"/>
            </a:ext>
          </a:extLst>
        </xdr:cNvPr>
        <xdr:cNvSpPr/>
      </xdr:nvSpPr>
      <xdr:spPr>
        <a:xfrm rot="5400000">
          <a:off x="10127065" y="23352229"/>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88</xdr:row>
      <xdr:rowOff>145800</xdr:rowOff>
    </xdr:from>
    <xdr:to>
      <xdr:col>13</xdr:col>
      <xdr:colOff>905760</xdr:colOff>
      <xdr:row>91</xdr:row>
      <xdr:rowOff>95040</xdr:rowOff>
    </xdr:to>
    <xdr:sp macro="" textlink="">
      <xdr:nvSpPr>
        <xdr:cNvPr id="53" name="Down Arrow 33">
          <a:extLst>
            <a:ext uri="{FF2B5EF4-FFF2-40B4-BE49-F238E27FC236}">
              <a16:creationId xmlns:a16="http://schemas.microsoft.com/office/drawing/2014/main" id="{00000000-0008-0000-0400-000035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92</xdr:row>
      <xdr:rowOff>2520</xdr:rowOff>
    </xdr:from>
    <xdr:to>
      <xdr:col>12</xdr:col>
      <xdr:colOff>830520</xdr:colOff>
      <xdr:row>93</xdr:row>
      <xdr:rowOff>25920</xdr:rowOff>
    </xdr:to>
    <xdr:sp macro="" textlink="">
      <xdr:nvSpPr>
        <xdr:cNvPr id="54" name="Down Arrow 34">
          <a:extLst>
            <a:ext uri="{FF2B5EF4-FFF2-40B4-BE49-F238E27FC236}">
              <a16:creationId xmlns:a16="http://schemas.microsoft.com/office/drawing/2014/main" id="{00000000-0008-0000-0400-000036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101</xdr:row>
      <xdr:rowOff>145800</xdr:rowOff>
    </xdr:from>
    <xdr:to>
      <xdr:col>13</xdr:col>
      <xdr:colOff>905760</xdr:colOff>
      <xdr:row>104</xdr:row>
      <xdr:rowOff>95040</xdr:rowOff>
    </xdr:to>
    <xdr:sp macro="" textlink="">
      <xdr:nvSpPr>
        <xdr:cNvPr id="55" name="Down Arrow 33">
          <a:extLst>
            <a:ext uri="{FF2B5EF4-FFF2-40B4-BE49-F238E27FC236}">
              <a16:creationId xmlns:a16="http://schemas.microsoft.com/office/drawing/2014/main" id="{00000000-0008-0000-0400-000037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105</xdr:row>
      <xdr:rowOff>2520</xdr:rowOff>
    </xdr:from>
    <xdr:to>
      <xdr:col>12</xdr:col>
      <xdr:colOff>830520</xdr:colOff>
      <xdr:row>106</xdr:row>
      <xdr:rowOff>25920</xdr:rowOff>
    </xdr:to>
    <xdr:sp macro="" textlink="">
      <xdr:nvSpPr>
        <xdr:cNvPr id="56" name="Down Arrow 34">
          <a:extLst>
            <a:ext uri="{FF2B5EF4-FFF2-40B4-BE49-F238E27FC236}">
              <a16:creationId xmlns:a16="http://schemas.microsoft.com/office/drawing/2014/main" id="{00000000-0008-0000-0400-000038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114</xdr:row>
      <xdr:rowOff>145800</xdr:rowOff>
    </xdr:from>
    <xdr:to>
      <xdr:col>13</xdr:col>
      <xdr:colOff>905760</xdr:colOff>
      <xdr:row>117</xdr:row>
      <xdr:rowOff>95040</xdr:rowOff>
    </xdr:to>
    <xdr:sp macro="" textlink="">
      <xdr:nvSpPr>
        <xdr:cNvPr id="57" name="Down Arrow 33">
          <a:extLst>
            <a:ext uri="{FF2B5EF4-FFF2-40B4-BE49-F238E27FC236}">
              <a16:creationId xmlns:a16="http://schemas.microsoft.com/office/drawing/2014/main" id="{00000000-0008-0000-0400-000039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118</xdr:row>
      <xdr:rowOff>2520</xdr:rowOff>
    </xdr:from>
    <xdr:to>
      <xdr:col>12</xdr:col>
      <xdr:colOff>830520</xdr:colOff>
      <xdr:row>119</xdr:row>
      <xdr:rowOff>25920</xdr:rowOff>
    </xdr:to>
    <xdr:sp macro="" textlink="">
      <xdr:nvSpPr>
        <xdr:cNvPr id="58" name="Down Arrow 34">
          <a:extLst>
            <a:ext uri="{FF2B5EF4-FFF2-40B4-BE49-F238E27FC236}">
              <a16:creationId xmlns:a16="http://schemas.microsoft.com/office/drawing/2014/main" id="{00000000-0008-0000-0400-00003A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127</xdr:row>
      <xdr:rowOff>145800</xdr:rowOff>
    </xdr:from>
    <xdr:to>
      <xdr:col>13</xdr:col>
      <xdr:colOff>905760</xdr:colOff>
      <xdr:row>130</xdr:row>
      <xdr:rowOff>95040</xdr:rowOff>
    </xdr:to>
    <xdr:sp macro="" textlink="">
      <xdr:nvSpPr>
        <xdr:cNvPr id="59" name="Down Arrow 33">
          <a:extLst>
            <a:ext uri="{FF2B5EF4-FFF2-40B4-BE49-F238E27FC236}">
              <a16:creationId xmlns:a16="http://schemas.microsoft.com/office/drawing/2014/main" id="{00000000-0008-0000-0400-00003B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131</xdr:row>
      <xdr:rowOff>2520</xdr:rowOff>
    </xdr:from>
    <xdr:to>
      <xdr:col>12</xdr:col>
      <xdr:colOff>830520</xdr:colOff>
      <xdr:row>132</xdr:row>
      <xdr:rowOff>25920</xdr:rowOff>
    </xdr:to>
    <xdr:sp macro="" textlink="">
      <xdr:nvSpPr>
        <xdr:cNvPr id="60" name="Down Arrow 34">
          <a:extLst>
            <a:ext uri="{FF2B5EF4-FFF2-40B4-BE49-F238E27FC236}">
              <a16:creationId xmlns:a16="http://schemas.microsoft.com/office/drawing/2014/main" id="{00000000-0008-0000-0400-00003C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140</xdr:row>
      <xdr:rowOff>145800</xdr:rowOff>
    </xdr:from>
    <xdr:to>
      <xdr:col>13</xdr:col>
      <xdr:colOff>905760</xdr:colOff>
      <xdr:row>143</xdr:row>
      <xdr:rowOff>95040</xdr:rowOff>
    </xdr:to>
    <xdr:sp macro="" textlink="">
      <xdr:nvSpPr>
        <xdr:cNvPr id="61" name="Down Arrow 33">
          <a:extLst>
            <a:ext uri="{FF2B5EF4-FFF2-40B4-BE49-F238E27FC236}">
              <a16:creationId xmlns:a16="http://schemas.microsoft.com/office/drawing/2014/main" id="{00000000-0008-0000-0400-00003D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144</xdr:row>
      <xdr:rowOff>2520</xdr:rowOff>
    </xdr:from>
    <xdr:to>
      <xdr:col>12</xdr:col>
      <xdr:colOff>830520</xdr:colOff>
      <xdr:row>145</xdr:row>
      <xdr:rowOff>25920</xdr:rowOff>
    </xdr:to>
    <xdr:sp macro="" textlink="">
      <xdr:nvSpPr>
        <xdr:cNvPr id="62" name="Down Arrow 34">
          <a:extLst>
            <a:ext uri="{FF2B5EF4-FFF2-40B4-BE49-F238E27FC236}">
              <a16:creationId xmlns:a16="http://schemas.microsoft.com/office/drawing/2014/main" id="{00000000-0008-0000-0400-00003E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153</xdr:row>
      <xdr:rowOff>145800</xdr:rowOff>
    </xdr:from>
    <xdr:to>
      <xdr:col>13</xdr:col>
      <xdr:colOff>905760</xdr:colOff>
      <xdr:row>156</xdr:row>
      <xdr:rowOff>95040</xdr:rowOff>
    </xdr:to>
    <xdr:sp macro="" textlink="">
      <xdr:nvSpPr>
        <xdr:cNvPr id="63" name="Down Arrow 33">
          <a:extLst>
            <a:ext uri="{FF2B5EF4-FFF2-40B4-BE49-F238E27FC236}">
              <a16:creationId xmlns:a16="http://schemas.microsoft.com/office/drawing/2014/main" id="{00000000-0008-0000-0400-00003F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157</xdr:row>
      <xdr:rowOff>2520</xdr:rowOff>
    </xdr:from>
    <xdr:to>
      <xdr:col>12</xdr:col>
      <xdr:colOff>830520</xdr:colOff>
      <xdr:row>158</xdr:row>
      <xdr:rowOff>25920</xdr:rowOff>
    </xdr:to>
    <xdr:sp macro="" textlink="">
      <xdr:nvSpPr>
        <xdr:cNvPr id="64" name="Down Arrow 34">
          <a:extLst>
            <a:ext uri="{FF2B5EF4-FFF2-40B4-BE49-F238E27FC236}">
              <a16:creationId xmlns:a16="http://schemas.microsoft.com/office/drawing/2014/main" id="{00000000-0008-0000-0400-000040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179</xdr:row>
      <xdr:rowOff>145800</xdr:rowOff>
    </xdr:from>
    <xdr:to>
      <xdr:col>13</xdr:col>
      <xdr:colOff>905760</xdr:colOff>
      <xdr:row>182</xdr:row>
      <xdr:rowOff>95040</xdr:rowOff>
    </xdr:to>
    <xdr:sp macro="" textlink="">
      <xdr:nvSpPr>
        <xdr:cNvPr id="69" name="Down Arrow 33">
          <a:extLst>
            <a:ext uri="{FF2B5EF4-FFF2-40B4-BE49-F238E27FC236}">
              <a16:creationId xmlns:a16="http://schemas.microsoft.com/office/drawing/2014/main" id="{00000000-0008-0000-0400-000045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183</xdr:row>
      <xdr:rowOff>2520</xdr:rowOff>
    </xdr:from>
    <xdr:to>
      <xdr:col>12</xdr:col>
      <xdr:colOff>830520</xdr:colOff>
      <xdr:row>184</xdr:row>
      <xdr:rowOff>25920</xdr:rowOff>
    </xdr:to>
    <xdr:sp macro="" textlink="">
      <xdr:nvSpPr>
        <xdr:cNvPr id="73" name="Down Arrow 34">
          <a:extLst>
            <a:ext uri="{FF2B5EF4-FFF2-40B4-BE49-F238E27FC236}">
              <a16:creationId xmlns:a16="http://schemas.microsoft.com/office/drawing/2014/main" id="{00000000-0008-0000-0400-00004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192</xdr:row>
      <xdr:rowOff>145800</xdr:rowOff>
    </xdr:from>
    <xdr:to>
      <xdr:col>13</xdr:col>
      <xdr:colOff>905760</xdr:colOff>
      <xdr:row>195</xdr:row>
      <xdr:rowOff>95040</xdr:rowOff>
    </xdr:to>
    <xdr:sp macro="" textlink="">
      <xdr:nvSpPr>
        <xdr:cNvPr id="76" name="Down Arrow 33">
          <a:extLst>
            <a:ext uri="{FF2B5EF4-FFF2-40B4-BE49-F238E27FC236}">
              <a16:creationId xmlns:a16="http://schemas.microsoft.com/office/drawing/2014/main" id="{00000000-0008-0000-0400-00004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196</xdr:row>
      <xdr:rowOff>2520</xdr:rowOff>
    </xdr:from>
    <xdr:to>
      <xdr:col>12</xdr:col>
      <xdr:colOff>830520</xdr:colOff>
      <xdr:row>197</xdr:row>
      <xdr:rowOff>25920</xdr:rowOff>
    </xdr:to>
    <xdr:sp macro="" textlink="">
      <xdr:nvSpPr>
        <xdr:cNvPr id="79" name="Down Arrow 34">
          <a:extLst>
            <a:ext uri="{FF2B5EF4-FFF2-40B4-BE49-F238E27FC236}">
              <a16:creationId xmlns:a16="http://schemas.microsoft.com/office/drawing/2014/main" id="{00000000-0008-0000-0400-00004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205</xdr:row>
      <xdr:rowOff>145800</xdr:rowOff>
    </xdr:from>
    <xdr:to>
      <xdr:col>13</xdr:col>
      <xdr:colOff>905760</xdr:colOff>
      <xdr:row>208</xdr:row>
      <xdr:rowOff>95040</xdr:rowOff>
    </xdr:to>
    <xdr:sp macro="" textlink="">
      <xdr:nvSpPr>
        <xdr:cNvPr id="82" name="Down Arrow 33">
          <a:extLst>
            <a:ext uri="{FF2B5EF4-FFF2-40B4-BE49-F238E27FC236}">
              <a16:creationId xmlns:a16="http://schemas.microsoft.com/office/drawing/2014/main" id="{00000000-0008-0000-0400-00005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209</xdr:row>
      <xdr:rowOff>2520</xdr:rowOff>
    </xdr:from>
    <xdr:to>
      <xdr:col>12</xdr:col>
      <xdr:colOff>830520</xdr:colOff>
      <xdr:row>210</xdr:row>
      <xdr:rowOff>25920</xdr:rowOff>
    </xdr:to>
    <xdr:sp macro="" textlink="">
      <xdr:nvSpPr>
        <xdr:cNvPr id="85" name="Down Arrow 34">
          <a:extLst>
            <a:ext uri="{FF2B5EF4-FFF2-40B4-BE49-F238E27FC236}">
              <a16:creationId xmlns:a16="http://schemas.microsoft.com/office/drawing/2014/main" id="{00000000-0008-0000-0400-00005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218</xdr:row>
      <xdr:rowOff>145800</xdr:rowOff>
    </xdr:from>
    <xdr:to>
      <xdr:col>13</xdr:col>
      <xdr:colOff>905760</xdr:colOff>
      <xdr:row>221</xdr:row>
      <xdr:rowOff>95040</xdr:rowOff>
    </xdr:to>
    <xdr:sp macro="" textlink="">
      <xdr:nvSpPr>
        <xdr:cNvPr id="88" name="Down Arrow 33">
          <a:extLst>
            <a:ext uri="{FF2B5EF4-FFF2-40B4-BE49-F238E27FC236}">
              <a16:creationId xmlns:a16="http://schemas.microsoft.com/office/drawing/2014/main" id="{00000000-0008-0000-0400-00005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222</xdr:row>
      <xdr:rowOff>2520</xdr:rowOff>
    </xdr:from>
    <xdr:to>
      <xdr:col>12</xdr:col>
      <xdr:colOff>830520</xdr:colOff>
      <xdr:row>223</xdr:row>
      <xdr:rowOff>25920</xdr:rowOff>
    </xdr:to>
    <xdr:sp macro="" textlink="">
      <xdr:nvSpPr>
        <xdr:cNvPr id="91" name="Down Arrow 34">
          <a:extLst>
            <a:ext uri="{FF2B5EF4-FFF2-40B4-BE49-F238E27FC236}">
              <a16:creationId xmlns:a16="http://schemas.microsoft.com/office/drawing/2014/main" id="{00000000-0008-0000-0400-00005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231</xdr:row>
      <xdr:rowOff>145800</xdr:rowOff>
    </xdr:from>
    <xdr:to>
      <xdr:col>13</xdr:col>
      <xdr:colOff>905760</xdr:colOff>
      <xdr:row>234</xdr:row>
      <xdr:rowOff>95040</xdr:rowOff>
    </xdr:to>
    <xdr:sp macro="" textlink="">
      <xdr:nvSpPr>
        <xdr:cNvPr id="94" name="Down Arrow 33">
          <a:extLst>
            <a:ext uri="{FF2B5EF4-FFF2-40B4-BE49-F238E27FC236}">
              <a16:creationId xmlns:a16="http://schemas.microsoft.com/office/drawing/2014/main" id="{00000000-0008-0000-0400-00005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235</xdr:row>
      <xdr:rowOff>2520</xdr:rowOff>
    </xdr:from>
    <xdr:to>
      <xdr:col>12</xdr:col>
      <xdr:colOff>830520</xdr:colOff>
      <xdr:row>236</xdr:row>
      <xdr:rowOff>25920</xdr:rowOff>
    </xdr:to>
    <xdr:sp macro="" textlink="">
      <xdr:nvSpPr>
        <xdr:cNvPr id="97" name="Down Arrow 34">
          <a:extLst>
            <a:ext uri="{FF2B5EF4-FFF2-40B4-BE49-F238E27FC236}">
              <a16:creationId xmlns:a16="http://schemas.microsoft.com/office/drawing/2014/main" id="{00000000-0008-0000-0400-00006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244</xdr:row>
      <xdr:rowOff>145800</xdr:rowOff>
    </xdr:from>
    <xdr:to>
      <xdr:col>13</xdr:col>
      <xdr:colOff>905760</xdr:colOff>
      <xdr:row>247</xdr:row>
      <xdr:rowOff>95040</xdr:rowOff>
    </xdr:to>
    <xdr:sp macro="" textlink="">
      <xdr:nvSpPr>
        <xdr:cNvPr id="100" name="Down Arrow 33">
          <a:extLst>
            <a:ext uri="{FF2B5EF4-FFF2-40B4-BE49-F238E27FC236}">
              <a16:creationId xmlns:a16="http://schemas.microsoft.com/office/drawing/2014/main" id="{00000000-0008-0000-0400-00006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248</xdr:row>
      <xdr:rowOff>2520</xdr:rowOff>
    </xdr:from>
    <xdr:to>
      <xdr:col>12</xdr:col>
      <xdr:colOff>830520</xdr:colOff>
      <xdr:row>249</xdr:row>
      <xdr:rowOff>25920</xdr:rowOff>
    </xdr:to>
    <xdr:sp macro="" textlink="">
      <xdr:nvSpPr>
        <xdr:cNvPr id="103" name="Down Arrow 34">
          <a:extLst>
            <a:ext uri="{FF2B5EF4-FFF2-40B4-BE49-F238E27FC236}">
              <a16:creationId xmlns:a16="http://schemas.microsoft.com/office/drawing/2014/main" id="{00000000-0008-0000-0400-00006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257</xdr:row>
      <xdr:rowOff>145800</xdr:rowOff>
    </xdr:from>
    <xdr:to>
      <xdr:col>13</xdr:col>
      <xdr:colOff>905760</xdr:colOff>
      <xdr:row>260</xdr:row>
      <xdr:rowOff>95040</xdr:rowOff>
    </xdr:to>
    <xdr:sp macro="" textlink="">
      <xdr:nvSpPr>
        <xdr:cNvPr id="106" name="Down Arrow 33">
          <a:extLst>
            <a:ext uri="{FF2B5EF4-FFF2-40B4-BE49-F238E27FC236}">
              <a16:creationId xmlns:a16="http://schemas.microsoft.com/office/drawing/2014/main" id="{00000000-0008-0000-0400-00006A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261</xdr:row>
      <xdr:rowOff>2520</xdr:rowOff>
    </xdr:from>
    <xdr:to>
      <xdr:col>12</xdr:col>
      <xdr:colOff>830520</xdr:colOff>
      <xdr:row>262</xdr:row>
      <xdr:rowOff>25920</xdr:rowOff>
    </xdr:to>
    <xdr:sp macro="" textlink="">
      <xdr:nvSpPr>
        <xdr:cNvPr id="109" name="Down Arrow 34">
          <a:extLst>
            <a:ext uri="{FF2B5EF4-FFF2-40B4-BE49-F238E27FC236}">
              <a16:creationId xmlns:a16="http://schemas.microsoft.com/office/drawing/2014/main" id="{00000000-0008-0000-0400-00006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270</xdr:row>
      <xdr:rowOff>145800</xdr:rowOff>
    </xdr:from>
    <xdr:to>
      <xdr:col>13</xdr:col>
      <xdr:colOff>905760</xdr:colOff>
      <xdr:row>273</xdr:row>
      <xdr:rowOff>95040</xdr:rowOff>
    </xdr:to>
    <xdr:sp macro="" textlink="">
      <xdr:nvSpPr>
        <xdr:cNvPr id="112" name="Down Arrow 33">
          <a:extLst>
            <a:ext uri="{FF2B5EF4-FFF2-40B4-BE49-F238E27FC236}">
              <a16:creationId xmlns:a16="http://schemas.microsoft.com/office/drawing/2014/main" id="{00000000-0008-0000-0400-00007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274</xdr:row>
      <xdr:rowOff>2520</xdr:rowOff>
    </xdr:from>
    <xdr:to>
      <xdr:col>12</xdr:col>
      <xdr:colOff>830520</xdr:colOff>
      <xdr:row>275</xdr:row>
      <xdr:rowOff>25920</xdr:rowOff>
    </xdr:to>
    <xdr:sp macro="" textlink="">
      <xdr:nvSpPr>
        <xdr:cNvPr id="115" name="Down Arrow 34">
          <a:extLst>
            <a:ext uri="{FF2B5EF4-FFF2-40B4-BE49-F238E27FC236}">
              <a16:creationId xmlns:a16="http://schemas.microsoft.com/office/drawing/2014/main" id="{00000000-0008-0000-0400-00007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283</xdr:row>
      <xdr:rowOff>145800</xdr:rowOff>
    </xdr:from>
    <xdr:to>
      <xdr:col>13</xdr:col>
      <xdr:colOff>905760</xdr:colOff>
      <xdr:row>286</xdr:row>
      <xdr:rowOff>95040</xdr:rowOff>
    </xdr:to>
    <xdr:sp macro="" textlink="">
      <xdr:nvSpPr>
        <xdr:cNvPr id="118" name="Down Arrow 33">
          <a:extLst>
            <a:ext uri="{FF2B5EF4-FFF2-40B4-BE49-F238E27FC236}">
              <a16:creationId xmlns:a16="http://schemas.microsoft.com/office/drawing/2014/main" id="{00000000-0008-0000-0400-00007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287</xdr:row>
      <xdr:rowOff>2520</xdr:rowOff>
    </xdr:from>
    <xdr:to>
      <xdr:col>12</xdr:col>
      <xdr:colOff>830520</xdr:colOff>
      <xdr:row>288</xdr:row>
      <xdr:rowOff>25920</xdr:rowOff>
    </xdr:to>
    <xdr:sp macro="" textlink="">
      <xdr:nvSpPr>
        <xdr:cNvPr id="121" name="Down Arrow 34">
          <a:extLst>
            <a:ext uri="{FF2B5EF4-FFF2-40B4-BE49-F238E27FC236}">
              <a16:creationId xmlns:a16="http://schemas.microsoft.com/office/drawing/2014/main" id="{00000000-0008-0000-0400-00007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296</xdr:row>
      <xdr:rowOff>145800</xdr:rowOff>
    </xdr:from>
    <xdr:to>
      <xdr:col>13</xdr:col>
      <xdr:colOff>905760</xdr:colOff>
      <xdr:row>299</xdr:row>
      <xdr:rowOff>95040</xdr:rowOff>
    </xdr:to>
    <xdr:sp macro="" textlink="">
      <xdr:nvSpPr>
        <xdr:cNvPr id="124" name="Down Arrow 33">
          <a:extLst>
            <a:ext uri="{FF2B5EF4-FFF2-40B4-BE49-F238E27FC236}">
              <a16:creationId xmlns:a16="http://schemas.microsoft.com/office/drawing/2014/main" id="{00000000-0008-0000-0400-00007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300</xdr:row>
      <xdr:rowOff>2520</xdr:rowOff>
    </xdr:from>
    <xdr:to>
      <xdr:col>12</xdr:col>
      <xdr:colOff>830520</xdr:colOff>
      <xdr:row>301</xdr:row>
      <xdr:rowOff>25920</xdr:rowOff>
    </xdr:to>
    <xdr:sp macro="" textlink="">
      <xdr:nvSpPr>
        <xdr:cNvPr id="127" name="Down Arrow 34">
          <a:extLst>
            <a:ext uri="{FF2B5EF4-FFF2-40B4-BE49-F238E27FC236}">
              <a16:creationId xmlns:a16="http://schemas.microsoft.com/office/drawing/2014/main" id="{00000000-0008-0000-0400-00007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309</xdr:row>
      <xdr:rowOff>145800</xdr:rowOff>
    </xdr:from>
    <xdr:to>
      <xdr:col>13</xdr:col>
      <xdr:colOff>905760</xdr:colOff>
      <xdr:row>312</xdr:row>
      <xdr:rowOff>95040</xdr:rowOff>
    </xdr:to>
    <xdr:sp macro="" textlink="">
      <xdr:nvSpPr>
        <xdr:cNvPr id="130" name="Down Arrow 33">
          <a:extLst>
            <a:ext uri="{FF2B5EF4-FFF2-40B4-BE49-F238E27FC236}">
              <a16:creationId xmlns:a16="http://schemas.microsoft.com/office/drawing/2014/main" id="{00000000-0008-0000-0400-00008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313</xdr:row>
      <xdr:rowOff>2520</xdr:rowOff>
    </xdr:from>
    <xdr:to>
      <xdr:col>12</xdr:col>
      <xdr:colOff>830520</xdr:colOff>
      <xdr:row>314</xdr:row>
      <xdr:rowOff>25920</xdr:rowOff>
    </xdr:to>
    <xdr:sp macro="" textlink="">
      <xdr:nvSpPr>
        <xdr:cNvPr id="133" name="Down Arrow 34">
          <a:extLst>
            <a:ext uri="{FF2B5EF4-FFF2-40B4-BE49-F238E27FC236}">
              <a16:creationId xmlns:a16="http://schemas.microsoft.com/office/drawing/2014/main" id="{00000000-0008-0000-0400-00008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322</xdr:row>
      <xdr:rowOff>145800</xdr:rowOff>
    </xdr:from>
    <xdr:to>
      <xdr:col>13</xdr:col>
      <xdr:colOff>905760</xdr:colOff>
      <xdr:row>325</xdr:row>
      <xdr:rowOff>95040</xdr:rowOff>
    </xdr:to>
    <xdr:sp macro="" textlink="">
      <xdr:nvSpPr>
        <xdr:cNvPr id="136" name="Down Arrow 33">
          <a:extLst>
            <a:ext uri="{FF2B5EF4-FFF2-40B4-BE49-F238E27FC236}">
              <a16:creationId xmlns:a16="http://schemas.microsoft.com/office/drawing/2014/main" id="{00000000-0008-0000-0400-00008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326</xdr:row>
      <xdr:rowOff>2520</xdr:rowOff>
    </xdr:from>
    <xdr:to>
      <xdr:col>12</xdr:col>
      <xdr:colOff>830520</xdr:colOff>
      <xdr:row>327</xdr:row>
      <xdr:rowOff>25920</xdr:rowOff>
    </xdr:to>
    <xdr:sp macro="" textlink="">
      <xdr:nvSpPr>
        <xdr:cNvPr id="139" name="Down Arrow 34">
          <a:extLst>
            <a:ext uri="{FF2B5EF4-FFF2-40B4-BE49-F238E27FC236}">
              <a16:creationId xmlns:a16="http://schemas.microsoft.com/office/drawing/2014/main" id="{00000000-0008-0000-0400-00008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335</xdr:row>
      <xdr:rowOff>145800</xdr:rowOff>
    </xdr:from>
    <xdr:to>
      <xdr:col>13</xdr:col>
      <xdr:colOff>905760</xdr:colOff>
      <xdr:row>338</xdr:row>
      <xdr:rowOff>95040</xdr:rowOff>
    </xdr:to>
    <xdr:sp macro="" textlink="">
      <xdr:nvSpPr>
        <xdr:cNvPr id="142" name="Down Arrow 33">
          <a:extLst>
            <a:ext uri="{FF2B5EF4-FFF2-40B4-BE49-F238E27FC236}">
              <a16:creationId xmlns:a16="http://schemas.microsoft.com/office/drawing/2014/main" id="{00000000-0008-0000-0400-00008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339</xdr:row>
      <xdr:rowOff>2520</xdr:rowOff>
    </xdr:from>
    <xdr:to>
      <xdr:col>12</xdr:col>
      <xdr:colOff>830520</xdr:colOff>
      <xdr:row>340</xdr:row>
      <xdr:rowOff>25920</xdr:rowOff>
    </xdr:to>
    <xdr:sp macro="" textlink="">
      <xdr:nvSpPr>
        <xdr:cNvPr id="145" name="Down Arrow 34">
          <a:extLst>
            <a:ext uri="{FF2B5EF4-FFF2-40B4-BE49-F238E27FC236}">
              <a16:creationId xmlns:a16="http://schemas.microsoft.com/office/drawing/2014/main" id="{00000000-0008-0000-0400-00009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348</xdr:row>
      <xdr:rowOff>145800</xdr:rowOff>
    </xdr:from>
    <xdr:to>
      <xdr:col>13</xdr:col>
      <xdr:colOff>905760</xdr:colOff>
      <xdr:row>351</xdr:row>
      <xdr:rowOff>95040</xdr:rowOff>
    </xdr:to>
    <xdr:sp macro="" textlink="">
      <xdr:nvSpPr>
        <xdr:cNvPr id="146" name="Down Arrow 33">
          <a:extLst>
            <a:ext uri="{FF2B5EF4-FFF2-40B4-BE49-F238E27FC236}">
              <a16:creationId xmlns:a16="http://schemas.microsoft.com/office/drawing/2014/main" id="{00000000-0008-0000-0400-00009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352</xdr:row>
      <xdr:rowOff>2520</xdr:rowOff>
    </xdr:from>
    <xdr:to>
      <xdr:col>12</xdr:col>
      <xdr:colOff>830520</xdr:colOff>
      <xdr:row>353</xdr:row>
      <xdr:rowOff>25920</xdr:rowOff>
    </xdr:to>
    <xdr:sp macro="" textlink="">
      <xdr:nvSpPr>
        <xdr:cNvPr id="147" name="Down Arrow 34">
          <a:extLst>
            <a:ext uri="{FF2B5EF4-FFF2-40B4-BE49-F238E27FC236}">
              <a16:creationId xmlns:a16="http://schemas.microsoft.com/office/drawing/2014/main" id="{00000000-0008-0000-0400-00009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361</xdr:row>
      <xdr:rowOff>145800</xdr:rowOff>
    </xdr:from>
    <xdr:to>
      <xdr:col>13</xdr:col>
      <xdr:colOff>905760</xdr:colOff>
      <xdr:row>364</xdr:row>
      <xdr:rowOff>95040</xdr:rowOff>
    </xdr:to>
    <xdr:sp macro="" textlink="">
      <xdr:nvSpPr>
        <xdr:cNvPr id="148" name="Down Arrow 33">
          <a:extLst>
            <a:ext uri="{FF2B5EF4-FFF2-40B4-BE49-F238E27FC236}">
              <a16:creationId xmlns:a16="http://schemas.microsoft.com/office/drawing/2014/main" id="{00000000-0008-0000-0400-00009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365</xdr:row>
      <xdr:rowOff>2520</xdr:rowOff>
    </xdr:from>
    <xdr:to>
      <xdr:col>12</xdr:col>
      <xdr:colOff>830520</xdr:colOff>
      <xdr:row>366</xdr:row>
      <xdr:rowOff>25920</xdr:rowOff>
    </xdr:to>
    <xdr:sp macro="" textlink="">
      <xdr:nvSpPr>
        <xdr:cNvPr id="149" name="Down Arrow 34">
          <a:extLst>
            <a:ext uri="{FF2B5EF4-FFF2-40B4-BE49-F238E27FC236}">
              <a16:creationId xmlns:a16="http://schemas.microsoft.com/office/drawing/2014/main" id="{00000000-0008-0000-0400-00009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374</xdr:row>
      <xdr:rowOff>145800</xdr:rowOff>
    </xdr:from>
    <xdr:to>
      <xdr:col>13</xdr:col>
      <xdr:colOff>905760</xdr:colOff>
      <xdr:row>377</xdr:row>
      <xdr:rowOff>95040</xdr:rowOff>
    </xdr:to>
    <xdr:sp macro="" textlink="">
      <xdr:nvSpPr>
        <xdr:cNvPr id="150" name="Down Arrow 33">
          <a:extLst>
            <a:ext uri="{FF2B5EF4-FFF2-40B4-BE49-F238E27FC236}">
              <a16:creationId xmlns:a16="http://schemas.microsoft.com/office/drawing/2014/main" id="{00000000-0008-0000-0400-00009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378</xdr:row>
      <xdr:rowOff>2520</xdr:rowOff>
    </xdr:from>
    <xdr:to>
      <xdr:col>12</xdr:col>
      <xdr:colOff>830520</xdr:colOff>
      <xdr:row>379</xdr:row>
      <xdr:rowOff>25920</xdr:rowOff>
    </xdr:to>
    <xdr:sp macro="" textlink="">
      <xdr:nvSpPr>
        <xdr:cNvPr id="151" name="Down Arrow 34">
          <a:extLst>
            <a:ext uri="{FF2B5EF4-FFF2-40B4-BE49-F238E27FC236}">
              <a16:creationId xmlns:a16="http://schemas.microsoft.com/office/drawing/2014/main" id="{00000000-0008-0000-0400-00009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387</xdr:row>
      <xdr:rowOff>145800</xdr:rowOff>
    </xdr:from>
    <xdr:to>
      <xdr:col>13</xdr:col>
      <xdr:colOff>905760</xdr:colOff>
      <xdr:row>390</xdr:row>
      <xdr:rowOff>95040</xdr:rowOff>
    </xdr:to>
    <xdr:sp macro="" textlink="">
      <xdr:nvSpPr>
        <xdr:cNvPr id="152" name="Down Arrow 33">
          <a:extLst>
            <a:ext uri="{FF2B5EF4-FFF2-40B4-BE49-F238E27FC236}">
              <a16:creationId xmlns:a16="http://schemas.microsoft.com/office/drawing/2014/main" id="{00000000-0008-0000-0400-00009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391</xdr:row>
      <xdr:rowOff>2520</xdr:rowOff>
    </xdr:from>
    <xdr:to>
      <xdr:col>12</xdr:col>
      <xdr:colOff>830520</xdr:colOff>
      <xdr:row>392</xdr:row>
      <xdr:rowOff>25920</xdr:rowOff>
    </xdr:to>
    <xdr:sp macro="" textlink="">
      <xdr:nvSpPr>
        <xdr:cNvPr id="153" name="Down Arrow 34">
          <a:extLst>
            <a:ext uri="{FF2B5EF4-FFF2-40B4-BE49-F238E27FC236}">
              <a16:creationId xmlns:a16="http://schemas.microsoft.com/office/drawing/2014/main" id="{00000000-0008-0000-0400-00009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413</xdr:row>
      <xdr:rowOff>145800</xdr:rowOff>
    </xdr:from>
    <xdr:to>
      <xdr:col>13</xdr:col>
      <xdr:colOff>905760</xdr:colOff>
      <xdr:row>416</xdr:row>
      <xdr:rowOff>95040</xdr:rowOff>
    </xdr:to>
    <xdr:sp macro="" textlink="">
      <xdr:nvSpPr>
        <xdr:cNvPr id="156" name="Down Arrow 33">
          <a:extLst>
            <a:ext uri="{FF2B5EF4-FFF2-40B4-BE49-F238E27FC236}">
              <a16:creationId xmlns:a16="http://schemas.microsoft.com/office/drawing/2014/main" id="{00000000-0008-0000-0400-00009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417</xdr:row>
      <xdr:rowOff>2520</xdr:rowOff>
    </xdr:from>
    <xdr:to>
      <xdr:col>12</xdr:col>
      <xdr:colOff>830520</xdr:colOff>
      <xdr:row>418</xdr:row>
      <xdr:rowOff>25920</xdr:rowOff>
    </xdr:to>
    <xdr:sp macro="" textlink="">
      <xdr:nvSpPr>
        <xdr:cNvPr id="157" name="Down Arrow 34">
          <a:extLst>
            <a:ext uri="{FF2B5EF4-FFF2-40B4-BE49-F238E27FC236}">
              <a16:creationId xmlns:a16="http://schemas.microsoft.com/office/drawing/2014/main" id="{00000000-0008-0000-0400-00009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426</xdr:row>
      <xdr:rowOff>145800</xdr:rowOff>
    </xdr:from>
    <xdr:to>
      <xdr:col>13</xdr:col>
      <xdr:colOff>905760</xdr:colOff>
      <xdr:row>429</xdr:row>
      <xdr:rowOff>95040</xdr:rowOff>
    </xdr:to>
    <xdr:sp macro="" textlink="">
      <xdr:nvSpPr>
        <xdr:cNvPr id="158" name="Down Arrow 33">
          <a:extLst>
            <a:ext uri="{FF2B5EF4-FFF2-40B4-BE49-F238E27FC236}">
              <a16:creationId xmlns:a16="http://schemas.microsoft.com/office/drawing/2014/main" id="{00000000-0008-0000-0400-00009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430</xdr:row>
      <xdr:rowOff>2520</xdr:rowOff>
    </xdr:from>
    <xdr:to>
      <xdr:col>12</xdr:col>
      <xdr:colOff>830520</xdr:colOff>
      <xdr:row>431</xdr:row>
      <xdr:rowOff>25920</xdr:rowOff>
    </xdr:to>
    <xdr:sp macro="" textlink="">
      <xdr:nvSpPr>
        <xdr:cNvPr id="159" name="Down Arrow 34">
          <a:extLst>
            <a:ext uri="{FF2B5EF4-FFF2-40B4-BE49-F238E27FC236}">
              <a16:creationId xmlns:a16="http://schemas.microsoft.com/office/drawing/2014/main" id="{00000000-0008-0000-0400-00009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439</xdr:row>
      <xdr:rowOff>145800</xdr:rowOff>
    </xdr:from>
    <xdr:to>
      <xdr:col>13</xdr:col>
      <xdr:colOff>905760</xdr:colOff>
      <xdr:row>442</xdr:row>
      <xdr:rowOff>95040</xdr:rowOff>
    </xdr:to>
    <xdr:sp macro="" textlink="">
      <xdr:nvSpPr>
        <xdr:cNvPr id="160" name="Down Arrow 33">
          <a:extLst>
            <a:ext uri="{FF2B5EF4-FFF2-40B4-BE49-F238E27FC236}">
              <a16:creationId xmlns:a16="http://schemas.microsoft.com/office/drawing/2014/main" id="{00000000-0008-0000-0400-0000A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443</xdr:row>
      <xdr:rowOff>2520</xdr:rowOff>
    </xdr:from>
    <xdr:to>
      <xdr:col>12</xdr:col>
      <xdr:colOff>830520</xdr:colOff>
      <xdr:row>444</xdr:row>
      <xdr:rowOff>25920</xdr:rowOff>
    </xdr:to>
    <xdr:sp macro="" textlink="">
      <xdr:nvSpPr>
        <xdr:cNvPr id="161" name="Down Arrow 34">
          <a:extLst>
            <a:ext uri="{FF2B5EF4-FFF2-40B4-BE49-F238E27FC236}">
              <a16:creationId xmlns:a16="http://schemas.microsoft.com/office/drawing/2014/main" id="{00000000-0008-0000-0400-0000A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452</xdr:row>
      <xdr:rowOff>145800</xdr:rowOff>
    </xdr:from>
    <xdr:to>
      <xdr:col>13</xdr:col>
      <xdr:colOff>905760</xdr:colOff>
      <xdr:row>455</xdr:row>
      <xdr:rowOff>95040</xdr:rowOff>
    </xdr:to>
    <xdr:sp macro="" textlink="">
      <xdr:nvSpPr>
        <xdr:cNvPr id="162" name="Down Arrow 33">
          <a:extLst>
            <a:ext uri="{FF2B5EF4-FFF2-40B4-BE49-F238E27FC236}">
              <a16:creationId xmlns:a16="http://schemas.microsoft.com/office/drawing/2014/main" id="{00000000-0008-0000-0400-0000A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456</xdr:row>
      <xdr:rowOff>2520</xdr:rowOff>
    </xdr:from>
    <xdr:to>
      <xdr:col>12</xdr:col>
      <xdr:colOff>830520</xdr:colOff>
      <xdr:row>457</xdr:row>
      <xdr:rowOff>25920</xdr:rowOff>
    </xdr:to>
    <xdr:sp macro="" textlink="">
      <xdr:nvSpPr>
        <xdr:cNvPr id="163" name="Down Arrow 34">
          <a:extLst>
            <a:ext uri="{FF2B5EF4-FFF2-40B4-BE49-F238E27FC236}">
              <a16:creationId xmlns:a16="http://schemas.microsoft.com/office/drawing/2014/main" id="{00000000-0008-0000-0400-0000A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465</xdr:row>
      <xdr:rowOff>145800</xdr:rowOff>
    </xdr:from>
    <xdr:to>
      <xdr:col>13</xdr:col>
      <xdr:colOff>905760</xdr:colOff>
      <xdr:row>468</xdr:row>
      <xdr:rowOff>95040</xdr:rowOff>
    </xdr:to>
    <xdr:sp macro="" textlink="">
      <xdr:nvSpPr>
        <xdr:cNvPr id="164" name="Down Arrow 33">
          <a:extLst>
            <a:ext uri="{FF2B5EF4-FFF2-40B4-BE49-F238E27FC236}">
              <a16:creationId xmlns:a16="http://schemas.microsoft.com/office/drawing/2014/main" id="{00000000-0008-0000-0400-0000A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469</xdr:row>
      <xdr:rowOff>2520</xdr:rowOff>
    </xdr:from>
    <xdr:to>
      <xdr:col>12</xdr:col>
      <xdr:colOff>830520</xdr:colOff>
      <xdr:row>470</xdr:row>
      <xdr:rowOff>25920</xdr:rowOff>
    </xdr:to>
    <xdr:sp macro="" textlink="">
      <xdr:nvSpPr>
        <xdr:cNvPr id="165" name="Down Arrow 34">
          <a:extLst>
            <a:ext uri="{FF2B5EF4-FFF2-40B4-BE49-F238E27FC236}">
              <a16:creationId xmlns:a16="http://schemas.microsoft.com/office/drawing/2014/main" id="{00000000-0008-0000-0400-0000A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478</xdr:row>
      <xdr:rowOff>145800</xdr:rowOff>
    </xdr:from>
    <xdr:to>
      <xdr:col>13</xdr:col>
      <xdr:colOff>905760</xdr:colOff>
      <xdr:row>481</xdr:row>
      <xdr:rowOff>95040</xdr:rowOff>
    </xdr:to>
    <xdr:sp macro="" textlink="">
      <xdr:nvSpPr>
        <xdr:cNvPr id="166" name="Down Arrow 33">
          <a:extLst>
            <a:ext uri="{FF2B5EF4-FFF2-40B4-BE49-F238E27FC236}">
              <a16:creationId xmlns:a16="http://schemas.microsoft.com/office/drawing/2014/main" id="{00000000-0008-0000-0400-0000A6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482</xdr:row>
      <xdr:rowOff>2520</xdr:rowOff>
    </xdr:from>
    <xdr:to>
      <xdr:col>12</xdr:col>
      <xdr:colOff>830520</xdr:colOff>
      <xdr:row>483</xdr:row>
      <xdr:rowOff>25920</xdr:rowOff>
    </xdr:to>
    <xdr:sp macro="" textlink="">
      <xdr:nvSpPr>
        <xdr:cNvPr id="167" name="Down Arrow 34">
          <a:extLst>
            <a:ext uri="{FF2B5EF4-FFF2-40B4-BE49-F238E27FC236}">
              <a16:creationId xmlns:a16="http://schemas.microsoft.com/office/drawing/2014/main" id="{00000000-0008-0000-0400-0000A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491</xdr:row>
      <xdr:rowOff>145800</xdr:rowOff>
    </xdr:from>
    <xdr:to>
      <xdr:col>13</xdr:col>
      <xdr:colOff>905760</xdr:colOff>
      <xdr:row>494</xdr:row>
      <xdr:rowOff>95040</xdr:rowOff>
    </xdr:to>
    <xdr:sp macro="" textlink="">
      <xdr:nvSpPr>
        <xdr:cNvPr id="168" name="Down Arrow 33">
          <a:extLst>
            <a:ext uri="{FF2B5EF4-FFF2-40B4-BE49-F238E27FC236}">
              <a16:creationId xmlns:a16="http://schemas.microsoft.com/office/drawing/2014/main" id="{00000000-0008-0000-0400-0000A8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495</xdr:row>
      <xdr:rowOff>2520</xdr:rowOff>
    </xdr:from>
    <xdr:to>
      <xdr:col>12</xdr:col>
      <xdr:colOff>830520</xdr:colOff>
      <xdr:row>496</xdr:row>
      <xdr:rowOff>25920</xdr:rowOff>
    </xdr:to>
    <xdr:sp macro="" textlink="">
      <xdr:nvSpPr>
        <xdr:cNvPr id="169" name="Down Arrow 34">
          <a:extLst>
            <a:ext uri="{FF2B5EF4-FFF2-40B4-BE49-F238E27FC236}">
              <a16:creationId xmlns:a16="http://schemas.microsoft.com/office/drawing/2014/main" id="{00000000-0008-0000-0400-0000A9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504</xdr:row>
      <xdr:rowOff>145800</xdr:rowOff>
    </xdr:from>
    <xdr:to>
      <xdr:col>13</xdr:col>
      <xdr:colOff>905760</xdr:colOff>
      <xdr:row>507</xdr:row>
      <xdr:rowOff>95040</xdr:rowOff>
    </xdr:to>
    <xdr:sp macro="" textlink="">
      <xdr:nvSpPr>
        <xdr:cNvPr id="172" name="Down Arrow 33">
          <a:extLst>
            <a:ext uri="{FF2B5EF4-FFF2-40B4-BE49-F238E27FC236}">
              <a16:creationId xmlns:a16="http://schemas.microsoft.com/office/drawing/2014/main" id="{00000000-0008-0000-0400-0000AC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508</xdr:row>
      <xdr:rowOff>2520</xdr:rowOff>
    </xdr:from>
    <xdr:to>
      <xdr:col>12</xdr:col>
      <xdr:colOff>830520</xdr:colOff>
      <xdr:row>509</xdr:row>
      <xdr:rowOff>25920</xdr:rowOff>
    </xdr:to>
    <xdr:sp macro="" textlink="">
      <xdr:nvSpPr>
        <xdr:cNvPr id="173" name="Down Arrow 34">
          <a:extLst>
            <a:ext uri="{FF2B5EF4-FFF2-40B4-BE49-F238E27FC236}">
              <a16:creationId xmlns:a16="http://schemas.microsoft.com/office/drawing/2014/main" id="{00000000-0008-0000-0400-0000AD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517</xdr:row>
      <xdr:rowOff>145800</xdr:rowOff>
    </xdr:from>
    <xdr:to>
      <xdr:col>13</xdr:col>
      <xdr:colOff>905760</xdr:colOff>
      <xdr:row>520</xdr:row>
      <xdr:rowOff>95040</xdr:rowOff>
    </xdr:to>
    <xdr:sp macro="" textlink="">
      <xdr:nvSpPr>
        <xdr:cNvPr id="174" name="Down Arrow 33">
          <a:extLst>
            <a:ext uri="{FF2B5EF4-FFF2-40B4-BE49-F238E27FC236}">
              <a16:creationId xmlns:a16="http://schemas.microsoft.com/office/drawing/2014/main" id="{00000000-0008-0000-0400-0000AE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521</xdr:row>
      <xdr:rowOff>2520</xdr:rowOff>
    </xdr:from>
    <xdr:to>
      <xdr:col>12</xdr:col>
      <xdr:colOff>830520</xdr:colOff>
      <xdr:row>522</xdr:row>
      <xdr:rowOff>25920</xdr:rowOff>
    </xdr:to>
    <xdr:sp macro="" textlink="">
      <xdr:nvSpPr>
        <xdr:cNvPr id="175" name="Down Arrow 34">
          <a:extLst>
            <a:ext uri="{FF2B5EF4-FFF2-40B4-BE49-F238E27FC236}">
              <a16:creationId xmlns:a16="http://schemas.microsoft.com/office/drawing/2014/main" id="{00000000-0008-0000-0400-0000AF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530</xdr:row>
      <xdr:rowOff>145800</xdr:rowOff>
    </xdr:from>
    <xdr:to>
      <xdr:col>13</xdr:col>
      <xdr:colOff>905760</xdr:colOff>
      <xdr:row>533</xdr:row>
      <xdr:rowOff>95040</xdr:rowOff>
    </xdr:to>
    <xdr:sp macro="" textlink="">
      <xdr:nvSpPr>
        <xdr:cNvPr id="176" name="Down Arrow 33">
          <a:extLst>
            <a:ext uri="{FF2B5EF4-FFF2-40B4-BE49-F238E27FC236}">
              <a16:creationId xmlns:a16="http://schemas.microsoft.com/office/drawing/2014/main" id="{00000000-0008-0000-0400-0000B0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534</xdr:row>
      <xdr:rowOff>2520</xdr:rowOff>
    </xdr:from>
    <xdr:to>
      <xdr:col>12</xdr:col>
      <xdr:colOff>830520</xdr:colOff>
      <xdr:row>535</xdr:row>
      <xdr:rowOff>25920</xdr:rowOff>
    </xdr:to>
    <xdr:sp macro="" textlink="">
      <xdr:nvSpPr>
        <xdr:cNvPr id="177" name="Down Arrow 34">
          <a:extLst>
            <a:ext uri="{FF2B5EF4-FFF2-40B4-BE49-F238E27FC236}">
              <a16:creationId xmlns:a16="http://schemas.microsoft.com/office/drawing/2014/main" id="{00000000-0008-0000-0400-0000B1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543</xdr:row>
      <xdr:rowOff>145800</xdr:rowOff>
    </xdr:from>
    <xdr:to>
      <xdr:col>13</xdr:col>
      <xdr:colOff>905760</xdr:colOff>
      <xdr:row>546</xdr:row>
      <xdr:rowOff>95040</xdr:rowOff>
    </xdr:to>
    <xdr:sp macro="" textlink="">
      <xdr:nvSpPr>
        <xdr:cNvPr id="178" name="Down Arrow 33">
          <a:extLst>
            <a:ext uri="{FF2B5EF4-FFF2-40B4-BE49-F238E27FC236}">
              <a16:creationId xmlns:a16="http://schemas.microsoft.com/office/drawing/2014/main" id="{00000000-0008-0000-0400-0000B2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547</xdr:row>
      <xdr:rowOff>2520</xdr:rowOff>
    </xdr:from>
    <xdr:to>
      <xdr:col>12</xdr:col>
      <xdr:colOff>830520</xdr:colOff>
      <xdr:row>548</xdr:row>
      <xdr:rowOff>25920</xdr:rowOff>
    </xdr:to>
    <xdr:sp macro="" textlink="">
      <xdr:nvSpPr>
        <xdr:cNvPr id="179" name="Down Arrow 34">
          <a:extLst>
            <a:ext uri="{FF2B5EF4-FFF2-40B4-BE49-F238E27FC236}">
              <a16:creationId xmlns:a16="http://schemas.microsoft.com/office/drawing/2014/main" id="{00000000-0008-0000-0400-0000B3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556</xdr:row>
      <xdr:rowOff>145800</xdr:rowOff>
    </xdr:from>
    <xdr:to>
      <xdr:col>13</xdr:col>
      <xdr:colOff>905760</xdr:colOff>
      <xdr:row>559</xdr:row>
      <xdr:rowOff>95040</xdr:rowOff>
    </xdr:to>
    <xdr:sp macro="" textlink="">
      <xdr:nvSpPr>
        <xdr:cNvPr id="180" name="Down Arrow 33">
          <a:extLst>
            <a:ext uri="{FF2B5EF4-FFF2-40B4-BE49-F238E27FC236}">
              <a16:creationId xmlns:a16="http://schemas.microsoft.com/office/drawing/2014/main" id="{00000000-0008-0000-0400-0000B4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560</xdr:row>
      <xdr:rowOff>2520</xdr:rowOff>
    </xdr:from>
    <xdr:to>
      <xdr:col>12</xdr:col>
      <xdr:colOff>830520</xdr:colOff>
      <xdr:row>561</xdr:row>
      <xdr:rowOff>25920</xdr:rowOff>
    </xdr:to>
    <xdr:sp macro="" textlink="">
      <xdr:nvSpPr>
        <xdr:cNvPr id="181" name="Down Arrow 34">
          <a:extLst>
            <a:ext uri="{FF2B5EF4-FFF2-40B4-BE49-F238E27FC236}">
              <a16:creationId xmlns:a16="http://schemas.microsoft.com/office/drawing/2014/main" id="{00000000-0008-0000-0400-0000B5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496211</xdr:colOff>
      <xdr:row>569</xdr:row>
      <xdr:rowOff>201830</xdr:rowOff>
    </xdr:from>
    <xdr:to>
      <xdr:col>13</xdr:col>
      <xdr:colOff>849731</xdr:colOff>
      <xdr:row>572</xdr:row>
      <xdr:rowOff>151070</xdr:rowOff>
    </xdr:to>
    <xdr:sp macro="" textlink="">
      <xdr:nvSpPr>
        <xdr:cNvPr id="182" name="Down Arrow 33">
          <a:extLst>
            <a:ext uri="{FF2B5EF4-FFF2-40B4-BE49-F238E27FC236}">
              <a16:creationId xmlns:a16="http://schemas.microsoft.com/office/drawing/2014/main" id="{00000000-0008-0000-0400-0000B6000000}"/>
            </a:ext>
          </a:extLst>
        </xdr:cNvPr>
        <xdr:cNvSpPr/>
      </xdr:nvSpPr>
      <xdr:spPr>
        <a:xfrm>
          <a:off x="13203682" y="176033330"/>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573</xdr:row>
      <xdr:rowOff>2520</xdr:rowOff>
    </xdr:from>
    <xdr:to>
      <xdr:col>12</xdr:col>
      <xdr:colOff>830520</xdr:colOff>
      <xdr:row>574</xdr:row>
      <xdr:rowOff>25920</xdr:rowOff>
    </xdr:to>
    <xdr:sp macro="" textlink="">
      <xdr:nvSpPr>
        <xdr:cNvPr id="183" name="Down Arrow 34">
          <a:extLst>
            <a:ext uri="{FF2B5EF4-FFF2-40B4-BE49-F238E27FC236}">
              <a16:creationId xmlns:a16="http://schemas.microsoft.com/office/drawing/2014/main" id="{00000000-0008-0000-0400-0000B7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13</xdr:col>
      <xdr:colOff>552240</xdr:colOff>
      <xdr:row>595</xdr:row>
      <xdr:rowOff>145800</xdr:rowOff>
    </xdr:from>
    <xdr:to>
      <xdr:col>13</xdr:col>
      <xdr:colOff>905760</xdr:colOff>
      <xdr:row>598</xdr:row>
      <xdr:rowOff>95040</xdr:rowOff>
    </xdr:to>
    <xdr:sp macro="" textlink="">
      <xdr:nvSpPr>
        <xdr:cNvPr id="186" name="Down Arrow 33">
          <a:extLst>
            <a:ext uri="{FF2B5EF4-FFF2-40B4-BE49-F238E27FC236}">
              <a16:creationId xmlns:a16="http://schemas.microsoft.com/office/drawing/2014/main" id="{00000000-0008-0000-0400-0000BA000000}"/>
            </a:ext>
          </a:extLst>
        </xdr:cNvPr>
        <xdr:cNvSpPr/>
      </xdr:nvSpPr>
      <xdr:spPr>
        <a:xfrm>
          <a:off x="13259711" y="3339476"/>
          <a:ext cx="353520" cy="924152"/>
        </a:xfrm>
        <a:prstGeom prst="downArrow">
          <a:avLst>
            <a:gd name="adj1" fmla="val 50000"/>
            <a:gd name="adj2" fmla="val 50000"/>
          </a:avLst>
        </a:prstGeom>
        <a:solidFill>
          <a:schemeClr val="accent1">
            <a:alpha val="50000"/>
          </a:schemeClr>
        </a:solidFill>
        <a:ln>
          <a:solidFill>
            <a:srgbClr val="4F81BD">
              <a:shade val="50000"/>
              <a:alpha val="86000"/>
            </a:srgbClr>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7</xdr:col>
      <xdr:colOff>150480</xdr:colOff>
      <xdr:row>599</xdr:row>
      <xdr:rowOff>2520</xdr:rowOff>
    </xdr:from>
    <xdr:to>
      <xdr:col>12</xdr:col>
      <xdr:colOff>830520</xdr:colOff>
      <xdr:row>600</xdr:row>
      <xdr:rowOff>25920</xdr:rowOff>
    </xdr:to>
    <xdr:sp macro="" textlink="">
      <xdr:nvSpPr>
        <xdr:cNvPr id="187" name="Down Arrow 34">
          <a:extLst>
            <a:ext uri="{FF2B5EF4-FFF2-40B4-BE49-F238E27FC236}">
              <a16:creationId xmlns:a16="http://schemas.microsoft.com/office/drawing/2014/main" id="{00000000-0008-0000-0400-0000BB000000}"/>
            </a:ext>
          </a:extLst>
        </xdr:cNvPr>
        <xdr:cNvSpPr/>
      </xdr:nvSpPr>
      <xdr:spPr>
        <a:xfrm rot="5400000">
          <a:off x="10127065" y="2486876"/>
          <a:ext cx="348370" cy="4366776"/>
        </a:xfrm>
        <a:prstGeom prst="downArrow">
          <a:avLst>
            <a:gd name="adj1" fmla="val 50000"/>
            <a:gd name="adj2" fmla="val 50000"/>
          </a:avLst>
        </a:prstGeom>
        <a:solidFill>
          <a:schemeClr val="accent1">
            <a:alpha val="50000"/>
          </a:schemeClr>
        </a:solidFill>
        <a:ln>
          <a:solidFill>
            <a:srgbClr val="3A5F8B"/>
          </a:solidFill>
          <a:round/>
        </a:ln>
        <a:effectLst>
          <a:outerShdw sx="1000" sy="1000" algn="ctr"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541800</xdr:colOff>
      <xdr:row>3</xdr:row>
      <xdr:rowOff>89647</xdr:rowOff>
    </xdr:from>
    <xdr:to>
      <xdr:col>8</xdr:col>
      <xdr:colOff>4521</xdr:colOff>
      <xdr:row>6</xdr:row>
      <xdr:rowOff>22421</xdr:rowOff>
    </xdr:to>
    <xdr:sp macro="" textlink="">
      <xdr:nvSpPr>
        <xdr:cNvPr id="74" name="Virage 2">
          <a:extLst>
            <a:ext uri="{FF2B5EF4-FFF2-40B4-BE49-F238E27FC236}">
              <a16:creationId xmlns:a16="http://schemas.microsoft.com/office/drawing/2014/main" id="{00000000-0008-0000-0500-00004A000000}"/>
            </a:ext>
          </a:extLst>
        </xdr:cNvPr>
        <xdr:cNvSpPr/>
      </xdr:nvSpPr>
      <xdr:spPr>
        <a:xfrm rot="16200000" flipH="1">
          <a:off x="10825361" y="1112821"/>
          <a:ext cx="381010" cy="732720"/>
        </a:xfrm>
        <a:prstGeom prst="bentArrow">
          <a:avLst>
            <a:gd name="adj1" fmla="val 25000"/>
            <a:gd name="adj2" fmla="val 25000"/>
            <a:gd name="adj3" fmla="val 25000"/>
            <a:gd name="adj4" fmla="val 43750"/>
          </a:avLst>
        </a:prstGeom>
        <a:gradFill rotWithShape="0">
          <a:gsLst>
            <a:gs pos="42000">
              <a:srgbClr val="B3A2C7"/>
            </a:gs>
            <a:gs pos="100000">
              <a:srgbClr val="E0E8F5"/>
            </a:gs>
          </a:gsLst>
          <a:lin ang="0"/>
        </a:gradFill>
        <a:ln>
          <a:solidFill>
            <a:srgbClr val="4F81BD">
              <a:shade val="50000"/>
            </a:srgbClr>
          </a:solidFill>
          <a:round/>
        </a:ln>
        <a:effectLst>
          <a:outerShdw blurRad="50760" dist="50760" dir="5400000" algn="ctr" rotWithShape="0">
            <a:srgbClr val="000000">
              <a:alpha val="50000"/>
            </a:srgbClr>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496440</xdr:colOff>
      <xdr:row>11</xdr:row>
      <xdr:rowOff>95400</xdr:rowOff>
    </xdr:from>
    <xdr:to>
      <xdr:col>6</xdr:col>
      <xdr:colOff>715320</xdr:colOff>
      <xdr:row>11</xdr:row>
      <xdr:rowOff>285480</xdr:rowOff>
    </xdr:to>
    <xdr:sp macro="" textlink="">
      <xdr:nvSpPr>
        <xdr:cNvPr id="75" name="Bent Arrow 4">
          <a:extLst>
            <a:ext uri="{FF2B5EF4-FFF2-40B4-BE49-F238E27FC236}">
              <a16:creationId xmlns:a16="http://schemas.microsoft.com/office/drawing/2014/main" id="{00000000-0008-0000-0500-00004B000000}"/>
            </a:ext>
          </a:extLst>
        </xdr:cNvPr>
        <xdr:cNvSpPr/>
      </xdr:nvSpPr>
      <xdr:spPr>
        <a:xfrm>
          <a:off x="10022040" y="384804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475560</xdr:colOff>
      <xdr:row>89</xdr:row>
      <xdr:rowOff>104760</xdr:rowOff>
    </xdr:from>
    <xdr:to>
      <xdr:col>6</xdr:col>
      <xdr:colOff>694440</xdr:colOff>
      <xdr:row>89</xdr:row>
      <xdr:rowOff>294840</xdr:rowOff>
    </xdr:to>
    <xdr:sp macro="" textlink="">
      <xdr:nvSpPr>
        <xdr:cNvPr id="76" name="Bent Arrow 5">
          <a:extLst>
            <a:ext uri="{FF2B5EF4-FFF2-40B4-BE49-F238E27FC236}">
              <a16:creationId xmlns:a16="http://schemas.microsoft.com/office/drawing/2014/main" id="{00000000-0008-0000-0500-00004C000000}"/>
            </a:ext>
          </a:extLst>
        </xdr:cNvPr>
        <xdr:cNvSpPr/>
      </xdr:nvSpPr>
      <xdr:spPr>
        <a:xfrm>
          <a:off x="10001160" y="32318280"/>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xdr:from>
      <xdr:col>6</xdr:col>
      <xdr:colOff>488742</xdr:colOff>
      <xdr:row>94</xdr:row>
      <xdr:rowOff>115920</xdr:rowOff>
    </xdr:from>
    <xdr:to>
      <xdr:col>6</xdr:col>
      <xdr:colOff>707622</xdr:colOff>
      <xdr:row>94</xdr:row>
      <xdr:rowOff>306000</xdr:rowOff>
    </xdr:to>
    <xdr:sp macro="" textlink="">
      <xdr:nvSpPr>
        <xdr:cNvPr id="77" name="Bent Arrow 7">
          <a:extLst>
            <a:ext uri="{FF2B5EF4-FFF2-40B4-BE49-F238E27FC236}">
              <a16:creationId xmlns:a16="http://schemas.microsoft.com/office/drawing/2014/main" id="{00000000-0008-0000-0500-00004D000000}"/>
            </a:ext>
          </a:extLst>
        </xdr:cNvPr>
        <xdr:cNvSpPr/>
      </xdr:nvSpPr>
      <xdr:spPr>
        <a:xfrm>
          <a:off x="9487066" y="34484361"/>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twoCellAnchor editAs="oneCell">
    <xdr:from>
      <xdr:col>8</xdr:col>
      <xdr:colOff>560160</xdr:colOff>
      <xdr:row>0</xdr:row>
      <xdr:rowOff>145800</xdr:rowOff>
    </xdr:from>
    <xdr:to>
      <xdr:col>9</xdr:col>
      <xdr:colOff>240479</xdr:colOff>
      <xdr:row>2</xdr:row>
      <xdr:rowOff>313560</xdr:rowOff>
    </xdr:to>
    <xdr:pic>
      <xdr:nvPicPr>
        <xdr:cNvPr id="79" name="Picture 8">
          <a:extLst>
            <a:ext uri="{FF2B5EF4-FFF2-40B4-BE49-F238E27FC236}">
              <a16:creationId xmlns:a16="http://schemas.microsoft.com/office/drawing/2014/main" id="{00000000-0008-0000-0500-00004F000000}"/>
            </a:ext>
          </a:extLst>
        </xdr:cNvPr>
        <xdr:cNvPicPr/>
      </xdr:nvPicPr>
      <xdr:blipFill>
        <a:blip xmlns:r="http://schemas.openxmlformats.org/officeDocument/2006/relationships" r:embed="rId1"/>
        <a:stretch/>
      </xdr:blipFill>
      <xdr:spPr>
        <a:xfrm>
          <a:off x="12615480" y="145800"/>
          <a:ext cx="1031040" cy="1024920"/>
        </a:xfrm>
        <a:prstGeom prst="rect">
          <a:avLst/>
        </a:prstGeom>
        <a:ln w="0">
          <a:noFill/>
        </a:ln>
      </xdr:spPr>
    </xdr:pic>
    <xdr:clientData/>
  </xdr:twoCellAnchor>
  <xdr:twoCellAnchor>
    <xdr:from>
      <xdr:col>6</xdr:col>
      <xdr:colOff>522360</xdr:colOff>
      <xdr:row>122</xdr:row>
      <xdr:rowOff>115920</xdr:rowOff>
    </xdr:from>
    <xdr:to>
      <xdr:col>6</xdr:col>
      <xdr:colOff>741240</xdr:colOff>
      <xdr:row>122</xdr:row>
      <xdr:rowOff>306000</xdr:rowOff>
    </xdr:to>
    <xdr:sp macro="" textlink="">
      <xdr:nvSpPr>
        <xdr:cNvPr id="3" name="Bent Arrow 7">
          <a:extLst>
            <a:ext uri="{FF2B5EF4-FFF2-40B4-BE49-F238E27FC236}">
              <a16:creationId xmlns:a16="http://schemas.microsoft.com/office/drawing/2014/main" id="{00000000-0008-0000-0500-000003000000}"/>
            </a:ext>
          </a:extLst>
        </xdr:cNvPr>
        <xdr:cNvSpPr/>
      </xdr:nvSpPr>
      <xdr:spPr>
        <a:xfrm>
          <a:off x="9520684" y="54386008"/>
          <a:ext cx="218880" cy="190080"/>
        </a:xfrm>
        <a:prstGeom prst="bentArrow">
          <a:avLst>
            <a:gd name="adj1" fmla="val 25000"/>
            <a:gd name="adj2" fmla="val 25000"/>
            <a:gd name="adj3" fmla="val 25000"/>
            <a:gd name="adj4" fmla="val 43750"/>
          </a:avLst>
        </a:prstGeom>
        <a:solidFill>
          <a:srgbClr val="000000"/>
        </a:solidFill>
        <a:ln>
          <a:solidFill>
            <a:srgbClr val="000000"/>
          </a:solidFill>
          <a:round/>
        </a:ln>
      </xdr:spPr>
      <xdr:style>
        <a:lnRef idx="2">
          <a:schemeClr val="dk1">
            <a:shade val="50000"/>
          </a:schemeClr>
        </a:lnRef>
        <a:fillRef idx="1">
          <a:schemeClr val="dk1"/>
        </a:fillRef>
        <a:effectRef idx="0">
          <a:schemeClr val="dk1"/>
        </a:effectRef>
        <a:fontRef idx="minor"/>
      </xdr:style>
    </xdr:sp>
    <xdr:clientData/>
  </xdr:twoCellAnchor>
  <xdr:oneCellAnchor>
    <xdr:from>
      <xdr:col>8</xdr:col>
      <xdr:colOff>560160</xdr:colOff>
      <xdr:row>1</xdr:row>
      <xdr:rowOff>145800</xdr:rowOff>
    </xdr:from>
    <xdr:ext cx="957790" cy="1019407"/>
    <xdr:pic>
      <xdr:nvPicPr>
        <xdr:cNvPr id="2" name="Picture 8">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xdr:blipFill>
      <xdr:spPr>
        <a:xfrm>
          <a:off x="11978954" y="145800"/>
          <a:ext cx="957790" cy="1019407"/>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dr:twoCellAnchor>
    <xdr:from>
      <xdr:col>20</xdr:col>
      <xdr:colOff>481680</xdr:colOff>
      <xdr:row>3</xdr:row>
      <xdr:rowOff>56160</xdr:rowOff>
    </xdr:from>
    <xdr:to>
      <xdr:col>20</xdr:col>
      <xdr:colOff>873360</xdr:colOff>
      <xdr:row>3</xdr:row>
      <xdr:rowOff>542520</xdr:rowOff>
    </xdr:to>
    <xdr:sp macro="" textlink="">
      <xdr:nvSpPr>
        <xdr:cNvPr id="2" name="Up Arrow 4">
          <a:extLst>
            <a:ext uri="{FF2B5EF4-FFF2-40B4-BE49-F238E27FC236}">
              <a16:creationId xmlns:a16="http://schemas.microsoft.com/office/drawing/2014/main" id="{00000000-0008-0000-0600-000002000000}"/>
            </a:ext>
          </a:extLst>
        </xdr:cNvPr>
        <xdr:cNvSpPr/>
      </xdr:nvSpPr>
      <xdr:spPr>
        <a:xfrm>
          <a:off x="27666030" y="1294410"/>
          <a:ext cx="391680" cy="486360"/>
        </a:xfrm>
        <a:prstGeom prst="upArrow">
          <a:avLst>
            <a:gd name="adj1" fmla="val 50000"/>
            <a:gd name="adj2" fmla="val 50000"/>
          </a:avLst>
        </a:prstGeom>
        <a:solidFill>
          <a:srgbClr val="FF0000"/>
        </a:solidFill>
        <a:ln>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xdr:col>
      <xdr:colOff>721080</xdr:colOff>
      <xdr:row>0</xdr:row>
      <xdr:rowOff>149760</xdr:rowOff>
    </xdr:from>
    <xdr:to>
      <xdr:col>12</xdr:col>
      <xdr:colOff>1773720</xdr:colOff>
      <xdr:row>3</xdr:row>
      <xdr:rowOff>18000</xdr:rowOff>
    </xdr:to>
    <xdr:pic>
      <xdr:nvPicPr>
        <xdr:cNvPr id="3" name="Picture 3">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xdr:blipFill>
      <xdr:spPr>
        <a:xfrm>
          <a:off x="16437330" y="149760"/>
          <a:ext cx="1052640" cy="110649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204120</xdr:colOff>
      <xdr:row>15</xdr:row>
      <xdr:rowOff>54360</xdr:rowOff>
    </xdr:from>
    <xdr:to>
      <xdr:col>12</xdr:col>
      <xdr:colOff>252000</xdr:colOff>
      <xdr:row>43</xdr:row>
      <xdr:rowOff>94680</xdr:rowOff>
    </xdr:to>
    <xdr:pic>
      <xdr:nvPicPr>
        <xdr:cNvPr id="88" name="Picture 2">
          <a:extLst>
            <a:ext uri="{FF2B5EF4-FFF2-40B4-BE49-F238E27FC236}">
              <a16:creationId xmlns:a16="http://schemas.microsoft.com/office/drawing/2014/main" id="{00000000-0008-0000-0700-000058000000}"/>
            </a:ext>
          </a:extLst>
        </xdr:cNvPr>
        <xdr:cNvPicPr/>
      </xdr:nvPicPr>
      <xdr:blipFill>
        <a:blip xmlns:r="http://schemas.openxmlformats.org/officeDocument/2006/relationships" r:embed="rId1"/>
        <a:stretch/>
      </xdr:blipFill>
      <xdr:spPr>
        <a:xfrm>
          <a:off x="8740800" y="3692880"/>
          <a:ext cx="4398840" cy="45741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403560</xdr:colOff>
      <xdr:row>0</xdr:row>
      <xdr:rowOff>156960</xdr:rowOff>
    </xdr:from>
    <xdr:to>
      <xdr:col>9</xdr:col>
      <xdr:colOff>1361520</xdr:colOff>
      <xdr:row>2</xdr:row>
      <xdr:rowOff>178920</xdr:rowOff>
    </xdr:to>
    <xdr:pic>
      <xdr:nvPicPr>
        <xdr:cNvPr id="89" name="Picture 6">
          <a:extLst>
            <a:ext uri="{FF2B5EF4-FFF2-40B4-BE49-F238E27FC236}">
              <a16:creationId xmlns:a16="http://schemas.microsoft.com/office/drawing/2014/main" id="{00000000-0008-0000-0800-000059000000}"/>
            </a:ext>
          </a:extLst>
        </xdr:cNvPr>
        <xdr:cNvPicPr/>
      </xdr:nvPicPr>
      <xdr:blipFill>
        <a:blip xmlns:r="http://schemas.openxmlformats.org/officeDocument/2006/relationships" r:embed="rId1"/>
        <a:stretch/>
      </xdr:blipFill>
      <xdr:spPr>
        <a:xfrm>
          <a:off x="8880480" y="156960"/>
          <a:ext cx="957960" cy="1022040"/>
        </a:xfrm>
        <a:prstGeom prst="rect">
          <a:avLst/>
        </a:prstGeom>
        <a:ln w="0">
          <a:noFill/>
        </a:ln>
      </xdr:spPr>
    </xdr:pic>
    <xdr:clientData/>
  </xdr:twoCellAnchor>
  <xdr:twoCellAnchor>
    <xdr:from>
      <xdr:col>5</xdr:col>
      <xdr:colOff>183960</xdr:colOff>
      <xdr:row>32</xdr:row>
      <xdr:rowOff>919800</xdr:rowOff>
    </xdr:from>
    <xdr:to>
      <xdr:col>5</xdr:col>
      <xdr:colOff>452880</xdr:colOff>
      <xdr:row>33</xdr:row>
      <xdr:rowOff>196920</xdr:rowOff>
    </xdr:to>
    <xdr:sp macro="" textlink="">
      <xdr:nvSpPr>
        <xdr:cNvPr id="90" name="Rectangle 4">
          <a:extLst>
            <a:ext uri="{FF2B5EF4-FFF2-40B4-BE49-F238E27FC236}">
              <a16:creationId xmlns:a16="http://schemas.microsoft.com/office/drawing/2014/main" id="{00000000-0008-0000-0800-00005A000000}"/>
            </a:ext>
          </a:extLst>
        </xdr:cNvPr>
        <xdr:cNvSpPr/>
      </xdr:nvSpPr>
      <xdr:spPr>
        <a:xfrm>
          <a:off x="4559040" y="10577880"/>
          <a:ext cx="268920" cy="21060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183960</xdr:colOff>
      <xdr:row>32</xdr:row>
      <xdr:rowOff>919800</xdr:rowOff>
    </xdr:from>
    <xdr:to>
      <xdr:col>5</xdr:col>
      <xdr:colOff>452880</xdr:colOff>
      <xdr:row>33</xdr:row>
      <xdr:rowOff>196920</xdr:rowOff>
    </xdr:to>
    <xdr:sp macro="" textlink="">
      <xdr:nvSpPr>
        <xdr:cNvPr id="2" name="Rectangle 4">
          <a:extLst>
            <a:ext uri="{FF2B5EF4-FFF2-40B4-BE49-F238E27FC236}">
              <a16:creationId xmlns:a16="http://schemas.microsoft.com/office/drawing/2014/main" id="{00000000-0008-0000-0800-000002000000}"/>
            </a:ext>
          </a:extLst>
        </xdr:cNvPr>
        <xdr:cNvSpPr/>
      </xdr:nvSpPr>
      <xdr:spPr>
        <a:xfrm>
          <a:off x="4317810" y="10463850"/>
          <a:ext cx="268920" cy="21057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183960</xdr:colOff>
      <xdr:row>32</xdr:row>
      <xdr:rowOff>919800</xdr:rowOff>
    </xdr:from>
    <xdr:to>
      <xdr:col>5</xdr:col>
      <xdr:colOff>452880</xdr:colOff>
      <xdr:row>33</xdr:row>
      <xdr:rowOff>196920</xdr:rowOff>
    </xdr:to>
    <xdr:sp macro="" textlink="">
      <xdr:nvSpPr>
        <xdr:cNvPr id="3" name="Rectangle 4">
          <a:extLst>
            <a:ext uri="{FF2B5EF4-FFF2-40B4-BE49-F238E27FC236}">
              <a16:creationId xmlns:a16="http://schemas.microsoft.com/office/drawing/2014/main" id="{00000000-0008-0000-0800-000003000000}"/>
            </a:ext>
          </a:extLst>
        </xdr:cNvPr>
        <xdr:cNvSpPr/>
      </xdr:nvSpPr>
      <xdr:spPr>
        <a:xfrm>
          <a:off x="4317810" y="10463850"/>
          <a:ext cx="268920" cy="210570"/>
        </a:xfrm>
        <a:prstGeom prst="rect">
          <a:avLst/>
        </a:prstGeom>
        <a:noFill/>
        <a:ln>
          <a:solidFill>
            <a:srgbClr val="000000"/>
          </a:solidFill>
          <a:round/>
        </a:ln>
      </xdr:spPr>
      <xdr:style>
        <a:lnRef idx="2">
          <a:schemeClr val="accent1">
            <a:shade val="50000"/>
          </a:schemeClr>
        </a:lnRef>
        <a:fillRef idx="1">
          <a:schemeClr val="accent1"/>
        </a:fillRef>
        <a:effectRef idx="0">
          <a:schemeClr val="accent1"/>
        </a:effectRef>
        <a:fontRef idx="minor"/>
      </xdr:style>
    </xdr:sp>
    <xdr:clientData/>
  </xdr:twoCellAnchor>
  <mc:AlternateContent xmlns:mc="http://schemas.openxmlformats.org/markup-compatibility/2006">
    <mc:Choice xmlns:a14="http://schemas.microsoft.com/office/drawing/2010/main" Requires="a14">
      <xdr:twoCellAnchor editAs="oneCell">
        <xdr:from>
          <xdr:col>5</xdr:col>
          <xdr:colOff>177800</xdr:colOff>
          <xdr:row>32</xdr:row>
          <xdr:rowOff>889000</xdr:rowOff>
        </xdr:from>
        <xdr:to>
          <xdr:col>5</xdr:col>
          <xdr:colOff>482600</xdr:colOff>
          <xdr:row>33</xdr:row>
          <xdr:rowOff>254000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Andre/Documents/Air%20Cadets/Accounting/ACC9%20Development/National%20Version/Official%20Version/ACC9MA_No%20Macro_Francais_v2020.034.xlsx" TargetMode="External"/><Relationship Id="rId1" Type="http://schemas.openxmlformats.org/officeDocument/2006/relationships/externalLinkPath" Target="https://aircadetleagueofcanada-my.sharepoint.com/Andre/Documents/Air%20Cadets/Accounting/ACC9%20Development/National%20Version/Official%20Version/ACC9MA_No%20Macro_Francais_v2020.0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fig des données"/>
      <sheetName val="Jrnl des revenus"/>
      <sheetName val="Jrnl des dépenses"/>
      <sheetName val="Liste Transactions"/>
      <sheetName val="Réconcil Dét. Des comptes"/>
      <sheetName val="Somm. Réconcil des Cptes"/>
      <sheetName val="Suivi du budget"/>
      <sheetName val="Investissements"/>
      <sheetName val="Suivi des Réclam. MDN"/>
      <sheetName val="Suivi Volontariat"/>
      <sheetName val="Page couverture"/>
      <sheetName val="ACC9 (page 1) ID"/>
      <sheetName val="ACC9 (pages 2-3) Revenus"/>
      <sheetName val="ACC9 (pages 4-5) Dépenses"/>
      <sheetName val="ACC9 (page 6) Bilan"/>
      <sheetName val="ACC9 (pages 7-9) Immo"/>
      <sheetName val="T3010 Feuille de travail"/>
      <sheetName val="TP-985.22-V Feuille de travail"/>
      <sheetName val="Calculs de remise des taxes"/>
      <sheetName val="Fin d'année"/>
      <sheetName val="Budget Proch année"/>
      <sheetName val="Roll Up Pgm"/>
    </sheetNames>
    <sheetDataSet>
      <sheetData sheetId="0">
        <row r="2">
          <cell r="B2">
            <v>0</v>
          </cell>
        </row>
      </sheetData>
      <sheetData sheetId="1">
        <row r="3">
          <cell r="B3" t="str">
            <v xml:space="preserve">pour la période du 1 septembre  au   </v>
          </cell>
        </row>
      </sheetData>
      <sheetData sheetId="2" refreshError="1"/>
      <sheetData sheetId="3" refreshError="1"/>
      <sheetData sheetId="4">
        <row r="9">
          <cell r="T9">
            <v>45163</v>
          </cell>
        </row>
      </sheetData>
      <sheetData sheetId="5">
        <row r="4">
          <cell r="Q4" t="str">
            <v xml:space="preserve">  </v>
          </cell>
        </row>
      </sheetData>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R11:R26" totalsRowShown="0">
  <tableColumns count="1">
    <tableColumn id="1" xr3:uid="{00000000-0010-0000-0000-000001000000}" name="Column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table" Target="../tables/table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pageSetUpPr autoPageBreaks="0" fitToPage="1"/>
  </sheetPr>
  <dimension ref="A1:AMK189"/>
  <sheetViews>
    <sheetView showGridLines="0" showZeros="0" tabSelected="1" zoomScaleNormal="100" workbookViewId="0">
      <selection activeCell="G32" sqref="G32"/>
    </sheetView>
  </sheetViews>
  <sheetFormatPr baseColWidth="10" defaultColWidth="16.5" defaultRowHeight="13" x14ac:dyDescent="0.15"/>
  <cols>
    <col min="1" max="1" width="2.5" style="1" customWidth="1"/>
    <col min="2" max="2" width="50.33203125" style="1" customWidth="1"/>
    <col min="3" max="3" width="15.6640625" style="1" customWidth="1"/>
    <col min="4" max="4" width="22.83203125" style="1" customWidth="1"/>
    <col min="5" max="5" width="23.33203125" style="1" customWidth="1"/>
    <col min="6" max="6" width="19.5" style="1" customWidth="1"/>
    <col min="7" max="7" width="19.6640625" style="1" customWidth="1"/>
    <col min="8" max="8" width="22.6640625" style="1" customWidth="1"/>
    <col min="9" max="9" width="7.33203125" style="1" customWidth="1"/>
    <col min="10" max="10" width="44.1640625" style="1" customWidth="1"/>
    <col min="11" max="11" width="38.5" style="1" hidden="1" customWidth="1"/>
    <col min="12" max="12" width="38.5" style="26" hidden="1" customWidth="1"/>
    <col min="13" max="13" width="47.1640625" style="1" hidden="1" customWidth="1"/>
    <col min="14" max="14" width="14.5" style="1" hidden="1" customWidth="1"/>
    <col min="15" max="15" width="17.6640625" style="1" hidden="1" customWidth="1"/>
    <col min="16" max="19" width="38.5" style="1" hidden="1" customWidth="1"/>
    <col min="20" max="31" width="38.5" style="1" customWidth="1"/>
    <col min="32" max="34" width="38.5" style="1" hidden="1" customWidth="1"/>
    <col min="35" max="37" width="38.5" style="1" customWidth="1"/>
    <col min="38" max="38" width="38.5" customWidth="1"/>
    <col min="39" max="39" width="38.5" style="1" customWidth="1"/>
    <col min="40" max="261" width="9.1640625" style="1" customWidth="1"/>
    <col min="262" max="1025" width="16.5" style="1"/>
  </cols>
  <sheetData>
    <row r="1" spans="1:43" ht="33.75" customHeight="1" x14ac:dyDescent="0.25">
      <c r="B1" s="1440" t="str">
        <f>IF(L10=2, "Configuration des données","Data Set up")</f>
        <v>Data Set up</v>
      </c>
      <c r="C1" s="1440"/>
      <c r="D1" s="1440"/>
      <c r="E1" s="1440"/>
      <c r="F1" s="1440"/>
      <c r="G1" s="1440"/>
      <c r="H1" s="1440"/>
      <c r="I1" s="1440"/>
      <c r="J1" s="1440"/>
      <c r="K1" s="12"/>
      <c r="L1" s="19"/>
      <c r="M1" s="12"/>
      <c r="N1" s="12"/>
      <c r="O1" s="12"/>
      <c r="P1" s="12"/>
      <c r="Q1" s="12"/>
      <c r="R1" s="12"/>
      <c r="S1" s="12"/>
      <c r="T1" s="12"/>
      <c r="U1" s="12"/>
      <c r="V1" s="12"/>
      <c r="W1" s="12"/>
      <c r="X1" s="12"/>
      <c r="Y1" s="12"/>
      <c r="Z1" s="12"/>
      <c r="AA1" s="12"/>
      <c r="AB1" s="12"/>
      <c r="AC1" s="12"/>
      <c r="AD1" s="12"/>
      <c r="AE1" s="12"/>
      <c r="AF1" s="12"/>
      <c r="AG1" s="12"/>
      <c r="AL1" s="1">
        <v>0</v>
      </c>
    </row>
    <row r="2" spans="1:43" ht="33.75" customHeight="1" x14ac:dyDescent="0.15">
      <c r="B2" s="1441" t="str">
        <f>C10&amp;" "&amp;D10</f>
        <v xml:space="preserve">SSC </v>
      </c>
      <c r="C2" s="1441"/>
      <c r="D2" s="1441"/>
      <c r="E2" s="1441"/>
      <c r="F2" s="1441"/>
      <c r="G2" s="1441"/>
      <c r="H2" s="1441"/>
      <c r="I2" s="1441"/>
      <c r="J2" s="1441"/>
      <c r="K2" s="12"/>
      <c r="L2" s="19"/>
      <c r="M2" s="12"/>
      <c r="N2" s="12"/>
      <c r="O2" s="12"/>
      <c r="P2" s="12"/>
      <c r="Q2" s="12"/>
      <c r="R2" s="12"/>
      <c r="S2" s="191"/>
      <c r="T2" s="191"/>
      <c r="U2" s="12"/>
      <c r="V2" s="12"/>
      <c r="W2" s="12"/>
      <c r="X2" s="12"/>
      <c r="Y2" s="12"/>
      <c r="Z2" s="12"/>
      <c r="AA2" s="12"/>
      <c r="AB2" s="12"/>
      <c r="AC2" s="12"/>
      <c r="AD2" s="12"/>
      <c r="AE2" s="12"/>
      <c r="AF2" s="12"/>
      <c r="AG2" s="12"/>
      <c r="AL2" s="1"/>
    </row>
    <row r="3" spans="1:43" ht="38.25" customHeight="1" x14ac:dyDescent="0.15">
      <c r="B3" s="1442" t="str">
        <f>IF(L10=2,"Année fiscale "&amp;F31&amp;" - "&amp;G31,"Fiscal Year "&amp;F31&amp;" - "&amp;G31)</f>
        <v xml:space="preserve">Fiscal Year  - </v>
      </c>
      <c r="C3" s="1442"/>
      <c r="D3" s="1442"/>
      <c r="E3" s="1442"/>
      <c r="F3" s="1442"/>
      <c r="G3" s="1442"/>
      <c r="H3" s="1442"/>
      <c r="I3" s="1442"/>
      <c r="J3" s="1442"/>
      <c r="K3" s="12"/>
      <c r="L3" s="1002"/>
      <c r="M3" s="12"/>
      <c r="N3" s="12"/>
      <c r="O3" s="12"/>
      <c r="P3" s="12"/>
      <c r="Q3" s="12"/>
      <c r="R3" s="20"/>
      <c r="S3" s="12"/>
      <c r="T3" s="12"/>
      <c r="U3" s="12"/>
      <c r="V3" s="12"/>
      <c r="W3" s="12"/>
      <c r="X3" s="12"/>
      <c r="Y3" s="12"/>
      <c r="Z3" s="12"/>
      <c r="AA3" s="20"/>
      <c r="AB3" s="12"/>
      <c r="AC3" s="12"/>
      <c r="AD3" s="12"/>
      <c r="AE3" s="12"/>
      <c r="AF3" s="12"/>
      <c r="AG3" s="12"/>
    </row>
    <row r="4" spans="1:43" s="2" customFormat="1" ht="18.75" customHeight="1" x14ac:dyDescent="0.15">
      <c r="A4" s="1"/>
      <c r="B4" s="1443" t="str">
        <f>IF(L10=2,"Entrez les données de l'ACC9 de l`année précédente, l'info sur le CRE et les soldes de vos actifs/passifs.
Remplissez toutes les cases grises qui suivent.","Enter information from last year's ACC9, the info on SSC and balances of your assets/liabilities.
Please fill in all of the grey boxes below.")</f>
        <v>Enter information from last year's ACC9, the info on SSC and balances of your assets/liabilities.
Please fill in all of the grey boxes below.</v>
      </c>
      <c r="C4" s="1443"/>
      <c r="D4" s="1003"/>
      <c r="E4" s="1004"/>
      <c r="F4" s="1004"/>
      <c r="G4" s="1444"/>
      <c r="H4" s="1444"/>
      <c r="I4" s="1005"/>
      <c r="J4" s="1004"/>
      <c r="K4" s="27"/>
      <c r="L4" s="1006"/>
      <c r="M4" s="27"/>
      <c r="N4" s="20"/>
      <c r="O4" s="12"/>
      <c r="P4" s="12"/>
      <c r="Q4" s="12"/>
      <c r="R4" s="12"/>
      <c r="S4" s="12"/>
      <c r="T4" s="12"/>
      <c r="U4" s="12"/>
      <c r="V4" s="12"/>
      <c r="W4" s="12"/>
      <c r="X4" s="12"/>
      <c r="Y4" s="20"/>
      <c r="Z4" s="20"/>
      <c r="AA4" s="20"/>
      <c r="AB4" s="12"/>
      <c r="AC4" s="12"/>
      <c r="AD4" s="20"/>
      <c r="AE4" s="20"/>
      <c r="AF4" s="20"/>
      <c r="AG4" s="12" t="s">
        <v>0</v>
      </c>
      <c r="AQ4" s="651"/>
    </row>
    <row r="5" spans="1:43" ht="11.25" customHeight="1" x14ac:dyDescent="0.15">
      <c r="A5" s="2"/>
      <c r="B5" s="1443"/>
      <c r="C5" s="1443"/>
      <c r="D5" s="1446" t="str">
        <f>IF(L10=2,"Choisissez la langue","Choose the language")</f>
        <v>Choose the language</v>
      </c>
      <c r="E5" s="1446"/>
      <c r="F5" s="1446"/>
      <c r="G5" s="1445" t="s">
        <v>541</v>
      </c>
      <c r="H5" s="1445"/>
      <c r="I5" s="1005"/>
      <c r="K5" s="12"/>
      <c r="L5" s="19" t="str">
        <f>IF(G32=8,L6&amp;"-"&amp;"08-"&amp;L8,L6&amp;"-"&amp;"06-"&amp;L8)</f>
        <v>0-06-</v>
      </c>
      <c r="M5" s="1007" t="e">
        <f>L5+1</f>
        <v>#VALUE!</v>
      </c>
      <c r="N5" s="1007" t="e">
        <f>YEAR(M5) &amp; "-" &amp; TEXT(MONTH(M5),"00") &amp; "-" &amp; TEXT(DAY(M5),"00")</f>
        <v>#VALUE!</v>
      </c>
      <c r="O5" s="602" t="e">
        <f>M5</f>
        <v>#VALUE!</v>
      </c>
      <c r="P5" s="12"/>
      <c r="Q5" s="12"/>
      <c r="R5" s="12"/>
      <c r="S5" s="12"/>
      <c r="T5" s="12"/>
      <c r="U5" s="12"/>
      <c r="V5" s="12"/>
      <c r="W5" s="12"/>
      <c r="X5" s="12"/>
      <c r="Y5" s="12"/>
      <c r="Z5" s="12"/>
      <c r="AA5" s="20"/>
      <c r="AB5" s="12"/>
      <c r="AC5" s="12"/>
      <c r="AD5" s="12"/>
      <c r="AE5" s="12"/>
      <c r="AF5" s="1008"/>
      <c r="AG5" s="12" t="s">
        <v>1</v>
      </c>
      <c r="AH5" s="1008"/>
    </row>
    <row r="6" spans="1:43" ht="32.25" customHeight="1" x14ac:dyDescent="0.15">
      <c r="B6" s="1443"/>
      <c r="C6" s="1443"/>
      <c r="D6" s="1446"/>
      <c r="E6" s="1446"/>
      <c r="F6" s="1446"/>
      <c r="G6" s="1445"/>
      <c r="H6" s="1445"/>
      <c r="I6" s="1005"/>
      <c r="J6" s="1009" t="s">
        <v>562</v>
      </c>
      <c r="K6" s="12"/>
      <c r="L6" s="19">
        <f>F31</f>
        <v>0</v>
      </c>
      <c r="M6" s="1007" t="e">
        <f>L5+365</f>
        <v>#VALUE!</v>
      </c>
      <c r="N6" s="1007" t="e">
        <f>YEAR(M6) &amp; "-" &amp; TEXT(MONTH(M6),"00") &amp; "-" &amp; TEXT(DAY(M6),"00")</f>
        <v>#VALUE!</v>
      </c>
      <c r="O6" s="12"/>
      <c r="P6" s="12"/>
      <c r="Q6" s="12"/>
      <c r="R6" s="12"/>
      <c r="S6" s="12"/>
      <c r="T6" s="12"/>
      <c r="U6" s="12"/>
      <c r="V6" s="12"/>
      <c r="W6" s="12"/>
      <c r="X6" s="12"/>
      <c r="Y6" s="12"/>
      <c r="Z6" s="12"/>
      <c r="AA6" s="20"/>
      <c r="AB6" s="12"/>
      <c r="AC6" s="12"/>
      <c r="AD6" s="12"/>
      <c r="AE6" s="12"/>
      <c r="AF6" s="12"/>
      <c r="AG6" s="12" t="s">
        <v>2</v>
      </c>
    </row>
    <row r="7" spans="1:43" ht="27" customHeight="1" thickBot="1" x14ac:dyDescent="0.2">
      <c r="E7" s="3"/>
      <c r="F7" s="3"/>
      <c r="G7" s="3"/>
      <c r="K7" s="12"/>
      <c r="L7" s="19">
        <f>G32</f>
        <v>0</v>
      </c>
      <c r="M7" s="12"/>
      <c r="N7" s="12"/>
      <c r="O7" s="12"/>
      <c r="P7" s="12"/>
      <c r="Q7" s="12"/>
      <c r="R7" s="12"/>
      <c r="S7" s="12"/>
      <c r="T7" s="12"/>
      <c r="U7" s="12"/>
      <c r="V7" s="12"/>
      <c r="W7" s="12"/>
      <c r="X7" s="12"/>
      <c r="Y7" s="12"/>
      <c r="Z7" s="12"/>
      <c r="AA7" s="20"/>
      <c r="AB7" s="12"/>
      <c r="AC7" s="12"/>
      <c r="AD7" s="12"/>
      <c r="AE7" s="12"/>
      <c r="AF7" s="12"/>
      <c r="AG7" s="12" t="s">
        <v>3</v>
      </c>
    </row>
    <row r="8" spans="1:43" ht="30" customHeight="1" thickTop="1" thickBot="1" x14ac:dyDescent="0.2">
      <c r="B8" s="1340" t="str">
        <f>IF(L10=2,"A - Comité répondant d'escadron (CRE)","A - Squadron Sponsored Committee (SSC)")</f>
        <v>A - Squadron Sponsored Committee (SSC)</v>
      </c>
      <c r="C8" s="1341"/>
      <c r="D8" s="1342"/>
      <c r="F8" s="1447" t="str">
        <f>IF(L10=2,"C - Escadron (Esc)","C - Squadron (Sqn)")</f>
        <v>C - Squadron (Sqn)</v>
      </c>
      <c r="G8" s="1448"/>
      <c r="H8" s="1448"/>
      <c r="I8" s="1448"/>
      <c r="J8" s="1449"/>
      <c r="K8" s="12"/>
      <c r="L8" s="19" t="str">
        <f>F32</f>
        <v/>
      </c>
      <c r="M8" s="12"/>
      <c r="N8" s="12"/>
      <c r="O8" s="12"/>
      <c r="P8" s="12"/>
      <c r="Q8" s="12"/>
      <c r="R8" s="12"/>
      <c r="S8" s="12"/>
      <c r="T8" s="12"/>
      <c r="U8" s="12"/>
      <c r="V8" s="12"/>
      <c r="W8" s="12"/>
      <c r="X8" s="12"/>
      <c r="Y8" s="12"/>
      <c r="Z8" s="12"/>
      <c r="AA8" s="20"/>
      <c r="AB8" s="12"/>
      <c r="AC8" s="12"/>
      <c r="AD8" s="12"/>
      <c r="AE8" s="12"/>
      <c r="AF8" s="12"/>
      <c r="AG8" s="12" t="s">
        <v>4</v>
      </c>
    </row>
    <row r="9" spans="1:43" ht="8.25" customHeight="1" thickTop="1" thickBot="1" x14ac:dyDescent="0.2">
      <c r="B9" s="5"/>
      <c r="E9" s="4"/>
      <c r="F9" s="4"/>
      <c r="G9" s="1010"/>
      <c r="H9" s="3"/>
      <c r="K9" s="12"/>
      <c r="L9" s="19"/>
      <c r="M9" s="12"/>
      <c r="N9" s="12"/>
      <c r="O9" s="12"/>
      <c r="P9" s="12"/>
      <c r="Q9" s="12"/>
      <c r="R9" s="12"/>
      <c r="S9" s="12"/>
      <c r="T9" s="12"/>
      <c r="U9" s="12"/>
      <c r="V9" s="12"/>
      <c r="W9" s="12"/>
      <c r="X9" s="12"/>
      <c r="Y9" s="12"/>
      <c r="Z9" s="12"/>
      <c r="AA9" s="20"/>
      <c r="AB9" s="12"/>
      <c r="AC9" s="12"/>
      <c r="AD9" s="12"/>
      <c r="AE9" s="12"/>
      <c r="AF9" s="12"/>
      <c r="AG9" s="12" t="s">
        <v>5</v>
      </c>
    </row>
    <row r="10" spans="1:43" ht="30" customHeight="1" thickBot="1" x14ac:dyDescent="0.2">
      <c r="B10" s="1072" t="str">
        <f>IF(L10=2,"Nom du CRE","SSC`s Name")</f>
        <v>SSC`s Name</v>
      </c>
      <c r="C10" s="1189" t="str">
        <f>IF(L10=2,"CRE","SSC")</f>
        <v>SSC</v>
      </c>
      <c r="D10" s="1356"/>
      <c r="E10" s="1357"/>
      <c r="F10" s="1413" t="str">
        <f>IF(L10=2,"Numéro d'escadron :","Squadron Number :")</f>
        <v>Squadron Number :</v>
      </c>
      <c r="G10" s="1414"/>
      <c r="H10" s="6"/>
      <c r="I10" s="7"/>
      <c r="J10" s="7"/>
      <c r="K10" s="12"/>
      <c r="L10" s="15">
        <f>IF(G5="Français",2,1)</f>
        <v>1</v>
      </c>
      <c r="M10" s="12"/>
      <c r="N10" s="12"/>
      <c r="O10" s="12"/>
      <c r="P10" s="12"/>
      <c r="Q10" s="12"/>
      <c r="R10" s="12"/>
      <c r="S10" s="12"/>
      <c r="T10" s="12"/>
      <c r="U10" s="12"/>
      <c r="V10" s="12"/>
      <c r="W10" s="12"/>
      <c r="X10" s="12"/>
      <c r="Y10" s="12"/>
      <c r="Z10" s="12"/>
      <c r="AA10" s="20"/>
      <c r="AB10" s="12"/>
      <c r="AC10" s="12"/>
      <c r="AD10" s="12"/>
      <c r="AE10" s="12"/>
      <c r="AF10" s="12"/>
      <c r="AG10" s="12" t="s">
        <v>6</v>
      </c>
    </row>
    <row r="11" spans="1:43" ht="30" customHeight="1" thickTop="1" thickBot="1" x14ac:dyDescent="0.2">
      <c r="B11" s="1073" t="str">
        <f>IF(L10=2,"Juridiction provinciale du Comité","Provincial Committee Jurisdiction")</f>
        <v>Provincial Committee Jurisdiction</v>
      </c>
      <c r="C11" s="1312"/>
      <c r="D11" s="1313"/>
      <c r="E11" s="1314"/>
      <c r="F11" s="1069"/>
      <c r="G11" s="1070"/>
      <c r="H11" s="1011"/>
      <c r="I11" s="7"/>
      <c r="J11" s="7"/>
      <c r="K11" s="12"/>
      <c r="L11" s="1012"/>
      <c r="M11" s="12"/>
      <c r="N11" s="12"/>
      <c r="O11" s="12"/>
      <c r="P11" s="12"/>
      <c r="Q11" s="12"/>
      <c r="R11" s="12"/>
      <c r="S11" s="12"/>
      <c r="T11" s="12"/>
      <c r="U11" s="12"/>
      <c r="V11" s="12"/>
      <c r="W11" s="12"/>
      <c r="X11" s="12"/>
      <c r="Y11" s="12"/>
      <c r="Z11" s="12"/>
      <c r="AA11" s="20"/>
      <c r="AB11" s="12"/>
      <c r="AC11" s="12"/>
      <c r="AD11" s="12"/>
      <c r="AE11" s="12"/>
      <c r="AF11" s="12"/>
      <c r="AG11" s="12" t="s">
        <v>7</v>
      </c>
      <c r="AL11" s="1"/>
    </row>
    <row r="12" spans="1:43" ht="30" customHeight="1" thickTop="1" x14ac:dyDescent="0.15">
      <c r="B12" s="1081" t="str">
        <f>IF(L10=2,"Adresse postale","Mailing Address")</f>
        <v>Mailing Address</v>
      </c>
      <c r="C12" s="1315"/>
      <c r="D12" s="1316"/>
      <c r="E12" s="1317"/>
      <c r="F12" s="1333" t="str">
        <f>IF(L10=2,"Nom de l'escadron :","Squadron Name :")</f>
        <v>Squadron Name :</v>
      </c>
      <c r="G12" s="1334"/>
      <c r="H12" s="1345"/>
      <c r="I12" s="1346"/>
      <c r="J12" s="1347"/>
      <c r="K12" s="12"/>
      <c r="L12" s="1012"/>
      <c r="M12" s="12"/>
      <c r="N12" s="12"/>
      <c r="O12" s="12"/>
      <c r="P12" s="12"/>
      <c r="Q12" s="12"/>
      <c r="R12" s="12"/>
      <c r="S12" s="12"/>
      <c r="T12" s="12"/>
      <c r="U12" s="12"/>
      <c r="V12" s="12"/>
      <c r="W12" s="12"/>
      <c r="X12" s="12"/>
      <c r="Y12" s="12"/>
      <c r="Z12" s="12"/>
      <c r="AA12" s="20"/>
      <c r="AB12" s="12"/>
      <c r="AC12" s="12"/>
      <c r="AD12" s="7"/>
      <c r="AE12" s="12"/>
      <c r="AF12" s="12"/>
      <c r="AG12" s="12"/>
      <c r="AL12" s="1"/>
    </row>
    <row r="13" spans="1:43" ht="30" customHeight="1" x14ac:dyDescent="0.15">
      <c r="B13" s="1081" t="str">
        <f>IF(L10=2," Ville, Prov","City,  Prov.")</f>
        <v>City,  Prov.</v>
      </c>
      <c r="C13" s="1318"/>
      <c r="D13" s="1319"/>
      <c r="E13" s="1320"/>
      <c r="F13" s="1069"/>
      <c r="G13" s="1071"/>
      <c r="H13" s="1013"/>
      <c r="I13" s="1013"/>
      <c r="J13" s="1013"/>
      <c r="K13" s="12"/>
      <c r="L13" s="19"/>
      <c r="M13" s="12"/>
      <c r="N13" s="12"/>
      <c r="O13" s="12"/>
      <c r="P13" s="12"/>
      <c r="Q13" s="12"/>
      <c r="R13" s="12"/>
      <c r="S13" s="12"/>
      <c r="T13" s="12"/>
      <c r="U13" s="12"/>
      <c r="V13" s="12"/>
      <c r="W13" s="12"/>
      <c r="X13" s="12"/>
      <c r="Y13" s="12"/>
      <c r="Z13" s="12"/>
      <c r="AA13" s="20"/>
      <c r="AB13" s="12"/>
      <c r="AC13" s="12"/>
      <c r="AD13" s="7"/>
      <c r="AE13" s="12"/>
      <c r="AF13" s="12"/>
      <c r="AG13" s="12"/>
    </row>
    <row r="14" spans="1:43" ht="30" customHeight="1" x14ac:dyDescent="0.15">
      <c r="B14" s="1081" t="str">
        <f>IF(L10=2,"Code Postal","Postal Code")</f>
        <v>Postal Code</v>
      </c>
      <c r="C14" s="1318"/>
      <c r="D14" s="1319"/>
      <c r="E14" s="1320"/>
      <c r="F14" s="1335" t="str">
        <f>IF(L10=2,"Nom du commandant:","Commanding Officer's Name:")</f>
        <v>Commanding Officer's Name:</v>
      </c>
      <c r="G14" s="1336"/>
      <c r="H14" s="1348"/>
      <c r="I14" s="1349"/>
      <c r="J14" s="1350"/>
      <c r="K14" s="12"/>
      <c r="L14" s="19"/>
      <c r="M14" s="12"/>
      <c r="N14" s="12"/>
      <c r="O14" s="12"/>
      <c r="P14" s="12"/>
      <c r="Q14" s="12"/>
      <c r="R14" s="12"/>
      <c r="S14" s="12"/>
      <c r="T14" s="12"/>
      <c r="U14" s="12"/>
      <c r="V14" s="12"/>
      <c r="W14" s="12"/>
      <c r="X14" s="12"/>
      <c r="Y14" s="12"/>
      <c r="Z14" s="12"/>
      <c r="AA14" s="20"/>
      <c r="AB14" s="12"/>
      <c r="AC14" s="12"/>
      <c r="AD14" s="12"/>
      <c r="AE14" s="12"/>
      <c r="AF14" s="12"/>
      <c r="AG14" s="12"/>
    </row>
    <row r="15" spans="1:43" ht="30" customHeight="1" x14ac:dyDescent="0.15">
      <c r="B15" s="1080" t="str">
        <f>IF(L10=2,"Nom du président","SSC Chairperson`s Name")</f>
        <v>SSC Chairperson`s Name</v>
      </c>
      <c r="C15" s="1321"/>
      <c r="D15" s="1322"/>
      <c r="E15" s="1323"/>
      <c r="F15" s="1069"/>
      <c r="G15" s="1071"/>
      <c r="H15" s="1014"/>
      <c r="I15" s="1014"/>
      <c r="J15" s="1014"/>
      <c r="K15" s="12">
        <v>2020</v>
      </c>
      <c r="L15" s="1015" t="s">
        <v>541</v>
      </c>
      <c r="M15" s="1">
        <f>K15+1</f>
        <v>2021</v>
      </c>
      <c r="N15" s="12"/>
      <c r="O15" s="12"/>
      <c r="P15" s="12"/>
      <c r="Q15" s="12"/>
      <c r="R15" s="12"/>
      <c r="S15" s="12"/>
      <c r="T15" s="12"/>
      <c r="U15" s="12"/>
      <c r="V15" s="12"/>
      <c r="W15" s="12"/>
      <c r="X15" s="12"/>
      <c r="Y15" s="12"/>
      <c r="Z15" s="12"/>
      <c r="AA15" s="12"/>
      <c r="AB15" s="12"/>
      <c r="AC15" s="12"/>
      <c r="AD15" s="12"/>
      <c r="AE15" s="12"/>
      <c r="AF15" s="12"/>
      <c r="AG15" s="12"/>
    </row>
    <row r="16" spans="1:43" ht="30" customHeight="1" thickBot="1" x14ac:dyDescent="0.2">
      <c r="B16" s="1074" t="str">
        <f>IF(L10=2,"Courriel  du président","SSC Chairperson`s  email")</f>
        <v>SSC Chairperson`s  email</v>
      </c>
      <c r="C16" s="1324"/>
      <c r="D16" s="1325"/>
      <c r="E16" s="1326"/>
      <c r="F16" s="1333" t="str">
        <f>IF(L10=2,"Nombre de cadets :","Number of Cadets :")</f>
        <v>Number of Cadets :</v>
      </c>
      <c r="G16" s="1334"/>
      <c r="H16" s="8"/>
      <c r="I16" s="1014"/>
      <c r="J16" s="1014"/>
      <c r="K16" s="12">
        <v>2021</v>
      </c>
      <c r="L16" s="1016" t="s">
        <v>542</v>
      </c>
      <c r="M16" s="1">
        <f t="shared" ref="M16:M22" si="0">K16+1</f>
        <v>2022</v>
      </c>
      <c r="N16" s="12"/>
      <c r="O16" s="12"/>
      <c r="P16" s="12"/>
      <c r="Q16" s="12"/>
      <c r="R16" s="12"/>
      <c r="S16" s="12"/>
      <c r="T16" s="12"/>
      <c r="U16" s="12"/>
      <c r="V16" s="12"/>
      <c r="W16" s="12"/>
      <c r="X16" s="12"/>
      <c r="Y16" s="12"/>
      <c r="Z16" s="12"/>
      <c r="AA16" s="12"/>
      <c r="AB16" s="12"/>
      <c r="AC16" s="12"/>
      <c r="AD16" s="12"/>
      <c r="AE16" s="12"/>
      <c r="AF16" s="12"/>
      <c r="AG16" s="12"/>
    </row>
    <row r="17" spans="2:38" ht="27" customHeight="1" thickBot="1" x14ac:dyDescent="0.2">
      <c r="G17" s="1017"/>
      <c r="H17" s="7"/>
      <c r="K17" s="12">
        <v>2022</v>
      </c>
      <c r="L17" s="9"/>
      <c r="M17" s="1">
        <f t="shared" si="0"/>
        <v>2023</v>
      </c>
      <c r="N17" s="12"/>
      <c r="O17" s="12"/>
      <c r="P17" s="12"/>
      <c r="Q17" s="12"/>
      <c r="R17" s="12"/>
      <c r="S17" s="12"/>
      <c r="T17" s="12"/>
      <c r="U17" s="12"/>
      <c r="V17" s="12"/>
      <c r="W17" s="12"/>
      <c r="X17" s="12"/>
      <c r="Y17" s="12"/>
      <c r="Z17" s="12"/>
      <c r="AA17" s="12"/>
      <c r="AB17" s="12"/>
      <c r="AC17" s="12"/>
      <c r="AD17" s="12"/>
      <c r="AE17" s="12"/>
      <c r="AF17" s="12"/>
      <c r="AG17" s="1018" t="str">
        <f t="shared" ref="AG17:AG33" si="1">LEFT($F45,4)</f>
        <v>1010</v>
      </c>
    </row>
    <row r="18" spans="2:38" ht="30" customHeight="1" thickTop="1" thickBot="1" x14ac:dyDescent="0.2">
      <c r="B18" s="1340" t="str">
        <f>IF(L10=2,"B - Organisme de bienfaisance (si applicable)","B - Charity Organization (if applicable)")</f>
        <v>B - Charity Organization (if applicable)</v>
      </c>
      <c r="C18" s="1341"/>
      <c r="D18" s="1342"/>
      <c r="F18" s="1340" t="str">
        <f>IF(L10=2,"D - Trésorerie du CRE","D - SSC Treasury")</f>
        <v>D - SSC Treasury</v>
      </c>
      <c r="G18" s="1341"/>
      <c r="H18" s="1341"/>
      <c r="I18" s="1341"/>
      <c r="J18" s="1342"/>
      <c r="K18" s="12">
        <v>2023</v>
      </c>
      <c r="L18" s="9"/>
      <c r="M18" s="1">
        <f t="shared" si="0"/>
        <v>2024</v>
      </c>
      <c r="N18" s="12"/>
      <c r="O18" s="12"/>
      <c r="P18" s="12"/>
      <c r="Q18" s="12"/>
      <c r="R18" s="12"/>
      <c r="S18" s="12"/>
      <c r="T18" s="12"/>
      <c r="U18" s="12"/>
      <c r="V18" s="12"/>
      <c r="W18" s="12"/>
      <c r="X18" s="12"/>
      <c r="Y18" s="12"/>
      <c r="Z18" s="12"/>
      <c r="AA18" s="12"/>
      <c r="AB18" s="12"/>
      <c r="AC18" s="12"/>
      <c r="AE18" s="12"/>
      <c r="AF18" s="12"/>
      <c r="AG18" s="1018" t="str">
        <f t="shared" si="1"/>
        <v>1015</v>
      </c>
    </row>
    <row r="19" spans="2:38" ht="27" customHeight="1" thickTop="1" thickBot="1" x14ac:dyDescent="0.2">
      <c r="K19" s="12">
        <v>2024</v>
      </c>
      <c r="L19" s="9"/>
      <c r="M19" s="1">
        <f t="shared" si="0"/>
        <v>2025</v>
      </c>
      <c r="N19" s="12"/>
      <c r="O19" s="82" t="str">
        <f>IF($L$10=2,"Juridiction","Jurisdiction")</f>
        <v>Jurisdiction</v>
      </c>
      <c r="P19" s="12"/>
      <c r="Q19" s="12"/>
      <c r="R19" s="12"/>
      <c r="S19" s="12"/>
      <c r="T19" s="12"/>
      <c r="U19" s="12"/>
      <c r="V19" s="12"/>
      <c r="W19" s="19"/>
      <c r="X19" s="19"/>
      <c r="Y19" s="12"/>
      <c r="Z19" s="12"/>
      <c r="AA19" s="12"/>
      <c r="AB19" s="12"/>
      <c r="AC19" s="12"/>
      <c r="AE19" s="12"/>
      <c r="AF19" s="12"/>
      <c r="AG19" s="1018" t="str">
        <f t="shared" si="1"/>
        <v>1020</v>
      </c>
    </row>
    <row r="20" spans="2:38" ht="33" customHeight="1" thickTop="1" thickBot="1" x14ac:dyDescent="0.2">
      <c r="B20" s="1424" t="str">
        <f>IF(L10=2,"L'escadron est-il un organisme sans but lucratif enregistré (Agence du revenu du Canada)?","Is the Squadron Sponsoring Committee a Registered Canadian Charity (CRA)?")</f>
        <v>Is the Squadron Sponsoring Committee a Registered Canadian Charity (CRA)?</v>
      </c>
      <c r="C20" s="1343"/>
      <c r="D20" s="1344"/>
      <c r="E20" s="1019"/>
      <c r="F20" s="1363" t="str">
        <f>IF(L10=2,"Nom de celui qui complétera le rapport financier :","Name of the person who will complete the Financial Report :")</f>
        <v>Name of the person who will complete the Financial Report :</v>
      </c>
      <c r="G20" s="1364"/>
      <c r="H20" s="1365"/>
      <c r="I20" s="1366"/>
      <c r="J20" s="1367"/>
      <c r="K20" s="12">
        <v>2025</v>
      </c>
      <c r="L20" s="9"/>
      <c r="M20" s="1">
        <f t="shared" si="0"/>
        <v>2026</v>
      </c>
      <c r="N20" s="80"/>
      <c r="O20" s="80" t="s">
        <v>8</v>
      </c>
      <c r="P20" s="12"/>
      <c r="Q20" s="12"/>
      <c r="R20" s="80" t="s">
        <v>9</v>
      </c>
      <c r="S20" s="12" t="s">
        <v>10</v>
      </c>
      <c r="T20" s="12"/>
      <c r="U20" s="12"/>
      <c r="V20" s="12"/>
      <c r="W20" s="19"/>
      <c r="X20" s="19"/>
      <c r="Y20" s="12"/>
      <c r="Z20" s="12"/>
      <c r="AA20" s="12"/>
      <c r="AB20" s="12"/>
      <c r="AC20" s="12"/>
      <c r="AE20" s="12"/>
      <c r="AF20" s="12"/>
      <c r="AG20" s="1018" t="str">
        <f t="shared" si="1"/>
        <v>1025</v>
      </c>
    </row>
    <row r="21" spans="2:38" ht="33" customHeight="1" thickTop="1" thickBot="1" x14ac:dyDescent="0.2">
      <c r="B21" s="1425"/>
      <c r="C21" s="1450"/>
      <c r="D21" s="1451"/>
      <c r="F21" s="1374" t="str">
        <f>IF(L10=2,"Adresse postale :","Mailing Address :")</f>
        <v>Mailing Address :</v>
      </c>
      <c r="G21" s="1375"/>
      <c r="H21" s="1376"/>
      <c r="I21" s="1318"/>
      <c r="J21" s="1320"/>
      <c r="K21" s="12">
        <v>2026</v>
      </c>
      <c r="L21" s="9"/>
      <c r="M21" s="1">
        <f t="shared" si="0"/>
        <v>2027</v>
      </c>
      <c r="N21" s="80"/>
      <c r="O21" s="80" t="str">
        <f>IF($L$10=2,"Colombie-Britannique","British Columbia")</f>
        <v>British Columbia</v>
      </c>
      <c r="P21" s="12"/>
      <c r="Q21" s="12"/>
      <c r="R21" s="80" t="s">
        <v>11</v>
      </c>
      <c r="S21" s="12" t="s">
        <v>10</v>
      </c>
      <c r="T21" s="12"/>
      <c r="U21" s="12"/>
      <c r="V21" s="12"/>
      <c r="Y21" s="12"/>
      <c r="Z21" s="12"/>
      <c r="AA21" s="12"/>
      <c r="AB21" s="12"/>
      <c r="AC21" s="12"/>
      <c r="AE21" s="12"/>
      <c r="AF21" s="12"/>
      <c r="AG21" s="1018" t="str">
        <f t="shared" si="1"/>
        <v>1030</v>
      </c>
    </row>
    <row r="22" spans="2:38" ht="33" customHeight="1" x14ac:dyDescent="0.15">
      <c r="B22" s="1091" t="str">
        <f>IF(L10=2,"Si oui,  inscrire le numéro ici :","If yes,  insert number here :")</f>
        <v>If yes,  insert number here :</v>
      </c>
      <c r="C22" s="1354"/>
      <c r="D22" s="1355"/>
      <c r="F22" s="1374" t="str">
        <f>IF(L10=2," Ville, Prov, Code Postal :","City,  Prov. &amp; Postal Code :")</f>
        <v>City,  Prov. &amp; Postal Code :</v>
      </c>
      <c r="G22" s="1375"/>
      <c r="H22" s="1376"/>
      <c r="I22" s="1318"/>
      <c r="J22" s="1320"/>
      <c r="K22" s="12">
        <v>2027</v>
      </c>
      <c r="L22" s="9"/>
      <c r="M22" s="1">
        <f t="shared" si="0"/>
        <v>2028</v>
      </c>
      <c r="N22" s="80"/>
      <c r="O22" s="80" t="s">
        <v>12</v>
      </c>
      <c r="P22" s="12"/>
      <c r="Q22" s="12"/>
      <c r="R22" s="80" t="s">
        <v>13</v>
      </c>
      <c r="S22" s="12" t="s">
        <v>10</v>
      </c>
      <c r="T22" s="12"/>
      <c r="U22" s="12"/>
      <c r="V22" s="12"/>
      <c r="W22" s="19"/>
      <c r="X22" s="19"/>
      <c r="Y22" s="12"/>
      <c r="Z22" s="12"/>
      <c r="AA22" s="12"/>
      <c r="AB22" s="12"/>
      <c r="AC22" s="12"/>
      <c r="AE22" s="12"/>
      <c r="AF22" s="12"/>
      <c r="AG22" s="1018" t="str">
        <f t="shared" si="1"/>
        <v>1035</v>
      </c>
    </row>
    <row r="23" spans="2:38" ht="33" customHeight="1" thickBot="1" x14ac:dyDescent="0.2">
      <c r="B23" s="1091" t="str">
        <f>IF(L10=2,"No. D'entreprise (RT), si applicable :","Business # (RT), if applicable :")</f>
        <v>Business # (RT), if applicable :</v>
      </c>
      <c r="C23" s="1351"/>
      <c r="D23" s="1352"/>
      <c r="F23" s="1377" t="str">
        <f>IF(L10=2,"Téléphone (Résidence) :","Phone (Home) :")</f>
        <v>Phone (Home) :</v>
      </c>
      <c r="G23" s="1335"/>
      <c r="H23" s="1378"/>
      <c r="I23" s="1368"/>
      <c r="J23" s="1369"/>
      <c r="K23" s="12"/>
      <c r="L23" s="9"/>
      <c r="N23" s="80"/>
      <c r="O23" s="80" t="str">
        <f>IF($L$10=2,"Nouveau-Brunswick","New Brunswick")</f>
        <v>New Brunswick</v>
      </c>
      <c r="P23" s="12"/>
      <c r="Q23" s="12"/>
      <c r="R23" s="80" t="s">
        <v>14</v>
      </c>
      <c r="S23" s="12" t="s">
        <v>15</v>
      </c>
      <c r="T23" s="12"/>
      <c r="U23" s="12"/>
      <c r="V23" s="12"/>
      <c r="W23" s="19"/>
      <c r="X23" s="19"/>
      <c r="Y23" s="12"/>
      <c r="Z23" s="12"/>
      <c r="AA23" s="12"/>
      <c r="AB23" s="12"/>
      <c r="AC23" s="12"/>
      <c r="AE23" s="12"/>
      <c r="AF23" s="12"/>
      <c r="AG23" s="1018" t="str">
        <f t="shared" si="1"/>
        <v>1040</v>
      </c>
    </row>
    <row r="24" spans="2:38" ht="33" customHeight="1" thickTop="1" thickBot="1" x14ac:dyDescent="0.2">
      <c r="B24" s="1426" t="str">
        <f>IF(L10=2,"Décl. renseignements des org. de bienfaisance enr. (T3010/TP-985.22-V) a-t-elle été soumise?","Was the past year's Registered Charity Information Return (Form T3010/TP-985.22-V) submitted?")</f>
        <v>Was the past year's Registered Charity Information Return (Form T3010/TP-985.22-V) submitted?</v>
      </c>
      <c r="C24" s="1343"/>
      <c r="D24" s="1344"/>
      <c r="F24" s="1377" t="str">
        <f>IF(L10=2,"Téléphone (Bureau ou Cellulaire) :","Phone (Work or Cell) :")</f>
        <v>Phone (Work or Cell) :</v>
      </c>
      <c r="G24" s="1335"/>
      <c r="H24" s="1378"/>
      <c r="I24" s="1370"/>
      <c r="J24" s="1371"/>
      <c r="K24" s="12"/>
      <c r="L24" s="9" t="str">
        <f>IF($L$10=2,"Résidence","Home")</f>
        <v>Home</v>
      </c>
      <c r="N24" s="80"/>
      <c r="O24" s="80" t="str">
        <f>IF($L$10=2,"Terre-Neuve","Newfoundland")</f>
        <v>Newfoundland</v>
      </c>
      <c r="P24" s="12"/>
      <c r="Q24" s="12"/>
      <c r="R24" s="80" t="s">
        <v>16</v>
      </c>
      <c r="S24" s="12" t="s">
        <v>15</v>
      </c>
      <c r="T24" s="12"/>
      <c r="U24" s="12"/>
      <c r="V24" s="12"/>
      <c r="Y24" s="12"/>
      <c r="Z24" s="12"/>
      <c r="AA24" s="12"/>
      <c r="AB24" s="12"/>
      <c r="AC24" s="12"/>
      <c r="AE24" s="12"/>
      <c r="AF24" s="12"/>
      <c r="AG24" s="1018" t="str">
        <f t="shared" si="1"/>
        <v>1045</v>
      </c>
    </row>
    <row r="25" spans="2:38" ht="33" customHeight="1" thickTop="1" thickBot="1" x14ac:dyDescent="0.2">
      <c r="B25" s="1427"/>
      <c r="C25" s="5"/>
      <c r="D25" s="1020"/>
      <c r="F25" s="1379" t="str">
        <f>IF(L10=2,"Courriel personnel :","Personal E-Mail :")</f>
        <v>Personal E-Mail :</v>
      </c>
      <c r="G25" s="1380"/>
      <c r="H25" s="1381"/>
      <c r="I25" s="1372"/>
      <c r="J25" s="1373"/>
      <c r="K25" s="12"/>
      <c r="L25" s="9" t="str">
        <f>IF($L$10=2,"Bureau","Office")</f>
        <v>Office</v>
      </c>
      <c r="N25" s="80"/>
      <c r="O25" s="80" t="str">
        <f>IF($L$10=2,"Nouvelle-Écosse","New Scotia")</f>
        <v>New Scotia</v>
      </c>
      <c r="P25" s="12"/>
      <c r="Q25" s="12"/>
      <c r="R25" s="80" t="s">
        <v>17</v>
      </c>
      <c r="S25" s="12" t="s">
        <v>15</v>
      </c>
      <c r="T25" s="12"/>
      <c r="U25" s="12"/>
      <c r="V25" s="12"/>
      <c r="W25" s="19"/>
      <c r="X25" s="19"/>
      <c r="Y25" s="12"/>
      <c r="Z25" s="12"/>
      <c r="AA25" s="12"/>
      <c r="AB25" s="12"/>
      <c r="AC25" s="12"/>
      <c r="AE25" s="12"/>
      <c r="AF25" s="12"/>
      <c r="AG25" s="1018" t="str">
        <f t="shared" si="1"/>
        <v>1050</v>
      </c>
    </row>
    <row r="26" spans="2:38" ht="27" customHeight="1" thickBot="1" x14ac:dyDescent="0.2">
      <c r="K26" s="12"/>
      <c r="L26" s="9"/>
      <c r="N26" s="80"/>
      <c r="O26" s="80" t="s">
        <v>18</v>
      </c>
      <c r="P26" s="12"/>
      <c r="Q26" s="12"/>
      <c r="R26" s="82" t="s">
        <v>19</v>
      </c>
      <c r="S26" s="12" t="s">
        <v>10</v>
      </c>
      <c r="T26" s="12"/>
      <c r="U26" s="12"/>
      <c r="V26" s="12"/>
      <c r="W26" s="19"/>
      <c r="X26" s="19"/>
      <c r="Y26" s="12"/>
      <c r="Z26" s="12"/>
      <c r="AA26" s="12"/>
      <c r="AB26" s="12"/>
      <c r="AC26" s="12"/>
      <c r="AE26" s="12"/>
      <c r="AF26" s="12"/>
      <c r="AG26" s="1018" t="str">
        <f t="shared" si="1"/>
        <v>1055</v>
      </c>
    </row>
    <row r="27" spans="2:38" ht="30" customHeight="1" thickTop="1" thickBot="1" x14ac:dyDescent="0.2">
      <c r="B27" s="1337" t="str">
        <f>IF(L10=2,"E - Informations financières du CRE","E - SSC Financial Informations")</f>
        <v>E - SSC Financial Informations</v>
      </c>
      <c r="C27" s="1338"/>
      <c r="D27" s="1338"/>
      <c r="E27" s="1338"/>
      <c r="F27" s="1338"/>
      <c r="G27" s="1338"/>
      <c r="H27" s="1338"/>
      <c r="I27" s="1338"/>
      <c r="J27" s="1339"/>
      <c r="K27" s="12"/>
      <c r="L27" s="25"/>
      <c r="N27" s="80"/>
      <c r="O27" s="80" t="str">
        <f>IF($L$10=2,"Ontario - Nord-Ouest","Ontario - Northwestern")</f>
        <v>Ontario - Northwestern</v>
      </c>
      <c r="P27" s="12"/>
      <c r="Q27" s="12"/>
      <c r="R27" s="82" t="s">
        <v>20</v>
      </c>
      <c r="S27" s="12" t="s">
        <v>10</v>
      </c>
      <c r="T27" s="12"/>
      <c r="U27" s="12"/>
      <c r="V27" s="12"/>
      <c r="W27" s="19"/>
      <c r="X27" s="19"/>
      <c r="Y27" s="12"/>
      <c r="Z27" s="12"/>
      <c r="AA27" s="12"/>
      <c r="AB27" s="12"/>
      <c r="AC27" s="12"/>
      <c r="AE27" s="12"/>
      <c r="AF27" s="12"/>
      <c r="AG27" s="1018" t="str">
        <f t="shared" si="1"/>
        <v>1060</v>
      </c>
    </row>
    <row r="28" spans="2:38" ht="27" customHeight="1" thickTop="1" thickBot="1" x14ac:dyDescent="0.2">
      <c r="B28" s="1021"/>
      <c r="C28" s="1022"/>
      <c r="D28" s="1022"/>
      <c r="K28" s="12"/>
      <c r="L28" s="25" t="str">
        <f>IF($L$10=2,"Oui","Yes")</f>
        <v>Yes</v>
      </c>
      <c r="N28" s="80"/>
      <c r="O28" s="80" t="str">
        <f>IF($L$10=2,"Île-Du-Prince-Édouard","Prince Edward Island")</f>
        <v>Prince Edward Island</v>
      </c>
      <c r="P28" s="12"/>
      <c r="Q28" s="12"/>
      <c r="R28" s="80" t="s">
        <v>21</v>
      </c>
      <c r="S28" s="80" t="s">
        <v>15</v>
      </c>
      <c r="T28" s="12"/>
      <c r="U28" s="12"/>
      <c r="V28" s="12"/>
      <c r="W28" s="12"/>
      <c r="X28" s="12"/>
      <c r="Y28" s="12"/>
      <c r="Z28" s="12"/>
      <c r="AA28" s="12"/>
      <c r="AB28" s="12"/>
      <c r="AC28" s="12"/>
      <c r="AE28" s="12"/>
      <c r="AF28" s="12"/>
      <c r="AG28" s="1018" t="str">
        <f t="shared" si="1"/>
        <v>1065</v>
      </c>
    </row>
    <row r="29" spans="2:38" ht="30" customHeight="1" thickTop="1" thickBot="1" x14ac:dyDescent="0.2">
      <c r="B29" s="1410" t="str">
        <f>IF(L10=2,"E-1 - Période financière courante","E-1 - Current Financial Period")</f>
        <v>E-1 - Current Financial Period</v>
      </c>
      <c r="C29" s="1411"/>
      <c r="D29" s="1411"/>
      <c r="E29" s="1411"/>
      <c r="F29" s="1411"/>
      <c r="G29" s="1411"/>
      <c r="H29" s="1411"/>
      <c r="I29" s="1411"/>
      <c r="J29" s="1412"/>
      <c r="K29" s="12"/>
      <c r="L29" s="25" t="str">
        <f>IF($L$10=2,"Non","No")</f>
        <v>No</v>
      </c>
      <c r="N29" s="82"/>
      <c r="O29" s="82" t="str">
        <f>IF($L$10=2,"Québec et Vallée de l'Outaouais","Québec and Ottawa Valley")</f>
        <v>Québec and Ottawa Valley</v>
      </c>
      <c r="P29" s="12"/>
      <c r="Q29" s="12"/>
      <c r="R29" s="80" t="s">
        <v>22</v>
      </c>
      <c r="S29" s="80" t="s">
        <v>15</v>
      </c>
      <c r="T29" s="12"/>
      <c r="U29" s="12"/>
      <c r="V29" s="12"/>
      <c r="W29" s="12"/>
      <c r="X29" s="12"/>
      <c r="Y29" s="12"/>
      <c r="Z29" s="12"/>
      <c r="AA29" s="12"/>
      <c r="AB29" s="12"/>
      <c r="AC29" s="12"/>
      <c r="AE29" s="12"/>
      <c r="AF29" s="12"/>
      <c r="AG29" s="1018" t="str">
        <f t="shared" si="1"/>
        <v>1070</v>
      </c>
    </row>
    <row r="30" spans="2:38" ht="27" customHeight="1" thickTop="1" thickBot="1" x14ac:dyDescent="0.2">
      <c r="B30" s="1021"/>
      <c r="C30" s="1022"/>
      <c r="K30" s="12"/>
      <c r="L30" s="12"/>
      <c r="N30" s="80"/>
      <c r="O30" s="80" t="s">
        <v>24</v>
      </c>
      <c r="P30" s="12"/>
      <c r="Q30" s="12"/>
      <c r="R30" s="80" t="s">
        <v>25</v>
      </c>
      <c r="S30" s="12" t="s">
        <v>10</v>
      </c>
      <c r="T30" s="12"/>
      <c r="U30" s="12"/>
      <c r="V30" s="12"/>
      <c r="W30" s="12"/>
      <c r="X30" s="12"/>
      <c r="Y30" s="12"/>
      <c r="Z30" s="12"/>
      <c r="AA30" s="12"/>
      <c r="AB30" s="12"/>
      <c r="AC30" s="12"/>
      <c r="AE30" s="12"/>
      <c r="AF30" s="12"/>
      <c r="AG30" s="1018" t="str">
        <f t="shared" si="1"/>
        <v>1075</v>
      </c>
      <c r="AL30" s="1"/>
    </row>
    <row r="31" spans="2:38" ht="30" customHeight="1" thickTop="1" thickBot="1" x14ac:dyDescent="0.2">
      <c r="C31" s="1361" t="str">
        <f>IF(L10=2,"Choisissez l'année du rapport financier","Select the Reporting Year")</f>
        <v>Select the Reporting Year</v>
      </c>
      <c r="D31" s="1361"/>
      <c r="E31" s="1362"/>
      <c r="F31" s="1061"/>
      <c r="G31" s="1311" t="str">
        <f>IF(F31="","",F31+1)</f>
        <v/>
      </c>
      <c r="K31" s="12"/>
      <c r="L31" s="12"/>
      <c r="N31" s="80"/>
      <c r="O31" s="80" t="str">
        <f>IF($L$10=2,"Territoires","Territories")</f>
        <v>Territories</v>
      </c>
      <c r="P31" s="12"/>
      <c r="Q31" s="12"/>
      <c r="R31" s="80" t="s">
        <v>27</v>
      </c>
      <c r="S31" s="12" t="s">
        <v>10</v>
      </c>
      <c r="T31" s="12"/>
      <c r="U31" s="12"/>
      <c r="V31" s="12"/>
      <c r="W31" s="12"/>
      <c r="X31" s="12"/>
      <c r="Y31" s="12"/>
      <c r="Z31" s="12"/>
      <c r="AA31" s="12"/>
      <c r="AB31" s="12"/>
      <c r="AC31" s="12"/>
      <c r="AE31" s="12"/>
      <c r="AF31" s="12"/>
      <c r="AG31" s="1018" t="str">
        <f t="shared" si="1"/>
        <v>1080</v>
      </c>
      <c r="AL31" s="1"/>
    </row>
    <row r="32" spans="2:38" ht="30" customHeight="1" thickTop="1" thickBot="1" x14ac:dyDescent="0.2">
      <c r="B32" s="1023"/>
      <c r="C32" s="1359" t="str">
        <f>IF(L10=2,"Date de fin d'exercice","Date for Year-End")</f>
        <v>Date for Year-End</v>
      </c>
      <c r="D32" s="1359"/>
      <c r="E32" s="1360"/>
      <c r="F32" s="1310" t="str">
        <f>IF(G32=6,30,IF(G32=8,31,""))</f>
        <v/>
      </c>
      <c r="G32" s="1061"/>
      <c r="K32" s="12"/>
      <c r="L32" s="12"/>
      <c r="N32" s="12"/>
      <c r="O32" s="80"/>
      <c r="P32" s="12"/>
      <c r="Q32" s="12"/>
      <c r="R32" s="82" t="s">
        <v>28</v>
      </c>
      <c r="S32" s="12" t="s">
        <v>10</v>
      </c>
      <c r="T32" s="12"/>
      <c r="U32" s="12"/>
      <c r="V32" s="12"/>
      <c r="W32" s="12"/>
      <c r="X32" s="12"/>
      <c r="Y32" s="12"/>
      <c r="Z32" s="12"/>
      <c r="AA32" s="12"/>
      <c r="AB32" s="12"/>
      <c r="AC32" s="12"/>
      <c r="AE32" s="12"/>
      <c r="AF32" s="12"/>
      <c r="AG32" s="1018" t="str">
        <f t="shared" si="1"/>
        <v>1085</v>
      </c>
      <c r="AL32" s="1"/>
    </row>
    <row r="33" spans="1:38" ht="28.5" customHeight="1" thickTop="1" x14ac:dyDescent="0.15">
      <c r="D33" s="1023"/>
      <c r="F33" s="1082" t="str">
        <f>IF(L10=2,"jour","Day")</f>
        <v>Day</v>
      </c>
      <c r="G33" s="1024" t="str">
        <f>IF(L10=2,"mois","Month")</f>
        <v>Month</v>
      </c>
      <c r="K33" s="12"/>
      <c r="L33" s="12"/>
      <c r="M33" s="12"/>
      <c r="N33" s="12"/>
      <c r="O33" s="80"/>
      <c r="P33" s="12"/>
      <c r="Q33" s="12"/>
      <c r="R33" s="80"/>
      <c r="S33" s="80"/>
      <c r="T33" s="12"/>
      <c r="U33" s="12"/>
      <c r="V33" s="12"/>
      <c r="W33" s="12"/>
      <c r="X33" s="12"/>
      <c r="Y33" s="12"/>
      <c r="Z33" s="12"/>
      <c r="AA33" s="12"/>
      <c r="AB33" s="12"/>
      <c r="AC33" s="12"/>
      <c r="AE33" s="12"/>
      <c r="AF33" s="12"/>
      <c r="AG33" s="1030" t="str">
        <f t="shared" si="1"/>
        <v>1090</v>
      </c>
      <c r="AL33" s="1"/>
    </row>
    <row r="34" spans="1:38" ht="30" hidden="1" customHeight="1" x14ac:dyDescent="0.15">
      <c r="B34" s="1303"/>
      <c r="C34" s="1303"/>
      <c r="D34" s="1303"/>
      <c r="E34" s="1303"/>
      <c r="F34" s="1303"/>
      <c r="G34" s="1303"/>
      <c r="H34" s="1303"/>
      <c r="I34" s="1303"/>
      <c r="J34" s="1303"/>
      <c r="K34" s="12"/>
      <c r="L34" s="12"/>
      <c r="M34" s="12" t="str">
        <f>IF(L10=2,"Les informations de l'année précédente sont exactes","Previous Year's information is correct")</f>
        <v>Previous Year's information is correct</v>
      </c>
      <c r="N34" s="12"/>
      <c r="O34" s="80"/>
      <c r="P34" s="19"/>
      <c r="Q34" s="19"/>
      <c r="R34" s="18"/>
      <c r="S34" s="18"/>
      <c r="T34" s="19"/>
      <c r="U34" s="19"/>
      <c r="V34" s="19"/>
      <c r="W34" s="12"/>
      <c r="X34" s="12"/>
      <c r="Y34" s="12"/>
      <c r="Z34" s="12"/>
      <c r="AA34" s="12"/>
      <c r="AB34" s="12"/>
      <c r="AC34" s="12"/>
      <c r="AE34" s="12"/>
      <c r="AF34" s="12"/>
      <c r="AG34" s="775"/>
      <c r="AL34" s="1"/>
    </row>
    <row r="35" spans="1:38" ht="27" hidden="1" customHeight="1" x14ac:dyDescent="0.15">
      <c r="K35" s="12"/>
      <c r="L35" s="12"/>
      <c r="M35" s="12" t="s">
        <v>560</v>
      </c>
      <c r="N35" s="12"/>
      <c r="O35" s="80"/>
      <c r="P35" s="12"/>
      <c r="Q35" s="12"/>
      <c r="R35" s="80"/>
      <c r="S35" s="80"/>
      <c r="T35" s="12"/>
      <c r="U35" s="12"/>
      <c r="V35" s="12"/>
      <c r="W35" s="12"/>
      <c r="X35" s="12"/>
      <c r="Y35" s="12"/>
      <c r="Z35" s="12"/>
      <c r="AA35" s="12"/>
      <c r="AB35" s="12"/>
      <c r="AC35" s="12"/>
      <c r="AE35" s="12"/>
      <c r="AF35" s="12"/>
      <c r="AG35" s="1302" t="str">
        <f t="shared" ref="AG35:AG43" si="2">LEFT($F64,4)</f>
        <v>1210</v>
      </c>
      <c r="AL35" s="1"/>
    </row>
    <row r="36" spans="1:38" ht="30" hidden="1" customHeight="1" x14ac:dyDescent="0.15">
      <c r="C36" s="1297"/>
      <c r="D36" s="1297"/>
      <c r="E36" s="1297"/>
      <c r="F36" s="1297"/>
      <c r="G36" s="1299"/>
      <c r="J36" s="1111"/>
      <c r="K36" s="12"/>
      <c r="L36" s="25">
        <v>6</v>
      </c>
      <c r="M36" s="12" t="str">
        <f t="shared" ref="M36:M53" si="3">CONCATENATE($F45,$G45)</f>
        <v>1010 -Other Cash in hand</v>
      </c>
      <c r="N36" s="12" t="str">
        <f>M36</f>
        <v>1010 -Other Cash in hand</v>
      </c>
      <c r="O36" s="80"/>
      <c r="P36" s="12"/>
      <c r="Q36" s="12"/>
      <c r="R36" s="80"/>
      <c r="S36" s="80"/>
      <c r="T36" s="12"/>
      <c r="U36" s="12"/>
      <c r="V36" s="12"/>
      <c r="W36" s="12"/>
      <c r="X36" s="12"/>
      <c r="Y36" s="12"/>
      <c r="Z36" s="12"/>
      <c r="AA36" s="12"/>
      <c r="AB36" s="12"/>
      <c r="AC36" s="12"/>
      <c r="AD36" s="12"/>
      <c r="AE36" s="12"/>
      <c r="AF36" s="12"/>
      <c r="AG36" s="1018" t="str">
        <f t="shared" si="2"/>
        <v>1220</v>
      </c>
      <c r="AL36" s="1"/>
    </row>
    <row r="37" spans="1:38" ht="30" hidden="1" customHeight="1" x14ac:dyDescent="0.15">
      <c r="B37" s="1083"/>
      <c r="C37" s="1083"/>
      <c r="D37" s="7"/>
      <c r="E37" s="7"/>
      <c r="F37" s="7"/>
      <c r="G37" s="1300"/>
      <c r="H37" s="1298"/>
      <c r="I37" s="1298"/>
      <c r="J37" s="1111"/>
      <c r="K37" s="12"/>
      <c r="L37" s="25">
        <v>8</v>
      </c>
      <c r="M37" s="12" t="str">
        <f t="shared" si="3"/>
        <v>1015 -Main Bank Account</v>
      </c>
      <c r="N37" s="12" t="str">
        <f t="shared" ref="N37:N80" si="4">M37</f>
        <v>1015 -Main Bank Account</v>
      </c>
      <c r="O37" s="80"/>
      <c r="P37" s="12"/>
      <c r="Q37" s="12"/>
      <c r="V37" s="12"/>
      <c r="W37" s="12"/>
      <c r="X37" s="12"/>
      <c r="Z37" s="12"/>
      <c r="AA37" s="12"/>
      <c r="AB37" s="12"/>
      <c r="AC37" s="12"/>
      <c r="AD37" s="12"/>
      <c r="AE37" s="12"/>
      <c r="AF37" s="12"/>
      <c r="AG37" s="1018" t="str">
        <f t="shared" si="2"/>
        <v>1230</v>
      </c>
      <c r="AL37" s="1"/>
    </row>
    <row r="38" spans="1:38" ht="30" hidden="1" customHeight="1" x14ac:dyDescent="0.15">
      <c r="B38" s="1083"/>
      <c r="C38" s="1083"/>
      <c r="D38" s="7"/>
      <c r="E38" s="7"/>
      <c r="F38" s="7"/>
      <c r="G38" s="1301"/>
      <c r="H38" s="1298"/>
      <c r="I38" s="1298"/>
      <c r="J38" s="1111"/>
      <c r="K38" s="12">
        <v>31</v>
      </c>
      <c r="L38" s="12" t="s">
        <v>29</v>
      </c>
      <c r="M38" s="12" t="str">
        <f t="shared" si="3"/>
        <v>1020 -Canteen</v>
      </c>
      <c r="N38" s="12" t="str">
        <f t="shared" si="4"/>
        <v>1020 -Canteen</v>
      </c>
      <c r="O38" s="12"/>
      <c r="P38" s="12"/>
      <c r="Q38" s="12"/>
      <c r="R38" s="12"/>
      <c r="S38" s="12"/>
      <c r="T38" s="12"/>
      <c r="U38" s="12"/>
      <c r="V38" s="12"/>
      <c r="W38" s="12"/>
      <c r="X38" s="12"/>
      <c r="Y38" s="12"/>
      <c r="Z38" s="12"/>
      <c r="AA38" s="12"/>
      <c r="AB38" s="12"/>
      <c r="AC38" s="12"/>
      <c r="AD38" s="12"/>
      <c r="AE38" s="12"/>
      <c r="AF38" s="12"/>
      <c r="AG38" s="1018" t="str">
        <f t="shared" si="2"/>
        <v>1240</v>
      </c>
    </row>
    <row r="39" spans="1:38" ht="1.5" customHeight="1" x14ac:dyDescent="0.15">
      <c r="B39" s="1083"/>
      <c r="C39" s="1083"/>
      <c r="D39" s="7"/>
      <c r="E39" s="7"/>
      <c r="F39" s="7"/>
      <c r="G39" s="1301"/>
      <c r="H39" s="1298"/>
      <c r="I39" s="1298"/>
      <c r="K39" s="12"/>
      <c r="L39" s="19"/>
      <c r="M39" s="12" t="str">
        <f t="shared" si="3"/>
        <v>1025 -Petty Cash</v>
      </c>
      <c r="N39" s="12" t="str">
        <f t="shared" si="4"/>
        <v>1025 -Petty Cash</v>
      </c>
      <c r="O39" s="12"/>
      <c r="P39" s="12" t="str">
        <f>CONCATENATE(F32," ",G32)</f>
        <v xml:space="preserve"> </v>
      </c>
      <c r="Q39" s="12"/>
      <c r="R39" s="12"/>
      <c r="S39" s="12"/>
      <c r="T39" s="12"/>
      <c r="U39" s="12"/>
      <c r="V39" s="12"/>
      <c r="W39" s="12"/>
      <c r="X39" s="12"/>
      <c r="Y39" s="12"/>
      <c r="Z39" s="12"/>
      <c r="AA39" s="12"/>
      <c r="AB39" s="12"/>
      <c r="AC39" s="12"/>
      <c r="AD39" s="12"/>
      <c r="AE39" s="12"/>
      <c r="AF39" s="12"/>
      <c r="AG39" s="1018" t="str">
        <f t="shared" si="2"/>
        <v>1250</v>
      </c>
    </row>
    <row r="40" spans="1:38" s="1" customFormat="1" ht="27" customHeight="1" thickBot="1" x14ac:dyDescent="0.2">
      <c r="B40" s="2"/>
      <c r="C40" s="2"/>
      <c r="D40" s="2"/>
      <c r="E40" s="2"/>
      <c r="F40" s="2"/>
      <c r="G40" s="2"/>
      <c r="H40" s="2"/>
      <c r="I40" s="2"/>
      <c r="J40" s="2"/>
      <c r="K40" s="12"/>
      <c r="L40" s="19">
        <f>IF(OR($G$32="June",$G32="Juin"),6,8)</f>
        <v>8</v>
      </c>
      <c r="M40" s="12" t="str">
        <f t="shared" si="3"/>
        <v>1030 -Receivables - Short Term</v>
      </c>
      <c r="N40" s="12" t="str">
        <f t="shared" si="4"/>
        <v>1030 -Receivables - Short Term</v>
      </c>
      <c r="O40" s="12"/>
      <c r="P40" s="12"/>
      <c r="Q40" s="12"/>
      <c r="R40" s="12"/>
      <c r="S40" s="12"/>
      <c r="T40" s="12"/>
      <c r="U40" s="12"/>
      <c r="V40" s="12"/>
      <c r="W40" s="12"/>
      <c r="X40" s="12"/>
      <c r="Y40" s="12"/>
      <c r="Z40" s="12"/>
      <c r="AA40" s="12"/>
      <c r="AB40" s="12"/>
      <c r="AC40" s="12"/>
      <c r="AD40" s="12"/>
      <c r="AE40" s="12"/>
      <c r="AF40" s="12"/>
      <c r="AG40" s="1018" t="str">
        <f t="shared" si="2"/>
        <v>1260</v>
      </c>
      <c r="AL40"/>
    </row>
    <row r="41" spans="1:38" s="2" customFormat="1" ht="30" customHeight="1" thickTop="1" thickBot="1" x14ac:dyDescent="0.2">
      <c r="A41" s="1"/>
      <c r="B41" s="1410" t="str">
        <f>IF(L10=2,"E-2 - Données de l'ACC9 de l`année précédente (Informations sur les comptes)","E-2 - Last Year's ACC9 Information (Informations on accounts)")</f>
        <v>E-2 - Last Year's ACC9 Information (Informations on accounts)</v>
      </c>
      <c r="C41" s="1411"/>
      <c r="D41" s="1411"/>
      <c r="E41" s="1411"/>
      <c r="F41" s="1411"/>
      <c r="G41" s="1411"/>
      <c r="H41" s="1411"/>
      <c r="I41" s="1411"/>
      <c r="J41" s="1412"/>
      <c r="K41" s="20"/>
      <c r="L41" s="24" t="s">
        <v>30</v>
      </c>
      <c r="M41" s="12" t="str">
        <f t="shared" si="3"/>
        <v>1035 -Disponible ~ Available</v>
      </c>
      <c r="N41" s="12" t="str">
        <f t="shared" si="4"/>
        <v>1035 -Disponible ~ Available</v>
      </c>
      <c r="O41" s="20"/>
      <c r="P41" s="20"/>
      <c r="Q41" s="20"/>
      <c r="R41" s="1025">
        <f>G36</f>
        <v>0</v>
      </c>
      <c r="S41" s="20"/>
      <c r="T41" s="20"/>
      <c r="U41" s="20"/>
      <c r="V41" s="20"/>
      <c r="W41" s="20"/>
      <c r="X41" s="12"/>
      <c r="Y41" s="20"/>
      <c r="Z41" s="20"/>
      <c r="AA41" s="20"/>
      <c r="AB41" s="20"/>
      <c r="AC41" s="20"/>
      <c r="AD41" s="20"/>
      <c r="AE41" s="20"/>
      <c r="AF41" s="20"/>
      <c r="AG41" s="1018" t="str">
        <f t="shared" si="2"/>
        <v>1270</v>
      </c>
    </row>
    <row r="42" spans="1:38" s="2" customFormat="1" ht="27" customHeight="1" thickTop="1" x14ac:dyDescent="0.15">
      <c r="A42" s="1"/>
      <c r="K42" s="20"/>
      <c r="L42" s="24" t="s">
        <v>31</v>
      </c>
      <c r="M42" s="12" t="str">
        <f t="shared" si="3"/>
        <v>1040 -Disponible ~ Available</v>
      </c>
      <c r="N42" s="12" t="str">
        <f t="shared" si="4"/>
        <v>1040 -Disponible ~ Available</v>
      </c>
      <c r="O42" s="20"/>
      <c r="P42" s="20"/>
      <c r="Q42" s="20"/>
      <c r="R42" s="20"/>
      <c r="S42" s="20"/>
      <c r="T42" s="20"/>
      <c r="U42" s="20"/>
      <c r="V42" s="20"/>
      <c r="W42" s="20"/>
      <c r="X42" s="12"/>
      <c r="Y42" s="20"/>
      <c r="Z42" s="20"/>
      <c r="AA42" s="20"/>
      <c r="AB42" s="20"/>
      <c r="AC42" s="20"/>
      <c r="AD42" s="20"/>
      <c r="AE42" s="20"/>
      <c r="AF42" s="20"/>
      <c r="AG42" s="1018" t="str">
        <f t="shared" si="2"/>
        <v>1280</v>
      </c>
    </row>
    <row r="43" spans="1:38" s="2" customFormat="1" ht="27" customHeight="1" x14ac:dyDescent="0.15">
      <c r="A43" s="1"/>
      <c r="B43" s="1"/>
      <c r="C43" s="1026"/>
      <c r="D43" s="1027"/>
      <c r="E43" s="1028"/>
      <c r="F43" s="1399" t="str">
        <f>IF(L10=2,"Comptes d'actif","Asset Accounts")</f>
        <v>Asset Accounts</v>
      </c>
      <c r="G43" s="1399"/>
      <c r="H43" s="1399"/>
      <c r="I43" s="1400"/>
      <c r="J43" s="1"/>
      <c r="K43" s="20"/>
      <c r="L43" s="27"/>
      <c r="M43" s="12" t="str">
        <f t="shared" si="3"/>
        <v>1045 -Disponible ~ Available</v>
      </c>
      <c r="N43" s="12" t="str">
        <f t="shared" si="4"/>
        <v>1045 -Disponible ~ Available</v>
      </c>
      <c r="O43" s="20"/>
      <c r="P43" s="20"/>
      <c r="Q43" s="20"/>
      <c r="R43" s="20"/>
      <c r="S43" s="1029">
        <f>G98-G99-G100-G101-G102</f>
        <v>0</v>
      </c>
      <c r="T43" s="20"/>
      <c r="U43" s="20"/>
      <c r="V43" s="20"/>
      <c r="W43" s="20"/>
      <c r="X43" s="12"/>
      <c r="Y43" s="20"/>
      <c r="Z43" s="20"/>
      <c r="AA43" s="20"/>
      <c r="AB43" s="20"/>
      <c r="AC43" s="20"/>
      <c r="AD43" s="20"/>
      <c r="AE43" s="20"/>
      <c r="AF43" s="20"/>
      <c r="AG43" s="1018" t="str">
        <f t="shared" si="2"/>
        <v>1290</v>
      </c>
    </row>
    <row r="44" spans="1:38" ht="27" customHeight="1" thickBot="1" x14ac:dyDescent="0.2">
      <c r="C44" s="1102"/>
      <c r="D44" s="1099" t="str">
        <f>IF($L$10=2,"Soldes à l'ouverture","Opening Balances")</f>
        <v>Opening Balances</v>
      </c>
      <c r="E44" s="1101"/>
      <c r="F44" s="1401"/>
      <c r="G44" s="1401"/>
      <c r="H44" s="1401"/>
      <c r="I44" s="1402"/>
      <c r="K44" s="12"/>
      <c r="L44" s="19"/>
      <c r="M44" s="12" t="str">
        <f t="shared" si="3"/>
        <v>1050 -Disponible ~ Available</v>
      </c>
      <c r="N44" s="12" t="str">
        <f t="shared" si="4"/>
        <v>1050 -Disponible ~ Available</v>
      </c>
      <c r="O44" s="12"/>
      <c r="P44" s="12"/>
      <c r="Q44" s="12"/>
      <c r="R44" s="12"/>
      <c r="S44" s="12"/>
      <c r="T44" s="12"/>
      <c r="U44" s="12"/>
      <c r="V44" s="12"/>
      <c r="W44" s="12"/>
      <c r="X44" s="12"/>
      <c r="Y44" s="12"/>
      <c r="Z44" s="12"/>
      <c r="AA44" s="12"/>
      <c r="AB44" s="12"/>
      <c r="AC44" s="12"/>
      <c r="AD44" s="12"/>
      <c r="AE44" s="12"/>
      <c r="AF44" s="12"/>
      <c r="AG44" s="1018" t="str">
        <f t="shared" ref="AG44:AG52" si="5">LEFT($F76,4)</f>
        <v>2010</v>
      </c>
    </row>
    <row r="45" spans="1:38" ht="30" customHeight="1" thickTop="1" x14ac:dyDescent="0.15">
      <c r="C45" s="1430" t="str">
        <f>IF(L10=2,"Actif à court terme","Current Assets")</f>
        <v>Current Assets</v>
      </c>
      <c r="D45" s="1092"/>
      <c r="F45" s="1066" t="s">
        <v>533</v>
      </c>
      <c r="G45" s="1403" t="str">
        <f>IF(L10=2,"Autres argents en main","Other Cash in hand")</f>
        <v>Other Cash in hand</v>
      </c>
      <c r="H45" s="1403"/>
      <c r="I45" s="1403"/>
      <c r="K45" s="12"/>
      <c r="L45" s="19"/>
      <c r="M45" s="12" t="str">
        <f t="shared" si="3"/>
        <v>1055 -Disponible ~ Available</v>
      </c>
      <c r="N45" s="12" t="str">
        <f t="shared" si="4"/>
        <v>1055 -Disponible ~ Available</v>
      </c>
      <c r="O45" s="12"/>
      <c r="P45" s="12"/>
      <c r="Q45" s="12"/>
      <c r="R45" s="12"/>
      <c r="S45" s="12"/>
      <c r="T45" s="12"/>
      <c r="U45" s="12"/>
      <c r="V45" s="12"/>
      <c r="W45" s="12"/>
      <c r="X45" s="12"/>
      <c r="Y45" s="12"/>
      <c r="Z45" s="12"/>
      <c r="AA45" s="12"/>
      <c r="AB45" s="12"/>
      <c r="AC45" s="12"/>
      <c r="AD45" s="12"/>
      <c r="AE45" s="12"/>
      <c r="AF45" s="12"/>
      <c r="AG45" s="1018" t="str">
        <f t="shared" si="5"/>
        <v>2020</v>
      </c>
    </row>
    <row r="46" spans="1:38" ht="30" customHeight="1" x14ac:dyDescent="0.15">
      <c r="C46" s="1430"/>
      <c r="D46" s="1093"/>
      <c r="E46" s="9"/>
      <c r="F46" s="1066" t="s">
        <v>493</v>
      </c>
      <c r="G46" s="1403" t="str">
        <f>IF(L10=2,"Compte bancaire principal","Main Bank Account")</f>
        <v>Main Bank Account</v>
      </c>
      <c r="H46" s="1403"/>
      <c r="I46" s="1403"/>
      <c r="K46" s="12"/>
      <c r="L46" s="19"/>
      <c r="M46" s="12" t="str">
        <f t="shared" si="3"/>
        <v>1060 -Disponible ~ Available</v>
      </c>
      <c r="N46" s="12" t="str">
        <f t="shared" si="4"/>
        <v>1060 -Disponible ~ Available</v>
      </c>
      <c r="O46" s="12"/>
      <c r="P46" s="12"/>
      <c r="Q46" s="12"/>
      <c r="R46" s="12"/>
      <c r="S46" s="12"/>
      <c r="T46" s="12"/>
      <c r="U46" s="12"/>
      <c r="V46" s="12"/>
      <c r="W46" s="12"/>
      <c r="X46" s="12"/>
      <c r="Y46" s="12"/>
      <c r="Z46" s="12"/>
      <c r="AA46" s="12"/>
      <c r="AB46" s="12"/>
      <c r="AC46" s="12"/>
      <c r="AD46" s="12"/>
      <c r="AE46" s="12"/>
      <c r="AF46" s="12"/>
      <c r="AG46" s="1018" t="str">
        <f t="shared" si="5"/>
        <v>2030</v>
      </c>
    </row>
    <row r="47" spans="1:38" ht="30" customHeight="1" x14ac:dyDescent="0.15">
      <c r="C47" s="1430"/>
      <c r="D47" s="1094"/>
      <c r="E47" s="9"/>
      <c r="F47" s="1066" t="s">
        <v>494</v>
      </c>
      <c r="G47" s="1403" t="str">
        <f>IF(L10=2,"Cantine","Canteen")</f>
        <v>Canteen</v>
      </c>
      <c r="H47" s="1403"/>
      <c r="I47" s="1403"/>
      <c r="K47" s="296" t="str">
        <f>LOOKUP(H125,R20:S37)</f>
        <v>Y</v>
      </c>
      <c r="M47" s="12" t="str">
        <f t="shared" si="3"/>
        <v>1065 -Disponible ~ Available</v>
      </c>
      <c r="N47" s="12" t="str">
        <f t="shared" si="4"/>
        <v>1065 -Disponible ~ Available</v>
      </c>
      <c r="O47" s="12"/>
      <c r="P47" s="12"/>
      <c r="Q47" s="25" t="s">
        <v>32</v>
      </c>
      <c r="R47" s="12"/>
      <c r="S47" s="12"/>
      <c r="T47" s="12"/>
      <c r="U47" s="12"/>
      <c r="V47" s="12"/>
      <c r="W47" s="12"/>
      <c r="X47" s="12"/>
      <c r="Y47" s="12"/>
      <c r="Z47" s="12"/>
      <c r="AA47" s="12"/>
      <c r="AB47" s="12"/>
      <c r="AC47" s="12"/>
      <c r="AD47" s="12"/>
      <c r="AE47" s="12"/>
      <c r="AF47" s="12"/>
      <c r="AG47" s="1018" t="str">
        <f t="shared" si="5"/>
        <v>2040</v>
      </c>
    </row>
    <row r="48" spans="1:38" ht="30" customHeight="1" x14ac:dyDescent="0.15">
      <c r="C48" s="1430"/>
      <c r="D48" s="1093"/>
      <c r="E48" s="9"/>
      <c r="F48" s="1066" t="s">
        <v>495</v>
      </c>
      <c r="G48" s="1403" t="str">
        <f>IF($L$10=2,"Petite caisse","Petty Cash")</f>
        <v>Petty Cash</v>
      </c>
      <c r="H48" s="1403"/>
      <c r="I48" s="1403"/>
      <c r="K48" s="296"/>
      <c r="M48" s="12" t="str">
        <f t="shared" si="3"/>
        <v>1070 -Disponible ~ Available</v>
      </c>
      <c r="N48" s="12" t="str">
        <f t="shared" si="4"/>
        <v>1070 -Disponible ~ Available</v>
      </c>
      <c r="O48" s="12"/>
      <c r="P48" s="12"/>
      <c r="Q48" s="25" t="s">
        <v>33</v>
      </c>
      <c r="R48" s="12"/>
      <c r="S48" s="12"/>
      <c r="T48" s="12"/>
      <c r="U48" s="12"/>
      <c r="V48" s="12"/>
      <c r="W48" s="12"/>
      <c r="X48" s="12"/>
      <c r="Y48" s="12"/>
      <c r="Z48" s="12"/>
      <c r="AA48" s="12"/>
      <c r="AB48" s="12"/>
      <c r="AC48" s="12"/>
      <c r="AD48" s="12"/>
      <c r="AE48" s="12"/>
      <c r="AF48" s="12"/>
      <c r="AG48" s="1018" t="str">
        <f t="shared" si="5"/>
        <v>2050</v>
      </c>
    </row>
    <row r="49" spans="1:38" ht="30" customHeight="1" x14ac:dyDescent="0.15">
      <c r="C49" s="1430"/>
      <c r="D49" s="1093"/>
      <c r="E49" s="9"/>
      <c r="F49" s="1067" t="s">
        <v>496</v>
      </c>
      <c r="G49" s="1403" t="str">
        <f>IF(L10=2,"Comptes à recevoir - Court terme","Receivables - Short Term")</f>
        <v>Receivables - Short Term</v>
      </c>
      <c r="H49" s="1403"/>
      <c r="I49" s="1403"/>
      <c r="K49" s="12"/>
      <c r="M49" s="12" t="str">
        <f t="shared" si="3"/>
        <v>1075 -Disponible ~ Available</v>
      </c>
      <c r="N49" s="12" t="str">
        <f t="shared" si="4"/>
        <v>1075 -Disponible ~ Available</v>
      </c>
      <c r="O49" s="12"/>
      <c r="P49" s="12"/>
      <c r="Q49" s="25" t="s">
        <v>34</v>
      </c>
      <c r="R49" s="12"/>
      <c r="S49" s="12"/>
      <c r="T49" s="12"/>
      <c r="U49" s="12"/>
      <c r="V49" s="12"/>
      <c r="W49" s="12"/>
      <c r="X49" s="12"/>
      <c r="Y49" s="12"/>
      <c r="Z49" s="12"/>
      <c r="AA49" s="12"/>
      <c r="AB49" s="12"/>
      <c r="AC49" s="12"/>
      <c r="AD49" s="12"/>
      <c r="AE49" s="12"/>
      <c r="AF49" s="12"/>
      <c r="AG49" s="1018" t="str">
        <f t="shared" si="5"/>
        <v>2060</v>
      </c>
      <c r="AL49" s="1"/>
    </row>
    <row r="50" spans="1:38" ht="30" customHeight="1" x14ac:dyDescent="0.15">
      <c r="C50" s="1430"/>
      <c r="D50" s="1093"/>
      <c r="E50" s="9"/>
      <c r="F50" s="1067" t="s">
        <v>497</v>
      </c>
      <c r="G50" s="1332" t="s">
        <v>540</v>
      </c>
      <c r="H50" s="1332"/>
      <c r="I50" s="1332"/>
      <c r="K50" s="12"/>
      <c r="M50" s="12" t="str">
        <f t="shared" si="3"/>
        <v>1080 -Disponible ~ Available</v>
      </c>
      <c r="N50" s="12" t="str">
        <f t="shared" si="4"/>
        <v>1080 -Disponible ~ Available</v>
      </c>
      <c r="O50" s="12"/>
      <c r="P50" s="12"/>
      <c r="Q50" s="25" t="s">
        <v>35</v>
      </c>
      <c r="R50" s="12"/>
      <c r="S50" s="12"/>
      <c r="T50" s="12"/>
      <c r="U50" s="12"/>
      <c r="V50" s="12"/>
      <c r="W50" s="12"/>
      <c r="X50" s="12"/>
      <c r="Y50" s="12"/>
      <c r="Z50" s="12"/>
      <c r="AA50" s="12"/>
      <c r="AB50" s="12"/>
      <c r="AC50" s="12"/>
      <c r="AD50" s="12"/>
      <c r="AE50" s="12"/>
      <c r="AF50" s="12"/>
      <c r="AG50" s="1018" t="str">
        <f t="shared" si="5"/>
        <v>2070</v>
      </c>
      <c r="AL50" s="1"/>
    </row>
    <row r="51" spans="1:38" ht="30" customHeight="1" x14ac:dyDescent="0.15">
      <c r="C51" s="1430"/>
      <c r="D51" s="1093"/>
      <c r="E51" s="9"/>
      <c r="F51" s="1067" t="s">
        <v>498</v>
      </c>
      <c r="G51" s="1332" t="s">
        <v>540</v>
      </c>
      <c r="H51" s="1332"/>
      <c r="I51" s="1332"/>
      <c r="M51" s="12" t="str">
        <f t="shared" si="3"/>
        <v>1085 -Disponible ~ Available</v>
      </c>
      <c r="N51" s="12" t="str">
        <f t="shared" si="4"/>
        <v>1085 -Disponible ~ Available</v>
      </c>
      <c r="X51" s="12"/>
      <c r="AG51" s="1018" t="str">
        <f t="shared" si="5"/>
        <v>2080</v>
      </c>
      <c r="AL51" s="1"/>
    </row>
    <row r="52" spans="1:38" ht="30" customHeight="1" x14ac:dyDescent="0.15">
      <c r="C52" s="1430"/>
      <c r="D52" s="1093"/>
      <c r="E52" s="9"/>
      <c r="F52" s="1067" t="s">
        <v>499</v>
      </c>
      <c r="G52" s="1332" t="s">
        <v>540</v>
      </c>
      <c r="H52" s="1332"/>
      <c r="I52" s="1332"/>
      <c r="M52" s="12" t="str">
        <f t="shared" si="3"/>
        <v>1090 -Disponible ~ Available</v>
      </c>
      <c r="N52" s="12" t="str">
        <f t="shared" si="4"/>
        <v>1090 -Disponible ~ Available</v>
      </c>
      <c r="AG52" s="1018" t="str">
        <f t="shared" si="5"/>
        <v>2090</v>
      </c>
    </row>
    <row r="53" spans="1:38" ht="30" customHeight="1" x14ac:dyDescent="0.15">
      <c r="C53" s="1430"/>
      <c r="D53" s="1093"/>
      <c r="E53" s="9"/>
      <c r="F53" s="1067" t="s">
        <v>500</v>
      </c>
      <c r="G53" s="1332" t="s">
        <v>540</v>
      </c>
      <c r="H53" s="1332"/>
      <c r="I53" s="1332"/>
      <c r="M53" s="12" t="str">
        <f t="shared" si="3"/>
        <v>1095 -Disponible ~ Available</v>
      </c>
      <c r="N53" s="12" t="str">
        <f t="shared" si="4"/>
        <v>1095 -Disponible ~ Available</v>
      </c>
      <c r="AG53" s="1018" t="str">
        <f t="shared" ref="AG53:AG61" si="6">LEFT($F86,4)</f>
        <v>2210</v>
      </c>
    </row>
    <row r="54" spans="1:38" ht="30" customHeight="1" x14ac:dyDescent="0.15">
      <c r="C54" s="1430"/>
      <c r="D54" s="1093"/>
      <c r="F54" s="1067" t="s">
        <v>501</v>
      </c>
      <c r="G54" s="1332" t="s">
        <v>540</v>
      </c>
      <c r="H54" s="1332"/>
      <c r="I54" s="1332"/>
      <c r="L54" s="1"/>
      <c r="M54" s="12" t="str">
        <f t="shared" ref="M54:M62" si="7">CONCATENATE($F64,$G64)</f>
        <v>1210 -Investments GICs</v>
      </c>
      <c r="N54" s="12" t="str">
        <f t="shared" si="4"/>
        <v>1210 -Investments GICs</v>
      </c>
      <c r="AG54" s="1018" t="str">
        <f t="shared" si="6"/>
        <v>2220</v>
      </c>
    </row>
    <row r="55" spans="1:38" ht="30" customHeight="1" x14ac:dyDescent="0.15">
      <c r="C55" s="1430"/>
      <c r="D55" s="1093"/>
      <c r="F55" s="1067" t="s">
        <v>502</v>
      </c>
      <c r="G55" s="1332" t="s">
        <v>540</v>
      </c>
      <c r="H55" s="1332"/>
      <c r="I55" s="1332"/>
      <c r="L55" s="1"/>
      <c r="M55" s="12" t="str">
        <f t="shared" si="7"/>
        <v>1220 -Investments (Mutual Funds and such)</v>
      </c>
      <c r="N55" s="12" t="str">
        <f t="shared" si="4"/>
        <v>1220 -Investments (Mutual Funds and such)</v>
      </c>
      <c r="AG55" s="1018" t="str">
        <f t="shared" si="6"/>
        <v>2230</v>
      </c>
      <c r="AL55" s="1"/>
    </row>
    <row r="56" spans="1:38" ht="30" customHeight="1" x14ac:dyDescent="0.15">
      <c r="C56" s="1430"/>
      <c r="D56" s="1093"/>
      <c r="F56" s="1067" t="s">
        <v>503</v>
      </c>
      <c r="G56" s="1332" t="s">
        <v>540</v>
      </c>
      <c r="H56" s="1332"/>
      <c r="I56" s="1332"/>
      <c r="M56" s="12" t="str">
        <f t="shared" si="7"/>
        <v>1230 -Disponible ~ Available</v>
      </c>
      <c r="N56" s="12" t="str">
        <f t="shared" si="4"/>
        <v>1230 -Disponible ~ Available</v>
      </c>
      <c r="AG56" s="1018" t="str">
        <f t="shared" si="6"/>
        <v>2240</v>
      </c>
    </row>
    <row r="57" spans="1:38" ht="30" customHeight="1" x14ac:dyDescent="0.15">
      <c r="C57" s="1430"/>
      <c r="D57" s="1093"/>
      <c r="F57" s="1067" t="s">
        <v>504</v>
      </c>
      <c r="G57" s="1332" t="s">
        <v>540</v>
      </c>
      <c r="H57" s="1332"/>
      <c r="I57" s="1332"/>
      <c r="M57" s="12" t="str">
        <f t="shared" si="7"/>
        <v>1240 -Disponible ~ Available</v>
      </c>
      <c r="N57" s="12" t="str">
        <f t="shared" si="4"/>
        <v>1240 -Disponible ~ Available</v>
      </c>
      <c r="T57" s="12"/>
      <c r="AG57" s="1018" t="str">
        <f t="shared" si="6"/>
        <v>2250</v>
      </c>
    </row>
    <row r="58" spans="1:38" ht="30" customHeight="1" x14ac:dyDescent="0.15">
      <c r="C58" s="1430"/>
      <c r="D58" s="1093"/>
      <c r="F58" s="1067" t="s">
        <v>505</v>
      </c>
      <c r="G58" s="1332" t="s">
        <v>540</v>
      </c>
      <c r="H58" s="1332"/>
      <c r="I58" s="1332"/>
      <c r="K58" s="1" t="str">
        <f>LEFT(J109,4)</f>
        <v/>
      </c>
      <c r="M58" s="12" t="str">
        <f t="shared" si="7"/>
        <v>1250 -Disponible ~ Available</v>
      </c>
      <c r="N58" s="12" t="str">
        <f t="shared" si="4"/>
        <v>1250 -Disponible ~ Available</v>
      </c>
      <c r="T58" s="12"/>
      <c r="AG58" s="1018" t="str">
        <f t="shared" si="6"/>
        <v>2260</v>
      </c>
    </row>
    <row r="59" spans="1:38" ht="30" customHeight="1" x14ac:dyDescent="0.15">
      <c r="C59" s="1430"/>
      <c r="D59" s="1093"/>
      <c r="F59" s="1067" t="s">
        <v>419</v>
      </c>
      <c r="G59" s="1332" t="s">
        <v>540</v>
      </c>
      <c r="H59" s="1332"/>
      <c r="I59" s="1332"/>
      <c r="K59" s="1" t="str">
        <f>LEFT(J110,4)</f>
        <v/>
      </c>
      <c r="M59" s="12" t="str">
        <f t="shared" si="7"/>
        <v>1260 -Disponible ~ Available</v>
      </c>
      <c r="N59" s="12" t="str">
        <f t="shared" si="4"/>
        <v>1260 -Disponible ~ Available</v>
      </c>
      <c r="AG59" s="1018" t="str">
        <f t="shared" si="6"/>
        <v>2270</v>
      </c>
    </row>
    <row r="60" spans="1:38" ht="30" customHeight="1" x14ac:dyDescent="0.15">
      <c r="C60" s="1430"/>
      <c r="D60" s="1093"/>
      <c r="F60" s="1067" t="s">
        <v>506</v>
      </c>
      <c r="G60" s="1332" t="s">
        <v>540</v>
      </c>
      <c r="H60" s="1332"/>
      <c r="I60" s="1332"/>
      <c r="K60" s="1" t="str">
        <f>LEFT(J118,4)</f>
        <v/>
      </c>
      <c r="M60" s="12" t="str">
        <f t="shared" si="7"/>
        <v>1270 -Disponible ~ Available</v>
      </c>
      <c r="N60" s="12" t="str">
        <f t="shared" si="4"/>
        <v>1270 -Disponible ~ Available</v>
      </c>
      <c r="AG60" s="1018" t="str">
        <f t="shared" si="6"/>
        <v>2280</v>
      </c>
    </row>
    <row r="61" spans="1:38" ht="30" customHeight="1" x14ac:dyDescent="0.15">
      <c r="C61" s="1430"/>
      <c r="D61" s="1093"/>
      <c r="F61" s="1067" t="s">
        <v>420</v>
      </c>
      <c r="G61" s="1332" t="s">
        <v>540</v>
      </c>
      <c r="H61" s="1332"/>
      <c r="I61" s="1332"/>
      <c r="M61" s="12" t="str">
        <f t="shared" si="7"/>
        <v>1280 -Disponible ~ Available</v>
      </c>
      <c r="N61" s="12" t="str">
        <f t="shared" si="4"/>
        <v>1280 -Disponible ~ Available</v>
      </c>
      <c r="AG61" s="1030" t="str">
        <f t="shared" si="6"/>
        <v>2290</v>
      </c>
    </row>
    <row r="62" spans="1:38" ht="30" customHeight="1" x14ac:dyDescent="0.15">
      <c r="A62" s="2"/>
      <c r="C62" s="1430"/>
      <c r="D62" s="1093"/>
      <c r="F62" s="1067" t="s">
        <v>507</v>
      </c>
      <c r="G62" s="1332" t="s">
        <v>540</v>
      </c>
      <c r="H62" s="1332"/>
      <c r="I62" s="1332"/>
      <c r="M62" s="12" t="str">
        <f t="shared" si="7"/>
        <v>1290 -Disponible ~ Available</v>
      </c>
      <c r="N62" s="12" t="str">
        <f t="shared" si="4"/>
        <v>1290 -Disponible ~ Available</v>
      </c>
      <c r="AG62" s="775"/>
    </row>
    <row r="63" spans="1:38" ht="27" customHeight="1" x14ac:dyDescent="0.15">
      <c r="A63" s="2"/>
      <c r="C63" s="1102"/>
      <c r="D63" s="1099" t="str">
        <f>IF($L$10=2,"Soldes à l'ouverture","Opening Balances")</f>
        <v>Opening Balances</v>
      </c>
      <c r="E63" s="1031"/>
      <c r="F63" s="1401"/>
      <c r="G63" s="1401"/>
      <c r="H63" s="1401"/>
      <c r="I63" s="1402"/>
      <c r="M63" s="12" t="str">
        <f t="shared" ref="M63:M71" si="8">CONCATENATE($F76,$G76)</f>
        <v>2010 -Credit Card</v>
      </c>
      <c r="N63" s="12" t="str">
        <f t="shared" si="4"/>
        <v>2010 -Credit Card</v>
      </c>
      <c r="AG63" s="775"/>
    </row>
    <row r="64" spans="1:38" ht="30" customHeight="1" x14ac:dyDescent="0.15">
      <c r="A64" s="2"/>
      <c r="C64" s="1431" t="str">
        <f>IF(L10=2,"Actif à long terme","Long-Term Assets")</f>
        <v>Long-Term Assets</v>
      </c>
      <c r="D64" s="1095"/>
      <c r="E64" s="9"/>
      <c r="F64" s="1067" t="s">
        <v>529</v>
      </c>
      <c r="G64" s="1353" t="str">
        <f>IF(L10=2,"Investissements CPG","Investments GICs")</f>
        <v>Investments GICs</v>
      </c>
      <c r="H64" s="1353"/>
      <c r="I64" s="1353"/>
      <c r="M64" s="12" t="str">
        <f t="shared" si="8"/>
        <v>2020 -Payables - Short Terms</v>
      </c>
      <c r="N64" s="12" t="str">
        <f t="shared" si="4"/>
        <v>2020 -Payables - Short Terms</v>
      </c>
      <c r="AG64" s="775"/>
    </row>
    <row r="65" spans="3:38" ht="30" customHeight="1" x14ac:dyDescent="0.15">
      <c r="C65" s="1431"/>
      <c r="D65" s="1093"/>
      <c r="E65" s="9"/>
      <c r="F65" s="1067" t="s">
        <v>530</v>
      </c>
      <c r="G65" s="1353" t="str">
        <f>IF(L10=2,"Investissements (Fonds mutuels et autres)","Investments (Mutual Funds and such)")</f>
        <v>Investments (Mutual Funds and such)</v>
      </c>
      <c r="H65" s="1353"/>
      <c r="I65" s="1353"/>
      <c r="M65" s="12" t="str">
        <f t="shared" si="8"/>
        <v>2030 -Disponible ~ Available</v>
      </c>
      <c r="N65" s="12" t="str">
        <f t="shared" si="4"/>
        <v>2030 -Disponible ~ Available</v>
      </c>
    </row>
    <row r="66" spans="3:38" ht="30" customHeight="1" x14ac:dyDescent="0.15">
      <c r="C66" s="1431"/>
      <c r="D66" s="1093"/>
      <c r="E66" s="9"/>
      <c r="F66" s="1067" t="s">
        <v>531</v>
      </c>
      <c r="G66" s="1332" t="s">
        <v>540</v>
      </c>
      <c r="H66" s="1332"/>
      <c r="I66" s="1332"/>
      <c r="M66" s="12" t="str">
        <f t="shared" si="8"/>
        <v>2040 -Disponible ~ Available</v>
      </c>
      <c r="N66" s="12" t="str">
        <f t="shared" si="4"/>
        <v>2040 -Disponible ~ Available</v>
      </c>
      <c r="S66" s="502"/>
      <c r="T66" s="603"/>
    </row>
    <row r="67" spans="3:38" ht="30" customHeight="1" x14ac:dyDescent="0.15">
      <c r="C67" s="1431"/>
      <c r="D67" s="1096"/>
      <c r="E67" s="9"/>
      <c r="F67" s="1067" t="s">
        <v>532</v>
      </c>
      <c r="G67" s="1332" t="s">
        <v>540</v>
      </c>
      <c r="H67" s="1332"/>
      <c r="I67" s="1332"/>
      <c r="M67" s="12" t="str">
        <f t="shared" si="8"/>
        <v>2050 -Disponible ~ Available</v>
      </c>
      <c r="N67" s="12" t="str">
        <f t="shared" si="4"/>
        <v>2050 -Disponible ~ Available</v>
      </c>
      <c r="S67" s="502"/>
      <c r="T67" s="603"/>
      <c r="U67" s="603"/>
      <c r="V67" s="603"/>
    </row>
    <row r="68" spans="3:38" ht="30" customHeight="1" x14ac:dyDescent="0.15">
      <c r="C68" s="1431"/>
      <c r="D68" s="1096"/>
      <c r="E68" s="9"/>
      <c r="F68" s="1067" t="s">
        <v>421</v>
      </c>
      <c r="G68" s="1332" t="s">
        <v>540</v>
      </c>
      <c r="H68" s="1332"/>
      <c r="I68" s="1332"/>
      <c r="M68" s="12" t="str">
        <f t="shared" si="8"/>
        <v>2060 -Disponible ~ Available</v>
      </c>
      <c r="N68" s="12" t="str">
        <f t="shared" si="4"/>
        <v>2060 -Disponible ~ Available</v>
      </c>
      <c r="S68" s="502"/>
      <c r="T68" s="603"/>
      <c r="U68" s="603"/>
      <c r="V68" s="603"/>
    </row>
    <row r="69" spans="3:38" ht="30" customHeight="1" x14ac:dyDescent="0.15">
      <c r="C69" s="1431"/>
      <c r="D69" s="1096"/>
      <c r="E69" s="9"/>
      <c r="F69" s="1067" t="s">
        <v>422</v>
      </c>
      <c r="G69" s="1332" t="s">
        <v>540</v>
      </c>
      <c r="H69" s="1332"/>
      <c r="I69" s="1332"/>
      <c r="M69" s="12" t="str">
        <f t="shared" si="8"/>
        <v>2070 -Disponible ~ Available</v>
      </c>
      <c r="N69" s="12" t="str">
        <f t="shared" si="4"/>
        <v>2070 -Disponible ~ Available</v>
      </c>
      <c r="S69" s="502"/>
      <c r="T69" s="603"/>
      <c r="U69" s="603"/>
      <c r="V69" s="603"/>
    </row>
    <row r="70" spans="3:38" ht="30" customHeight="1" x14ac:dyDescent="0.15">
      <c r="C70" s="1431"/>
      <c r="D70" s="1096"/>
      <c r="E70" s="9"/>
      <c r="F70" s="1067" t="s">
        <v>423</v>
      </c>
      <c r="G70" s="1332" t="s">
        <v>540</v>
      </c>
      <c r="H70" s="1332"/>
      <c r="I70" s="1332"/>
      <c r="M70" s="12" t="str">
        <f t="shared" si="8"/>
        <v>2080 -Disponible ~ Available</v>
      </c>
      <c r="N70" s="12" t="str">
        <f t="shared" si="4"/>
        <v>2080 -Disponible ~ Available</v>
      </c>
      <c r="S70" s="502"/>
      <c r="T70" s="603"/>
      <c r="U70" s="603"/>
      <c r="V70" s="603"/>
    </row>
    <row r="71" spans="3:38" ht="30" customHeight="1" x14ac:dyDescent="0.15">
      <c r="C71" s="1431"/>
      <c r="D71" s="1096"/>
      <c r="E71" s="9"/>
      <c r="F71" s="1067" t="s">
        <v>424</v>
      </c>
      <c r="G71" s="1332" t="s">
        <v>540</v>
      </c>
      <c r="H71" s="1332"/>
      <c r="I71" s="1332"/>
      <c r="M71" s="12" t="str">
        <f t="shared" si="8"/>
        <v>2090 -Disponible ~ Available</v>
      </c>
      <c r="N71" s="12" t="str">
        <f t="shared" si="4"/>
        <v>2090 -Disponible ~ Available</v>
      </c>
      <c r="S71" s="502"/>
      <c r="T71" s="603"/>
      <c r="U71" s="603"/>
      <c r="V71" s="603"/>
    </row>
    <row r="72" spans="3:38" ht="30" customHeight="1" x14ac:dyDescent="0.15">
      <c r="C72" s="1431"/>
      <c r="D72" s="1096"/>
      <c r="E72" s="9"/>
      <c r="F72" s="1067" t="s">
        <v>425</v>
      </c>
      <c r="G72" s="1332" t="s">
        <v>540</v>
      </c>
      <c r="H72" s="1332"/>
      <c r="I72" s="1332"/>
      <c r="M72" s="12" t="str">
        <f t="shared" ref="M72:M80" si="9">CONCATENATE($F86,$G86)</f>
        <v>2210 -Mortgage</v>
      </c>
      <c r="N72" s="12" t="str">
        <f t="shared" si="4"/>
        <v>2210 -Mortgage</v>
      </c>
      <c r="S72" s="502"/>
      <c r="T72" s="603"/>
      <c r="U72" s="603"/>
      <c r="V72" s="603"/>
    </row>
    <row r="73" spans="3:38" ht="16" x14ac:dyDescent="0.15">
      <c r="C73" s="1329"/>
      <c r="D73" s="1330"/>
      <c r="E73" s="1330"/>
      <c r="F73" s="1330"/>
      <c r="G73" s="1330"/>
      <c r="H73" s="1330"/>
      <c r="I73" s="1331"/>
      <c r="M73" s="12" t="str">
        <f t="shared" si="9"/>
        <v>2220 -Bank Loan</v>
      </c>
      <c r="N73" s="12" t="str">
        <f t="shared" si="4"/>
        <v>2220 -Bank Loan</v>
      </c>
      <c r="S73" s="502"/>
      <c r="T73" s="603"/>
      <c r="U73" s="603"/>
      <c r="V73" s="603"/>
    </row>
    <row r="74" spans="3:38" ht="27" customHeight="1" x14ac:dyDescent="0.15">
      <c r="C74" s="1327"/>
      <c r="D74" s="1328"/>
      <c r="E74" s="1328"/>
      <c r="F74" s="1032"/>
      <c r="G74" s="1406" t="str">
        <f>IF(L10=2,"Comptes de passif","Liability Accounts")</f>
        <v>Liability Accounts</v>
      </c>
      <c r="H74" s="1406"/>
      <c r="I74" s="1407"/>
      <c r="M74" s="12" t="str">
        <f t="shared" si="9"/>
        <v>2230 -Disponible ~ Available</v>
      </c>
      <c r="N74" s="12" t="str">
        <f t="shared" si="4"/>
        <v>2230 -Disponible ~ Available</v>
      </c>
      <c r="S74" s="502"/>
      <c r="T74" s="603"/>
      <c r="U74" s="603"/>
      <c r="V74" s="603"/>
      <c r="AL74" s="1"/>
    </row>
    <row r="75" spans="3:38" ht="27" customHeight="1" thickBot="1" x14ac:dyDescent="0.2">
      <c r="C75" s="1098"/>
      <c r="D75" s="1099" t="str">
        <f>IF($L$10=2,"Soldes à l'ouverture","Opening Balances")</f>
        <v>Opening Balances</v>
      </c>
      <c r="E75" s="1100"/>
      <c r="F75" s="1408"/>
      <c r="G75" s="1408"/>
      <c r="H75" s="1408"/>
      <c r="I75" s="1409"/>
      <c r="M75" s="12" t="str">
        <f t="shared" si="9"/>
        <v>2240 -Disponible ~ Available</v>
      </c>
      <c r="N75" s="12" t="str">
        <f t="shared" si="4"/>
        <v>2240 -Disponible ~ Available</v>
      </c>
      <c r="S75" s="502"/>
      <c r="T75" s="603"/>
      <c r="U75" s="603"/>
      <c r="V75" s="603"/>
      <c r="AL75" s="1"/>
    </row>
    <row r="76" spans="3:38" ht="30" customHeight="1" thickTop="1" x14ac:dyDescent="0.15">
      <c r="C76" s="1432" t="str">
        <f>IF(L10=2,"Passif à court terme","Current Liabilities")</f>
        <v>Current Liabilities</v>
      </c>
      <c r="D76" s="1092"/>
      <c r="E76" s="9"/>
      <c r="F76" s="1068" t="s">
        <v>534</v>
      </c>
      <c r="G76" s="1382" t="str">
        <f>IF(L10=2,"Carte de crédit","Credit Card")</f>
        <v>Credit Card</v>
      </c>
      <c r="H76" s="1382"/>
      <c r="I76" s="1382"/>
      <c r="M76" s="12" t="str">
        <f t="shared" si="9"/>
        <v>2250 -Disponible ~ Available</v>
      </c>
      <c r="N76" s="12" t="str">
        <f t="shared" si="4"/>
        <v>2250 -Disponible ~ Available</v>
      </c>
      <c r="S76" s="502"/>
      <c r="T76" s="603"/>
      <c r="U76" s="603"/>
      <c r="V76" s="603"/>
      <c r="AL76" s="1"/>
    </row>
    <row r="77" spans="3:38" ht="30" customHeight="1" x14ac:dyDescent="0.15">
      <c r="C77" s="1432"/>
      <c r="D77" s="1093"/>
      <c r="E77" s="7"/>
      <c r="F77" s="1068" t="s">
        <v>535</v>
      </c>
      <c r="G77" s="1382" t="str">
        <f>IF(L10=2,"Comptes à payer - Court terme","Payables - Short Terms")</f>
        <v>Payables - Short Terms</v>
      </c>
      <c r="H77" s="1382"/>
      <c r="I77" s="1382"/>
      <c r="M77" s="12" t="str">
        <f t="shared" si="9"/>
        <v>2260 -Disponible ~ Available</v>
      </c>
      <c r="N77" s="12" t="str">
        <f t="shared" si="4"/>
        <v>2260 -Disponible ~ Available</v>
      </c>
      <c r="S77" s="502"/>
      <c r="T77" s="603"/>
      <c r="U77" s="603"/>
      <c r="V77" s="603"/>
      <c r="AL77" s="1"/>
    </row>
    <row r="78" spans="3:38" ht="30" customHeight="1" x14ac:dyDescent="0.15">
      <c r="C78" s="1432"/>
      <c r="D78" s="1093"/>
      <c r="E78" s="7"/>
      <c r="F78" s="1068" t="s">
        <v>536</v>
      </c>
      <c r="G78" s="1358" t="s">
        <v>540</v>
      </c>
      <c r="H78" s="1358"/>
      <c r="I78" s="1358"/>
      <c r="M78" s="12" t="str">
        <f t="shared" si="9"/>
        <v>2270 -Disponible ~ Available</v>
      </c>
      <c r="N78" s="12" t="str">
        <f t="shared" si="4"/>
        <v>2270 -Disponible ~ Available</v>
      </c>
      <c r="S78" s="502"/>
      <c r="T78" s="603"/>
      <c r="U78" s="603"/>
      <c r="V78" s="603"/>
      <c r="AB78" s="21"/>
      <c r="AL78" s="1"/>
    </row>
    <row r="79" spans="3:38" ht="30" customHeight="1" x14ac:dyDescent="0.15">
      <c r="C79" s="1432"/>
      <c r="D79" s="1093"/>
      <c r="E79" s="7"/>
      <c r="F79" s="1068" t="s">
        <v>537</v>
      </c>
      <c r="G79" s="1358" t="s">
        <v>540</v>
      </c>
      <c r="H79" s="1358"/>
      <c r="I79" s="1358"/>
      <c r="M79" s="12" t="str">
        <f t="shared" si="9"/>
        <v>2280 -Disponible ~ Available</v>
      </c>
      <c r="N79" s="12" t="str">
        <f t="shared" si="4"/>
        <v>2280 -Disponible ~ Available</v>
      </c>
      <c r="S79" s="502"/>
      <c r="T79" s="603"/>
      <c r="U79" s="603"/>
      <c r="V79" s="603"/>
    </row>
    <row r="80" spans="3:38" ht="30" customHeight="1" x14ac:dyDescent="0.15">
      <c r="C80" s="1432"/>
      <c r="D80" s="1093"/>
      <c r="E80" s="7"/>
      <c r="F80" s="1068" t="s">
        <v>426</v>
      </c>
      <c r="G80" s="1358" t="s">
        <v>540</v>
      </c>
      <c r="H80" s="1358"/>
      <c r="I80" s="1358"/>
      <c r="M80" s="12" t="str">
        <f t="shared" si="9"/>
        <v>2290 -Disponible ~ Available</v>
      </c>
      <c r="N80" s="12" t="str">
        <f t="shared" si="4"/>
        <v>2290 -Disponible ~ Available</v>
      </c>
      <c r="S80" s="502"/>
      <c r="T80" s="603"/>
      <c r="U80" s="603"/>
      <c r="V80" s="603"/>
    </row>
    <row r="81" spans="2:38" ht="30" customHeight="1" x14ac:dyDescent="0.15">
      <c r="C81" s="1432"/>
      <c r="D81" s="1093"/>
      <c r="E81" s="7"/>
      <c r="F81" s="1068" t="s">
        <v>427</v>
      </c>
      <c r="G81" s="1358" t="s">
        <v>540</v>
      </c>
      <c r="H81" s="1358"/>
      <c r="I81" s="1358"/>
      <c r="M81" s="108"/>
      <c r="S81" s="502"/>
      <c r="T81" s="603"/>
      <c r="U81" s="603"/>
      <c r="V81" s="603"/>
    </row>
    <row r="82" spans="2:38" ht="30" customHeight="1" x14ac:dyDescent="0.15">
      <c r="C82" s="1432"/>
      <c r="D82" s="1093"/>
      <c r="E82" s="7"/>
      <c r="F82" s="1068" t="s">
        <v>428</v>
      </c>
      <c r="G82" s="1358" t="s">
        <v>540</v>
      </c>
      <c r="H82" s="1358"/>
      <c r="I82" s="1358"/>
      <c r="M82" s="108"/>
      <c r="S82" s="502"/>
      <c r="T82" s="603"/>
      <c r="U82" s="603"/>
      <c r="V82" s="603"/>
    </row>
    <row r="83" spans="2:38" ht="30" customHeight="1" x14ac:dyDescent="0.15">
      <c r="C83" s="1432"/>
      <c r="D83" s="1093"/>
      <c r="E83" s="7"/>
      <c r="F83" s="1068" t="s">
        <v>429</v>
      </c>
      <c r="G83" s="1358" t="s">
        <v>540</v>
      </c>
      <c r="H83" s="1358"/>
      <c r="I83" s="1358"/>
      <c r="M83" s="108"/>
      <c r="S83" s="502"/>
      <c r="T83" s="603"/>
      <c r="U83" s="603"/>
      <c r="V83" s="603"/>
    </row>
    <row r="84" spans="2:38" ht="30" customHeight="1" thickBot="1" x14ac:dyDescent="0.2">
      <c r="C84" s="1432"/>
      <c r="D84" s="1097"/>
      <c r="E84" s="7"/>
      <c r="F84" s="1068" t="s">
        <v>430</v>
      </c>
      <c r="G84" s="1358" t="s">
        <v>540</v>
      </c>
      <c r="H84" s="1358"/>
      <c r="I84" s="1358"/>
      <c r="M84" s="108"/>
      <c r="S84" s="502"/>
      <c r="T84" s="603"/>
      <c r="U84" s="603"/>
      <c r="V84" s="603"/>
      <c r="AL84" s="1"/>
    </row>
    <row r="85" spans="2:38" ht="27" customHeight="1" thickTop="1" x14ac:dyDescent="0.15">
      <c r="C85" s="1098"/>
      <c r="D85" s="1099" t="str">
        <f>IF($L$10=2,"Soldes à l'ouverture","Opening Balances")</f>
        <v>Opening Balances</v>
      </c>
      <c r="E85" s="1033"/>
      <c r="F85" s="1404"/>
      <c r="G85" s="1404"/>
      <c r="H85" s="1404"/>
      <c r="I85" s="1405"/>
      <c r="M85" s="12" t="s">
        <v>438</v>
      </c>
      <c r="S85" s="502"/>
      <c r="T85" s="603"/>
      <c r="U85" s="603"/>
      <c r="V85" s="603"/>
      <c r="AL85" s="1"/>
    </row>
    <row r="86" spans="2:38" ht="30" customHeight="1" x14ac:dyDescent="0.15">
      <c r="C86" s="1432" t="str">
        <f>IF(L10=2,"Dettes à long terme","Long-Term Debts")</f>
        <v>Long-Term Debts</v>
      </c>
      <c r="D86" s="1095"/>
      <c r="E86" s="7"/>
      <c r="F86" s="1068" t="s">
        <v>538</v>
      </c>
      <c r="G86" s="1382" t="str">
        <f>IF(L10=2,"Hypothèque","Mortgage")</f>
        <v>Mortgage</v>
      </c>
      <c r="H86" s="1382"/>
      <c r="I86" s="1382"/>
      <c r="M86" s="12" t="s">
        <v>439</v>
      </c>
      <c r="S86" s="502"/>
      <c r="T86" s="603"/>
      <c r="U86" s="603"/>
      <c r="V86" s="603"/>
      <c r="AL86" s="1"/>
    </row>
    <row r="87" spans="2:38" ht="30" customHeight="1" x14ac:dyDescent="0.15">
      <c r="C87" s="1432"/>
      <c r="D87" s="1093"/>
      <c r="E87" s="7"/>
      <c r="F87" s="1068" t="s">
        <v>539</v>
      </c>
      <c r="G87" s="1382" t="str">
        <f>IF(L10=2,"Emprunt bancaire","Bank Loan")</f>
        <v>Bank Loan</v>
      </c>
      <c r="H87" s="1382"/>
      <c r="I87" s="1382"/>
      <c r="M87" s="108"/>
      <c r="S87" s="502"/>
      <c r="T87" s="603"/>
      <c r="U87" s="603"/>
      <c r="V87" s="603"/>
    </row>
    <row r="88" spans="2:38" ht="30" customHeight="1" x14ac:dyDescent="0.15">
      <c r="C88" s="1432"/>
      <c r="D88" s="1096"/>
      <c r="E88" s="7"/>
      <c r="F88" s="1068" t="s">
        <v>431</v>
      </c>
      <c r="G88" s="1358" t="s">
        <v>540</v>
      </c>
      <c r="H88" s="1358"/>
      <c r="I88" s="1358"/>
      <c r="M88" s="37"/>
      <c r="S88" s="502"/>
      <c r="T88" s="603"/>
      <c r="U88" s="603"/>
      <c r="V88" s="603"/>
    </row>
    <row r="89" spans="2:38" ht="30" customHeight="1" x14ac:dyDescent="0.15">
      <c r="C89" s="1432"/>
      <c r="D89" s="1096"/>
      <c r="E89" s="7"/>
      <c r="F89" s="1068" t="s">
        <v>432</v>
      </c>
      <c r="G89" s="1358" t="s">
        <v>540</v>
      </c>
      <c r="H89" s="1358"/>
      <c r="I89" s="1358"/>
      <c r="M89" s="37"/>
      <c r="S89" s="502"/>
      <c r="T89" s="603"/>
      <c r="U89" s="603"/>
      <c r="V89" s="603"/>
    </row>
    <row r="90" spans="2:38" ht="30" customHeight="1" x14ac:dyDescent="0.15">
      <c r="C90" s="1432"/>
      <c r="D90" s="1096"/>
      <c r="E90" s="7"/>
      <c r="F90" s="1068" t="s">
        <v>433</v>
      </c>
      <c r="G90" s="1358" t="s">
        <v>540</v>
      </c>
      <c r="H90" s="1358"/>
      <c r="I90" s="1358"/>
      <c r="M90" s="37"/>
      <c r="S90" s="502"/>
      <c r="T90" s="603"/>
      <c r="U90" s="603"/>
      <c r="V90" s="603"/>
    </row>
    <row r="91" spans="2:38" ht="30" customHeight="1" x14ac:dyDescent="0.15">
      <c r="C91" s="1432"/>
      <c r="D91" s="1096"/>
      <c r="E91" s="7"/>
      <c r="F91" s="1068" t="s">
        <v>434</v>
      </c>
      <c r="G91" s="1358" t="s">
        <v>540</v>
      </c>
      <c r="H91" s="1358"/>
      <c r="I91" s="1358"/>
      <c r="M91" s="37"/>
      <c r="S91" s="502"/>
      <c r="T91" s="603"/>
      <c r="U91" s="603"/>
      <c r="V91" s="603"/>
    </row>
    <row r="92" spans="2:38" ht="30" customHeight="1" x14ac:dyDescent="0.15">
      <c r="C92" s="1432"/>
      <c r="D92" s="1096"/>
      <c r="E92" s="7"/>
      <c r="F92" s="1068" t="s">
        <v>435</v>
      </c>
      <c r="G92" s="1358" t="s">
        <v>540</v>
      </c>
      <c r="H92" s="1358"/>
      <c r="I92" s="1358"/>
      <c r="M92" s="37"/>
      <c r="S92" s="502"/>
      <c r="T92" s="603"/>
      <c r="U92" s="603"/>
      <c r="V92" s="603"/>
    </row>
    <row r="93" spans="2:38" ht="30" customHeight="1" x14ac:dyDescent="0.15">
      <c r="C93" s="1432"/>
      <c r="D93" s="1096"/>
      <c r="E93" s="7"/>
      <c r="F93" s="1068" t="s">
        <v>436</v>
      </c>
      <c r="G93" s="1358" t="s">
        <v>540</v>
      </c>
      <c r="H93" s="1358"/>
      <c r="I93" s="1358"/>
      <c r="M93" s="37"/>
      <c r="S93" s="502"/>
      <c r="T93" s="603"/>
      <c r="U93" s="603"/>
      <c r="V93" s="603"/>
    </row>
    <row r="94" spans="2:38" ht="30" customHeight="1" x14ac:dyDescent="0.15">
      <c r="C94" s="1433"/>
      <c r="D94" s="1093"/>
      <c r="E94" s="1034"/>
      <c r="F94" s="1068" t="s">
        <v>437</v>
      </c>
      <c r="G94" s="1358" t="s">
        <v>540</v>
      </c>
      <c r="H94" s="1358"/>
      <c r="I94" s="1358"/>
      <c r="M94" s="37"/>
      <c r="S94" s="502"/>
      <c r="T94" s="603"/>
      <c r="U94" s="603"/>
      <c r="V94" s="603"/>
    </row>
    <row r="95" spans="2:38" ht="27" customHeight="1" thickBot="1" x14ac:dyDescent="0.2">
      <c r="S95" s="502"/>
      <c r="T95" s="603"/>
      <c r="U95" s="603"/>
      <c r="V95" s="603"/>
    </row>
    <row r="96" spans="2:38" ht="30" customHeight="1" thickTop="1" thickBot="1" x14ac:dyDescent="0.2">
      <c r="B96" s="1410" t="str">
        <f>IF(L10=2,"E-3 - Données de l'ACC9 de l`année précédente","E-3 - Last Year's ACC9 Information")</f>
        <v>E-3 - Last Year's ACC9 Information</v>
      </c>
      <c r="C96" s="1411"/>
      <c r="D96" s="1411"/>
      <c r="E96" s="1411"/>
      <c r="F96" s="1411"/>
      <c r="G96" s="1411"/>
      <c r="H96" s="1411"/>
      <c r="I96" s="1411"/>
      <c r="J96" s="1412"/>
      <c r="S96" s="502"/>
      <c r="T96" s="603"/>
      <c r="U96" s="603"/>
      <c r="V96" s="603"/>
    </row>
    <row r="97" spans="2:22" ht="27" customHeight="1" thickTop="1" x14ac:dyDescent="0.15">
      <c r="S97" s="502"/>
      <c r="T97" s="603"/>
      <c r="U97" s="603"/>
      <c r="V97" s="603"/>
    </row>
    <row r="98" spans="2:22" ht="30" customHeight="1" thickBot="1" x14ac:dyDescent="0.2">
      <c r="C98" s="1428" t="str">
        <f>IF(L10=2,"Actif total (ligne 1900)","Total Assets (line 1900)")</f>
        <v>Total Assets (line 1900)</v>
      </c>
      <c r="D98" s="1428"/>
      <c r="E98" s="1428"/>
      <c r="F98" s="1429"/>
      <c r="G98" s="1087"/>
      <c r="H98" s="7"/>
      <c r="I98" s="7"/>
      <c r="J98" s="7"/>
      <c r="S98" s="502"/>
      <c r="T98" s="603"/>
      <c r="U98" s="603"/>
      <c r="V98" s="603"/>
    </row>
    <row r="99" spans="2:22" ht="30" customHeight="1" thickTop="1" x14ac:dyDescent="0.15">
      <c r="C99" s="1422" t="str">
        <f>IF(L10=2,"Bénéfices non répartis accumulés (ligne 3100)","Retained Earnings (line 3100)")</f>
        <v>Retained Earnings (line 3100)</v>
      </c>
      <c r="D99" s="1422"/>
      <c r="E99" s="1422"/>
      <c r="F99" s="1423"/>
      <c r="G99" s="1087"/>
      <c r="H99" s="776"/>
      <c r="I99" s="776"/>
      <c r="J99" s="1383" t="str">
        <f>M34</f>
        <v>Previous Year's information is correct</v>
      </c>
      <c r="S99" s="502"/>
      <c r="T99" s="603"/>
      <c r="U99" s="603"/>
      <c r="V99" s="603"/>
    </row>
    <row r="100" spans="2:22" ht="30" customHeight="1" x14ac:dyDescent="0.15">
      <c r="B100" s="1422" t="str">
        <f>IF(L10=2,"Surplus/Déficits des recettes sur déboursés (ligne 3110)","Surplus/Deficit Revenue over Expenditures (line 3110)")</f>
        <v>Surplus/Deficit Revenue over Expenditures (line 3110)</v>
      </c>
      <c r="C100" s="1422"/>
      <c r="D100" s="1422"/>
      <c r="E100" s="1422"/>
      <c r="F100" s="1423"/>
      <c r="G100" s="1087"/>
      <c r="H100" s="776"/>
      <c r="I100" s="776"/>
      <c r="J100" s="1384"/>
    </row>
    <row r="101" spans="2:22" ht="30" customHeight="1" x14ac:dyDescent="0.15">
      <c r="C101" s="1422" t="str">
        <f>IF(L10=2,"Passif total (ligne 2400)"," Current Liability (outstanding debt) (line 2400)")</f>
        <v xml:space="preserve"> Current Liability (outstanding debt) (line 2400)</v>
      </c>
      <c r="D101" s="1422"/>
      <c r="E101" s="1422"/>
      <c r="F101" s="1423"/>
      <c r="G101" s="1087"/>
      <c r="H101" s="776"/>
      <c r="I101" s="776"/>
      <c r="J101" s="1384"/>
    </row>
    <row r="102" spans="2:22" ht="30" customHeight="1" thickBot="1" x14ac:dyDescent="0.2">
      <c r="C102" s="1428" t="str">
        <f>IF(L10=2,"Ajustement pour arrondissement (si utilisé l'an passé)","Integer rounding adjustment (if used last year)")</f>
        <v>Integer rounding adjustment (if used last year)</v>
      </c>
      <c r="D102" s="1428"/>
      <c r="E102" s="1428"/>
      <c r="F102" s="1429"/>
      <c r="G102" s="1087"/>
      <c r="H102" s="3"/>
      <c r="J102" s="1385"/>
    </row>
    <row r="103" spans="2:22" ht="14" thickTop="1" x14ac:dyDescent="0.15"/>
    <row r="104" spans="2:22" ht="19" thickBot="1" x14ac:dyDescent="0.2">
      <c r="B104" s="777"/>
    </row>
    <row r="105" spans="2:22" ht="30" customHeight="1" thickTop="1" thickBot="1" x14ac:dyDescent="0.2">
      <c r="B105" s="1410" t="str">
        <f>IF(L10=2,"E-4 - Chèques non-traités de l'année précédente","E-4 - Cheques processed in previous year")</f>
        <v>E-4 - Cheques processed in previous year</v>
      </c>
      <c r="C105" s="1411"/>
      <c r="D105" s="1411"/>
      <c r="E105" s="1411"/>
      <c r="F105" s="1411"/>
      <c r="G105" s="1411"/>
      <c r="H105" s="1411"/>
      <c r="I105" s="1411"/>
      <c r="J105" s="1412"/>
    </row>
    <row r="106" spans="2:22" ht="15" thickTop="1" thickBot="1" x14ac:dyDescent="0.2"/>
    <row r="107" spans="2:22" ht="39" thickBot="1" x14ac:dyDescent="0.2">
      <c r="C107" s="1062" t="str">
        <f>IF(L10=2,"# de réf","Ref #")</f>
        <v>Ref #</v>
      </c>
      <c r="D107" s="1418" t="str">
        <f>IF(L10=2,"A l'ordre de","Paid to")</f>
        <v>Paid to</v>
      </c>
      <c r="E107" s="1418"/>
      <c r="F107" s="1418"/>
      <c r="G107" s="1063" t="str">
        <f>IF(L10=2,"Montant","Amount")</f>
        <v>Amount</v>
      </c>
      <c r="H107" s="1064" t="str">
        <f>IF(L10=2,"Date
(aaaa-mm-jj)","Date
(yyyy-mm-dd)")</f>
        <v>Date
(yyyy-mm-dd)</v>
      </c>
      <c r="I107" s="1065"/>
      <c r="J107" s="1065" t="str">
        <f>IF(M10=2,"Compte","Account")</f>
        <v>Account</v>
      </c>
    </row>
    <row r="108" spans="2:22" ht="19" thickBot="1" x14ac:dyDescent="0.2">
      <c r="C108" s="1035"/>
      <c r="D108" s="1036"/>
      <c r="E108" s="1036"/>
      <c r="F108" s="1036"/>
      <c r="G108" s="1036"/>
      <c r="H108" s="1036"/>
      <c r="I108" s="1036"/>
      <c r="J108" s="1036"/>
    </row>
    <row r="109" spans="2:22" ht="30" customHeight="1" thickTop="1" x14ac:dyDescent="0.15">
      <c r="B109" s="1452" t="str">
        <f>IF($L$10=2,M85,M86)</f>
        <v>If there is not enough space to list all your transactions, group amounts together.</v>
      </c>
      <c r="C109" s="1075"/>
      <c r="D109" s="1419"/>
      <c r="E109" s="1420"/>
      <c r="F109" s="1421"/>
      <c r="G109" s="1088"/>
      <c r="H109" s="1190"/>
      <c r="I109" s="616" t="str">
        <f>LEFT(J109,4)</f>
        <v/>
      </c>
      <c r="J109" s="1077"/>
    </row>
    <row r="110" spans="2:22" ht="30" customHeight="1" x14ac:dyDescent="0.15">
      <c r="B110" s="1452"/>
      <c r="C110" s="1076"/>
      <c r="D110" s="1415"/>
      <c r="E110" s="1416"/>
      <c r="F110" s="1417"/>
      <c r="G110" s="1089"/>
      <c r="H110" s="1190"/>
      <c r="I110" s="616" t="str">
        <f>LEFT(J110,4)</f>
        <v/>
      </c>
      <c r="J110" s="1078"/>
    </row>
    <row r="111" spans="2:22" ht="30" customHeight="1" x14ac:dyDescent="0.15">
      <c r="B111" s="1452"/>
      <c r="C111" s="1076"/>
      <c r="D111" s="1415"/>
      <c r="E111" s="1416"/>
      <c r="F111" s="1417"/>
      <c r="G111" s="1089"/>
      <c r="H111" s="1190"/>
      <c r="I111" s="616"/>
      <c r="J111" s="1078"/>
    </row>
    <row r="112" spans="2:22" ht="30" customHeight="1" x14ac:dyDescent="0.15">
      <c r="B112" s="1452"/>
      <c r="C112" s="1076"/>
      <c r="D112" s="1415"/>
      <c r="E112" s="1416"/>
      <c r="F112" s="1417"/>
      <c r="G112" s="1089"/>
      <c r="H112" s="1190"/>
      <c r="I112" s="616"/>
      <c r="J112" s="1078"/>
    </row>
    <row r="113" spans="2:10" ht="30" customHeight="1" x14ac:dyDescent="0.15">
      <c r="B113" s="1452"/>
      <c r="C113" s="1076"/>
      <c r="D113" s="1415"/>
      <c r="E113" s="1416"/>
      <c r="F113" s="1417"/>
      <c r="G113" s="1089"/>
      <c r="H113" s="1190"/>
      <c r="I113" s="616"/>
      <c r="J113" s="1078"/>
    </row>
    <row r="114" spans="2:10" ht="30" customHeight="1" x14ac:dyDescent="0.15">
      <c r="B114" s="1452"/>
      <c r="C114" s="1076"/>
      <c r="D114" s="1415"/>
      <c r="E114" s="1416"/>
      <c r="F114" s="1417"/>
      <c r="G114" s="1089"/>
      <c r="H114" s="1190"/>
      <c r="I114" s="616"/>
      <c r="J114" s="1078"/>
    </row>
    <row r="115" spans="2:10" ht="30" customHeight="1" x14ac:dyDescent="0.15">
      <c r="B115" s="1452"/>
      <c r="C115" s="1076"/>
      <c r="D115" s="1415"/>
      <c r="E115" s="1416"/>
      <c r="F115" s="1417"/>
      <c r="G115" s="1089"/>
      <c r="H115" s="1190"/>
      <c r="I115" s="616"/>
      <c r="J115" s="1078"/>
    </row>
    <row r="116" spans="2:10" ht="30" customHeight="1" x14ac:dyDescent="0.15">
      <c r="B116" s="1452"/>
      <c r="C116" s="1076"/>
      <c r="D116" s="1415"/>
      <c r="E116" s="1416"/>
      <c r="F116" s="1417"/>
      <c r="G116" s="1089"/>
      <c r="H116" s="1190"/>
      <c r="I116" s="616"/>
      <c r="J116" s="1078"/>
    </row>
    <row r="117" spans="2:10" ht="30" customHeight="1" x14ac:dyDescent="0.15">
      <c r="B117" s="1452"/>
      <c r="C117" s="1076"/>
      <c r="D117" s="1415"/>
      <c r="E117" s="1416"/>
      <c r="F117" s="1417"/>
      <c r="G117" s="1089"/>
      <c r="H117" s="1190"/>
      <c r="I117" s="616"/>
      <c r="J117" s="1078"/>
    </row>
    <row r="118" spans="2:10" ht="30" customHeight="1" thickBot="1" x14ac:dyDescent="0.2">
      <c r="B118" s="1452"/>
      <c r="C118" s="1076"/>
      <c r="D118" s="1415"/>
      <c r="E118" s="1416"/>
      <c r="F118" s="1417"/>
      <c r="G118" s="1089"/>
      <c r="H118" s="1190"/>
      <c r="I118" s="616" t="str">
        <f>LEFT(J118,4)</f>
        <v/>
      </c>
      <c r="J118" s="1079"/>
    </row>
    <row r="119" spans="2:10" ht="30" customHeight="1" thickTop="1" x14ac:dyDescent="0.15">
      <c r="C119" s="1037"/>
      <c r="D119" s="1037"/>
      <c r="E119" s="1038"/>
      <c r="F119" s="1038"/>
      <c r="G119" s="1090">
        <f>SUM(G109:G118)</f>
        <v>0</v>
      </c>
      <c r="H119" s="12"/>
      <c r="I119" s="607"/>
      <c r="J119" s="607"/>
    </row>
    <row r="122" spans="2:10" ht="14" thickBot="1" x14ac:dyDescent="0.2"/>
    <row r="123" spans="2:10" ht="30" customHeight="1" thickTop="1" thickBot="1" x14ac:dyDescent="0.2">
      <c r="B123" s="1410" t="str">
        <f>IF(L10=2,"E-5 - Informations sur les taxes","E-5 - Tax Information")</f>
        <v>E-5 - Tax Information</v>
      </c>
      <c r="C123" s="1411"/>
      <c r="D123" s="1411"/>
      <c r="E123" s="1411"/>
      <c r="F123" s="1411"/>
      <c r="G123" s="1411"/>
      <c r="H123" s="1411"/>
      <c r="I123" s="1411"/>
      <c r="J123" s="1412"/>
    </row>
    <row r="124" spans="2:10" ht="15" thickTop="1" thickBot="1" x14ac:dyDescent="0.2"/>
    <row r="125" spans="2:10" ht="30" customHeight="1" thickTop="1" thickBot="1" x14ac:dyDescent="0.2">
      <c r="D125" s="1392" t="str">
        <f>IF(L10=2,"Sélectionnez votre province d'appartenance →","Select your province →")</f>
        <v>Select your province →</v>
      </c>
      <c r="E125" s="1392"/>
      <c r="F125" s="1392"/>
      <c r="G125" s="1393"/>
      <c r="H125" s="1084" t="s">
        <v>16</v>
      </c>
    </row>
    <row r="126" spans="2:10" ht="30" customHeight="1" thickTop="1" x14ac:dyDescent="0.15">
      <c r="C126" s="1083"/>
      <c r="D126" s="1359" t="str">
        <f>IF(L10=2,"Taux de la Taxe de vente harmonisée (TVH)","Harmonized Tax Rate (HST)")</f>
        <v>Harmonized Tax Rate (HST)</v>
      </c>
      <c r="E126" s="1359"/>
      <c r="F126" s="1359"/>
      <c r="G126" s="1360"/>
      <c r="H126" s="1085">
        <f>IF(K47="N","",'Remise~Tax.~Rebate'!F17)</f>
        <v>0.15000000000000002</v>
      </c>
      <c r="I126" s="1386" t="str">
        <f>IF($K$47="N",IF($L$10=2,$Q$49,$Q$47),IF($L$10=2,$Q$50,$Q$48))</f>
        <v>This province participates in the HST Program.</v>
      </c>
      <c r="J126" s="1387"/>
    </row>
    <row r="127" spans="2:10" ht="30" customHeight="1" x14ac:dyDescent="0.15">
      <c r="C127" s="1083"/>
      <c r="D127" s="1359" t="str">
        <f>IF(L10=2,"Taux fédéral de la taxes de ventes (TPS)","Federal Tax Rate (GST)")</f>
        <v>Federal Tax Rate (GST)</v>
      </c>
      <c r="E127" s="1359"/>
      <c r="F127" s="1359"/>
      <c r="G127" s="1360"/>
      <c r="H127" s="1086" t="str">
        <f>IF(K47="Y","",'Remise~Tax.~Rebate'!F19)</f>
        <v/>
      </c>
      <c r="I127" s="1388"/>
      <c r="J127" s="1389"/>
    </row>
    <row r="128" spans="2:10" ht="30" customHeight="1" thickBot="1" x14ac:dyDescent="0.2">
      <c r="C128" s="1083"/>
      <c r="D128" s="1359" t="str">
        <f>IF(L10=2,"Taux provincial de la taxes de ventes (TVP)","Provincial Tax Rate (PST)")</f>
        <v>Provincial Tax Rate (PST)</v>
      </c>
      <c r="E128" s="1359"/>
      <c r="F128" s="1359"/>
      <c r="G128" s="1360"/>
      <c r="H128" s="1086" t="str">
        <f>IF(K47="Y","",'Remise~Tax.~Rebate'!F21)</f>
        <v/>
      </c>
      <c r="I128" s="1390"/>
      <c r="J128" s="1391"/>
    </row>
    <row r="131" spans="2:21" ht="14" thickBot="1" x14ac:dyDescent="0.2"/>
    <row r="132" spans="2:21" ht="50.25" customHeight="1" thickTop="1" x14ac:dyDescent="0.15">
      <c r="B132" s="1467" t="str">
        <f>IF(L10=2,"Mise à jour le 1 jan 2024          Province","Updated on 1 Jan 2024          Province")</f>
        <v>Updated on 1 Jan 2024          Province</v>
      </c>
      <c r="C132" s="1468"/>
      <c r="D132" s="1270" t="s">
        <v>555</v>
      </c>
      <c r="E132" s="1271" t="str">
        <f>IF(L10=2,"TVP/TVQ","PST/QST")</f>
        <v>PST/QST</v>
      </c>
      <c r="F132" s="1271" t="str">
        <f>IF(L10=2,"TPS","GST")</f>
        <v>GST</v>
      </c>
      <c r="G132" s="1271" t="str">
        <f>IF(L10=2,"TVH","HST")</f>
        <v>HST</v>
      </c>
      <c r="H132" s="1304" t="str">
        <f>IF(L10=2,"Rembour-
sement","Rebate")</f>
        <v>Rebate</v>
      </c>
      <c r="I132" s="1461" t="s">
        <v>556</v>
      </c>
      <c r="J132" s="1462"/>
    </row>
    <row r="133" spans="2:21" ht="43.5" customHeight="1" x14ac:dyDescent="0.15">
      <c r="B133" s="1434" t="s">
        <v>8</v>
      </c>
      <c r="C133" s="1435"/>
      <c r="D133" s="1273" t="str">
        <f>IF(L10=2,"TPS","GST")</f>
        <v>GST</v>
      </c>
      <c r="E133" s="1274"/>
      <c r="F133" s="1274">
        <f>F173</f>
        <v>0.05</v>
      </c>
      <c r="G133" s="1274"/>
      <c r="H133" s="1275"/>
      <c r="I133" s="1453"/>
      <c r="J133" s="1454"/>
    </row>
    <row r="134" spans="2:21" ht="43.5" customHeight="1" x14ac:dyDescent="0.15">
      <c r="B134" s="1436" t="str">
        <f>IF(L10=2,"Colombie-Britannique","Briish Columbia")</f>
        <v>Briish Columbia</v>
      </c>
      <c r="C134" s="1437"/>
      <c r="D134" s="1268" t="str">
        <f>IF(L10=2,"TVP + TPS","PST + GST")</f>
        <v>PST + GST</v>
      </c>
      <c r="E134" s="1269">
        <v>7.0000000000000007E-2</v>
      </c>
      <c r="F134" s="1269">
        <v>0.05</v>
      </c>
      <c r="G134" s="1269"/>
      <c r="H134" s="1272"/>
      <c r="I134" s="1455"/>
      <c r="J134" s="1456"/>
    </row>
    <row r="135" spans="2:21" ht="43.5" customHeight="1" x14ac:dyDescent="0.15">
      <c r="B135" s="1434" t="s">
        <v>12</v>
      </c>
      <c r="C135" s="1435"/>
      <c r="D135" s="1273" t="str">
        <f>IF(L11=2,"TVP + TPS","PST + GST")</f>
        <v>PST + GST</v>
      </c>
      <c r="E135" s="1274">
        <v>7.0000000000000007E-2</v>
      </c>
      <c r="F135" s="1274">
        <v>0.05</v>
      </c>
      <c r="G135" s="1274"/>
      <c r="H135" s="1275"/>
      <c r="I135" s="1463" t="str">
        <f>IF(L10=2,"Le 1er juillet 2019, la TPS est passée de 8 % à 7 %.","As of July 1, 2019 the PST rate was reduced from 8% to 7%.")</f>
        <v>As of July 1, 2019 the PST rate was reduced from 8% to 7%.</v>
      </c>
      <c r="J135" s="1464"/>
      <c r="L135"/>
      <c r="M135"/>
      <c r="N135"/>
      <c r="O135" s="19" t="s">
        <v>366</v>
      </c>
      <c r="P135" s="473" t="str">
        <f>H127</f>
        <v/>
      </c>
      <c r="Q135" s="473"/>
      <c r="R135"/>
      <c r="S135"/>
      <c r="T135"/>
      <c r="U135"/>
    </row>
    <row r="136" spans="2:21" ht="43.5" customHeight="1" x14ac:dyDescent="0.15">
      <c r="B136" s="1436" t="str">
        <f>IF(L10=2,"Nouveau-Brunswick","New Brunswick")</f>
        <v>New Brunswick</v>
      </c>
      <c r="C136" s="1437"/>
      <c r="D136" s="1268" t="str">
        <f>IF(L10=2,"TVH","HST")</f>
        <v>HST</v>
      </c>
      <c r="E136" s="1295">
        <v>0.1</v>
      </c>
      <c r="F136" s="1269"/>
      <c r="G136" s="1269">
        <v>0.15</v>
      </c>
      <c r="H136" s="1272">
        <v>0.5</v>
      </c>
      <c r="I136" s="1465" t="str">
        <f>IF(L10=2,"Le 1er juillet 2016, la TVH est passée de 13 % à 15 %.","As of July 1, 2016 the HST rate increased from 13% to 15%.")</f>
        <v>As of July 1, 2016 the HST rate increased from 13% to 15%.</v>
      </c>
      <c r="J136" s="1466"/>
      <c r="L136"/>
      <c r="M136"/>
      <c r="N136"/>
      <c r="O136" s="19" t="s">
        <v>367</v>
      </c>
      <c r="P136" s="473" t="str">
        <f>H128</f>
        <v/>
      </c>
      <c r="Q136" s="473"/>
      <c r="R136"/>
      <c r="S136"/>
      <c r="T136"/>
      <c r="U136"/>
    </row>
    <row r="137" spans="2:21" ht="43.5" customHeight="1" x14ac:dyDescent="0.15">
      <c r="B137" s="1434" t="str">
        <f>IF(L11=2,"Terre-Neuve et Labrador","Newfoundland and Labrador")</f>
        <v>Newfoundland and Labrador</v>
      </c>
      <c r="C137" s="1435"/>
      <c r="D137" s="1273" t="str">
        <f>IF(L11=2,"TVH","HST")</f>
        <v>HST</v>
      </c>
      <c r="E137" s="1296">
        <v>0.1</v>
      </c>
      <c r="F137" s="1274"/>
      <c r="G137" s="1274">
        <v>0.15</v>
      </c>
      <c r="H137" s="1275">
        <v>0.5</v>
      </c>
      <c r="I137" s="1463" t="str">
        <f>IF(L10=2,"Le 1er juillet 2016, la TVH est passée de 13 % à 15 %.","As of July 1, 2016 the HST rate increased from 13% to 15%.")</f>
        <v>As of July 1, 2016 the HST rate increased from 13% to 15%.</v>
      </c>
      <c r="J137" s="1464"/>
      <c r="L137"/>
      <c r="M137"/>
      <c r="N137"/>
      <c r="O137" s="19" t="s">
        <v>368</v>
      </c>
      <c r="P137" s="471" t="str">
        <f>H125</f>
        <v>NL</v>
      </c>
      <c r="Q137" s="473"/>
      <c r="R137"/>
      <c r="S137"/>
      <c r="T137"/>
      <c r="U137"/>
    </row>
    <row r="138" spans="2:21" ht="43.5" customHeight="1" x14ac:dyDescent="0.15">
      <c r="B138" s="1436" t="str">
        <f>IF(L12=2,"Territoires-du-Nord-Ouest","Northwest Territories")</f>
        <v>Northwest Territories</v>
      </c>
      <c r="C138" s="1437"/>
      <c r="D138" s="1268" t="str">
        <f>IF(L15=2,"TPS","GST")</f>
        <v>GST</v>
      </c>
      <c r="E138" s="1269"/>
      <c r="F138" s="1269">
        <v>0.05</v>
      </c>
      <c r="G138" s="1269"/>
      <c r="H138" s="1272"/>
      <c r="I138" s="1455"/>
      <c r="J138" s="1456"/>
      <c r="L138"/>
      <c r="M138"/>
      <c r="N138"/>
      <c r="O138"/>
      <c r="P138"/>
      <c r="Q138"/>
      <c r="R138"/>
      <c r="S138"/>
      <c r="T138"/>
      <c r="U138"/>
    </row>
    <row r="139" spans="2:21" ht="43.5" customHeight="1" x14ac:dyDescent="0.15">
      <c r="B139" s="1434" t="str">
        <f>IF(L13=2,"Nouvelle-Écosse","Nova Scotia")</f>
        <v>Nova Scotia</v>
      </c>
      <c r="C139" s="1435"/>
      <c r="D139" s="1273" t="str">
        <f>IF(L13=2,"TVH","HST")</f>
        <v>HST</v>
      </c>
      <c r="E139" s="1296">
        <v>0.1</v>
      </c>
      <c r="F139" s="1274"/>
      <c r="G139" s="1274">
        <v>0.15</v>
      </c>
      <c r="H139" s="1275">
        <v>0.5</v>
      </c>
      <c r="I139" s="1453"/>
      <c r="J139" s="1454"/>
      <c r="L139"/>
      <c r="M139"/>
      <c r="N139"/>
      <c r="O139"/>
      <c r="P139"/>
      <c r="Q139"/>
      <c r="R139"/>
      <c r="S139"/>
      <c r="T139"/>
      <c r="U139"/>
    </row>
    <row r="140" spans="2:21" ht="43.5" customHeight="1" x14ac:dyDescent="0.15">
      <c r="B140" s="1436" t="s">
        <v>557</v>
      </c>
      <c r="C140" s="1437"/>
      <c r="D140" s="1268" t="str">
        <f>IF(L17=2,"TPS","GST")</f>
        <v>GST</v>
      </c>
      <c r="E140" s="1269"/>
      <c r="F140" s="1269">
        <v>0.05</v>
      </c>
      <c r="G140" s="1269"/>
      <c r="H140" s="1272"/>
      <c r="I140" s="1455"/>
      <c r="J140" s="1456"/>
      <c r="L140" s="1438" t="s">
        <v>369</v>
      </c>
      <c r="M140" s="1438"/>
      <c r="N140" s="861" t="s">
        <v>559</v>
      </c>
      <c r="O140" s="1439" t="s">
        <v>370</v>
      </c>
      <c r="P140" s="1439"/>
      <c r="Q140" s="19"/>
      <c r="R140" s="26"/>
      <c r="S140" s="26"/>
      <c r="T140" s="26"/>
      <c r="U140"/>
    </row>
    <row r="141" spans="2:21" ht="43.5" customHeight="1" x14ac:dyDescent="0.15">
      <c r="B141" s="1434" t="s">
        <v>18</v>
      </c>
      <c r="C141" s="1435"/>
      <c r="D141" s="1273" t="str">
        <f>IF(L15=2,"TVH","HST")</f>
        <v>HST</v>
      </c>
      <c r="E141" s="1296">
        <v>0.08</v>
      </c>
      <c r="F141" s="1274"/>
      <c r="G141" s="1274">
        <v>0.13</v>
      </c>
      <c r="H141" s="1275">
        <v>0.82</v>
      </c>
      <c r="I141" s="1453"/>
      <c r="J141" s="1454"/>
      <c r="L141" s="18" t="s">
        <v>9</v>
      </c>
      <c r="M141" s="474">
        <f>F174</f>
        <v>0</v>
      </c>
      <c r="N141" s="1306"/>
      <c r="O141" s="18" t="s">
        <v>9</v>
      </c>
      <c r="P141" s="473">
        <f>F184</f>
        <v>0</v>
      </c>
      <c r="Q141" s="18"/>
      <c r="R141" s="26"/>
      <c r="S141" s="18"/>
      <c r="T141" s="26"/>
      <c r="U141"/>
    </row>
    <row r="142" spans="2:21" ht="43.5" customHeight="1" x14ac:dyDescent="0.15">
      <c r="B142" s="1436" t="str">
        <f>IF(L10=2,"Île-du-Prince-Édouard","Prince Edward Island")</f>
        <v>Prince Edward Island</v>
      </c>
      <c r="C142" s="1437"/>
      <c r="D142" s="1268" t="str">
        <f>IF(L16=2,"TVH","HST")</f>
        <v>HST</v>
      </c>
      <c r="E142" s="1295">
        <v>0.1</v>
      </c>
      <c r="F142" s="1269"/>
      <c r="G142" s="1269">
        <v>0.15</v>
      </c>
      <c r="H142" s="1272">
        <v>0.35</v>
      </c>
      <c r="I142" s="1455"/>
      <c r="J142" s="1456"/>
      <c r="L142" s="18" t="s">
        <v>11</v>
      </c>
      <c r="M142" s="474">
        <f>F175</f>
        <v>7.0000000000000007E-2</v>
      </c>
      <c r="N142" s="1306"/>
      <c r="O142" s="18" t="s">
        <v>11</v>
      </c>
      <c r="P142" s="473">
        <f>F185</f>
        <v>0</v>
      </c>
      <c r="Q142" s="18"/>
      <c r="R142" s="19"/>
      <c r="S142" s="18"/>
      <c r="T142" s="19"/>
      <c r="U142"/>
    </row>
    <row r="143" spans="2:21" ht="43.5" customHeight="1" x14ac:dyDescent="0.15">
      <c r="B143" s="1434" t="str">
        <f>IF(L10=2,"Québec","Quebec")</f>
        <v>Quebec</v>
      </c>
      <c r="C143" s="1435"/>
      <c r="D143" s="1273" t="str">
        <f>IF(L19=2,"*TVQ + TPS","*QST + GST")</f>
        <v>*QST + GST</v>
      </c>
      <c r="E143" s="1274">
        <v>9.9750000000000005E-2</v>
      </c>
      <c r="F143" s="1274">
        <v>0.05</v>
      </c>
      <c r="G143" s="1274"/>
      <c r="H143" s="1275">
        <v>0.5</v>
      </c>
      <c r="I143" s="1453"/>
      <c r="J143" s="1454"/>
      <c r="L143" s="18" t="s">
        <v>13</v>
      </c>
      <c r="M143" s="474">
        <f>F176</f>
        <v>7.0000000000000007E-2</v>
      </c>
      <c r="N143" s="1306"/>
      <c r="O143" s="18" t="s">
        <v>13</v>
      </c>
      <c r="P143" s="473">
        <f>F186</f>
        <v>0</v>
      </c>
      <c r="Q143" s="18"/>
      <c r="R143" s="26"/>
      <c r="S143" s="18"/>
      <c r="T143" s="26"/>
      <c r="U143"/>
    </row>
    <row r="144" spans="2:21" ht="43.5" customHeight="1" x14ac:dyDescent="0.15">
      <c r="B144" s="1436" t="s">
        <v>24</v>
      </c>
      <c r="C144" s="1437"/>
      <c r="D144" s="1268" t="str">
        <f>IF(L20=2,"TVP + TPS","PST + GST")</f>
        <v>PST + GST</v>
      </c>
      <c r="E144" s="1269">
        <v>0.06</v>
      </c>
      <c r="F144" s="1269">
        <v>0.05</v>
      </c>
      <c r="G144" s="1269"/>
      <c r="H144" s="1272"/>
      <c r="I144" s="1455"/>
      <c r="J144" s="1456"/>
      <c r="L144" s="18" t="s">
        <v>14</v>
      </c>
      <c r="M144" s="474">
        <f>F177</f>
        <v>0.1</v>
      </c>
      <c r="N144" s="1306">
        <v>0.15</v>
      </c>
      <c r="O144" s="18" t="s">
        <v>14</v>
      </c>
      <c r="P144" s="473">
        <f>F187</f>
        <v>0.5</v>
      </c>
      <c r="Q144" s="18"/>
      <c r="R144" s="19"/>
      <c r="S144" s="18"/>
      <c r="T144" s="19"/>
      <c r="U144"/>
    </row>
    <row r="145" spans="2:21" ht="43.5" customHeight="1" thickBot="1" x14ac:dyDescent="0.2">
      <c r="B145" s="1457" t="s">
        <v>558</v>
      </c>
      <c r="C145" s="1458"/>
      <c r="D145" s="1276" t="str">
        <f>IF(L21=2,"TPS","GST")</f>
        <v>GST</v>
      </c>
      <c r="E145" s="1277"/>
      <c r="F145" s="1277">
        <v>0.05</v>
      </c>
      <c r="G145" s="1277"/>
      <c r="H145" s="1278"/>
      <c r="I145" s="1459"/>
      <c r="J145" s="1460"/>
      <c r="L145" s="18"/>
      <c r="M145" s="474"/>
      <c r="N145" s="1306"/>
      <c r="O145" s="18"/>
      <c r="P145" s="473"/>
      <c r="Q145" s="18"/>
      <c r="R145" s="19"/>
      <c r="S145" s="18"/>
      <c r="T145" s="19"/>
      <c r="U145"/>
    </row>
    <row r="146" spans="2:21" ht="30" customHeight="1" thickTop="1" x14ac:dyDescent="0.15">
      <c r="L146" s="18" t="s">
        <v>17</v>
      </c>
      <c r="M146" s="474">
        <f t="shared" ref="M146" si="10">F179</f>
        <v>0.1</v>
      </c>
      <c r="N146" s="1306">
        <v>0.15</v>
      </c>
      <c r="O146" s="18" t="s">
        <v>17</v>
      </c>
      <c r="P146" s="473">
        <f>F189</f>
        <v>0.5</v>
      </c>
      <c r="Q146" s="18"/>
      <c r="R146" s="19"/>
      <c r="S146" s="18"/>
      <c r="T146" s="19"/>
      <c r="U146"/>
    </row>
    <row r="147" spans="2:21" ht="30" customHeight="1" x14ac:dyDescent="0.15">
      <c r="L147" s="18" t="s">
        <v>19</v>
      </c>
      <c r="M147" s="474">
        <f>H173</f>
        <v>0</v>
      </c>
      <c r="N147" s="1306"/>
      <c r="O147" s="18" t="s">
        <v>19</v>
      </c>
      <c r="P147" s="473">
        <f t="shared" ref="P147:P153" si="11">H183</f>
        <v>0</v>
      </c>
      <c r="Q147" s="18"/>
      <c r="R147" s="26"/>
      <c r="S147" s="18"/>
      <c r="T147" s="26"/>
      <c r="U147"/>
    </row>
    <row r="148" spans="2:21" ht="30" customHeight="1" x14ac:dyDescent="0.15">
      <c r="L148" s="18" t="s">
        <v>20</v>
      </c>
      <c r="M148" s="474">
        <f t="shared" ref="M148:M154" si="12">H174</f>
        <v>0</v>
      </c>
      <c r="N148" s="1306"/>
      <c r="O148" s="18" t="s">
        <v>20</v>
      </c>
      <c r="P148" s="473">
        <f t="shared" si="11"/>
        <v>0</v>
      </c>
      <c r="Q148" s="18"/>
      <c r="R148" s="26"/>
      <c r="S148" s="18"/>
      <c r="T148" s="26"/>
      <c r="U148"/>
    </row>
    <row r="149" spans="2:21" ht="30" customHeight="1" x14ac:dyDescent="0.15">
      <c r="L149" s="18" t="s">
        <v>21</v>
      </c>
      <c r="M149" s="474">
        <f t="shared" si="12"/>
        <v>0.08</v>
      </c>
      <c r="N149" s="1306">
        <v>0.13</v>
      </c>
      <c r="O149" s="18" t="s">
        <v>21</v>
      </c>
      <c r="P149" s="473">
        <f t="shared" si="11"/>
        <v>0.82</v>
      </c>
      <c r="Q149" s="18"/>
      <c r="R149" s="19"/>
      <c r="S149" s="18"/>
      <c r="T149" s="19"/>
      <c r="U149"/>
    </row>
    <row r="150" spans="2:21" ht="30" customHeight="1" x14ac:dyDescent="0.15">
      <c r="L150" s="18" t="s">
        <v>22</v>
      </c>
      <c r="M150" s="474">
        <f t="shared" si="12"/>
        <v>0.1</v>
      </c>
      <c r="N150" s="1306">
        <v>0.15</v>
      </c>
      <c r="O150" s="18" t="s">
        <v>22</v>
      </c>
      <c r="P150" s="473">
        <f t="shared" si="11"/>
        <v>0.35</v>
      </c>
      <c r="Q150" s="18"/>
      <c r="R150" s="19"/>
      <c r="S150" s="18"/>
      <c r="T150" s="19"/>
      <c r="U150"/>
    </row>
    <row r="151" spans="2:21" ht="30" customHeight="1" x14ac:dyDescent="0.15">
      <c r="L151" s="18" t="s">
        <v>25</v>
      </c>
      <c r="M151" s="474">
        <f t="shared" si="12"/>
        <v>9.9750000000000005E-2</v>
      </c>
      <c r="N151" s="1306"/>
      <c r="O151" s="18" t="s">
        <v>25</v>
      </c>
      <c r="P151" s="473">
        <f t="shared" si="11"/>
        <v>0.5</v>
      </c>
      <c r="Q151" s="18"/>
      <c r="R151" s="26"/>
      <c r="S151" s="18"/>
      <c r="T151" s="19"/>
      <c r="U151"/>
    </row>
    <row r="152" spans="2:21" x14ac:dyDescent="0.15">
      <c r="L152" s="18" t="s">
        <v>27</v>
      </c>
      <c r="M152" s="474">
        <f t="shared" si="12"/>
        <v>0.06</v>
      </c>
      <c r="N152" s="1306"/>
      <c r="O152" s="18" t="s">
        <v>27</v>
      </c>
      <c r="P152" s="473">
        <f t="shared" si="11"/>
        <v>0</v>
      </c>
      <c r="Q152" s="18"/>
      <c r="R152" s="26"/>
      <c r="S152" s="18"/>
      <c r="T152" s="26"/>
      <c r="U152"/>
    </row>
    <row r="153" spans="2:21" x14ac:dyDescent="0.15">
      <c r="L153" s="18" t="s">
        <v>28</v>
      </c>
      <c r="M153" s="474">
        <f t="shared" si="12"/>
        <v>0</v>
      </c>
      <c r="N153" s="1305"/>
      <c r="O153" s="18" t="s">
        <v>28</v>
      </c>
      <c r="P153" s="473">
        <f t="shared" si="11"/>
        <v>0</v>
      </c>
      <c r="Q153" s="18"/>
      <c r="R153" s="26"/>
      <c r="S153" s="18"/>
      <c r="T153" s="26"/>
      <c r="U153"/>
    </row>
    <row r="154" spans="2:21" x14ac:dyDescent="0.15">
      <c r="L154" s="18"/>
      <c r="M154" s="474">
        <f t="shared" si="12"/>
        <v>0</v>
      </c>
      <c r="N154"/>
      <c r="O154" s="18"/>
      <c r="P154" s="473"/>
      <c r="Q154" s="18"/>
      <c r="R154" s="26"/>
      <c r="S154" s="18"/>
      <c r="T154" s="26"/>
      <c r="U154"/>
    </row>
    <row r="155" spans="2:21" x14ac:dyDescent="0.15">
      <c r="L155" s="18" t="s">
        <v>377</v>
      </c>
      <c r="M155" s="474">
        <f t="shared" ref="M155" si="13">E147</f>
        <v>0</v>
      </c>
      <c r="N155"/>
      <c r="O155" s="18" t="s">
        <v>377</v>
      </c>
      <c r="P155" s="473">
        <f>F183</f>
        <v>0.5</v>
      </c>
      <c r="Q155" s="475"/>
      <c r="R155" s="26"/>
      <c r="S155" s="18"/>
      <c r="T155" s="26"/>
      <c r="U155"/>
    </row>
    <row r="156" spans="2:21" x14ac:dyDescent="0.15">
      <c r="L156"/>
      <c r="M156"/>
      <c r="N156"/>
      <c r="O156"/>
      <c r="P156"/>
      <c r="Q156"/>
      <c r="R156"/>
      <c r="S156"/>
      <c r="T156"/>
      <c r="U156"/>
    </row>
    <row r="157" spans="2:21" x14ac:dyDescent="0.15">
      <c r="L157"/>
      <c r="M157"/>
      <c r="N157"/>
      <c r="O157"/>
      <c r="P157"/>
      <c r="Q157"/>
      <c r="R157"/>
      <c r="S157"/>
      <c r="T157"/>
      <c r="U157"/>
    </row>
    <row r="158" spans="2:21" ht="21" customHeight="1" x14ac:dyDescent="0.15">
      <c r="L158"/>
      <c r="M158"/>
      <c r="N158"/>
      <c r="O158" s="24" t="s">
        <v>378</v>
      </c>
      <c r="P158"/>
      <c r="Q158"/>
      <c r="R158"/>
      <c r="S158"/>
      <c r="T158"/>
      <c r="U158"/>
    </row>
    <row r="159" spans="2:21" x14ac:dyDescent="0.15">
      <c r="L159"/>
      <c r="M159"/>
      <c r="N159"/>
      <c r="O159" s="472"/>
      <c r="P159"/>
      <c r="Q159"/>
      <c r="R159"/>
      <c r="S159"/>
      <c r="T159"/>
      <c r="U159"/>
    </row>
    <row r="160" spans="2:21" ht="10.5" customHeight="1" x14ac:dyDescent="0.15">
      <c r="L160"/>
      <c r="M160"/>
      <c r="N160"/>
      <c r="O160" s="210" t="s">
        <v>379</v>
      </c>
      <c r="P160"/>
      <c r="Q160"/>
      <c r="R160"/>
      <c r="S160"/>
      <c r="T160"/>
      <c r="U160"/>
    </row>
    <row r="171" spans="5:8" ht="14" hidden="1" thickBot="1" x14ac:dyDescent="0.2"/>
    <row r="172" spans="5:8" ht="20" hidden="1" thickTop="1" thickBot="1" x14ac:dyDescent="0.2">
      <c r="E172" s="1394" t="str">
        <f>IF(L10=2,"Taux de la TPS et taux de la TVP par province","GST rate and PST Rate by Province")</f>
        <v>GST rate and PST Rate by Province</v>
      </c>
      <c r="F172" s="1395"/>
      <c r="G172" s="1395"/>
      <c r="H172" s="1396"/>
    </row>
    <row r="173" spans="5:8" ht="19" hidden="1" thickTop="1" x14ac:dyDescent="0.15">
      <c r="E173" s="1279" t="str">
        <f>IF(L10=2,"TPS Fédérale","Federal GST")</f>
        <v>Federal GST</v>
      </c>
      <c r="F173" s="1267">
        <v>0.05</v>
      </c>
      <c r="G173" s="1280" t="s">
        <v>19</v>
      </c>
      <c r="H173" s="1281">
        <f>E138</f>
        <v>0</v>
      </c>
    </row>
    <row r="174" spans="5:8" ht="18" hidden="1" x14ac:dyDescent="0.15">
      <c r="E174" s="1282" t="s">
        <v>9</v>
      </c>
      <c r="F174" s="1283">
        <f>E133</f>
        <v>0</v>
      </c>
      <c r="G174" s="1284" t="s">
        <v>20</v>
      </c>
      <c r="H174" s="1285">
        <f t="shared" ref="H174:H179" si="14">E140</f>
        <v>0</v>
      </c>
    </row>
    <row r="175" spans="5:8" ht="18" hidden="1" x14ac:dyDescent="0.15">
      <c r="E175" s="1282" t="s">
        <v>11</v>
      </c>
      <c r="F175" s="1283">
        <f>E134</f>
        <v>7.0000000000000007E-2</v>
      </c>
      <c r="G175" s="1284" t="s">
        <v>21</v>
      </c>
      <c r="H175" s="1285">
        <f t="shared" si="14"/>
        <v>0.08</v>
      </c>
    </row>
    <row r="176" spans="5:8" ht="18" hidden="1" x14ac:dyDescent="0.15">
      <c r="E176" s="1282" t="s">
        <v>13</v>
      </c>
      <c r="F176" s="1283">
        <f>E135</f>
        <v>7.0000000000000007E-2</v>
      </c>
      <c r="G176" s="1284" t="s">
        <v>22</v>
      </c>
      <c r="H176" s="1285">
        <f t="shared" si="14"/>
        <v>0.1</v>
      </c>
    </row>
    <row r="177" spans="5:8" ht="18" hidden="1" x14ac:dyDescent="0.15">
      <c r="E177" s="1282" t="s">
        <v>14</v>
      </c>
      <c r="F177" s="1283">
        <f>E136</f>
        <v>0.1</v>
      </c>
      <c r="G177" s="1284" t="s">
        <v>25</v>
      </c>
      <c r="H177" s="1285">
        <f t="shared" si="14"/>
        <v>9.9750000000000005E-2</v>
      </c>
    </row>
    <row r="178" spans="5:8" ht="18" hidden="1" x14ac:dyDescent="0.15">
      <c r="E178" s="1282" t="s">
        <v>16</v>
      </c>
      <c r="F178" s="1283">
        <f>E137</f>
        <v>0.1</v>
      </c>
      <c r="G178" s="1284" t="s">
        <v>27</v>
      </c>
      <c r="H178" s="1285">
        <f t="shared" si="14"/>
        <v>0.06</v>
      </c>
    </row>
    <row r="179" spans="5:8" ht="19" hidden="1" thickBot="1" x14ac:dyDescent="0.25">
      <c r="E179" s="1286" t="s">
        <v>17</v>
      </c>
      <c r="F179" s="1287">
        <f>E139</f>
        <v>0.1</v>
      </c>
      <c r="G179" s="1288" t="s">
        <v>28</v>
      </c>
      <c r="H179" s="1285">
        <f t="shared" si="14"/>
        <v>0</v>
      </c>
    </row>
    <row r="180" spans="5:8" ht="14" hidden="1" thickTop="1" x14ac:dyDescent="0.15">
      <c r="E180" s="1397"/>
      <c r="F180" s="1397"/>
      <c r="G180" s="1397"/>
      <c r="H180" s="1397"/>
    </row>
    <row r="181" spans="5:8" ht="14" hidden="1" thickBot="1" x14ac:dyDescent="0.2">
      <c r="E181" s="1398"/>
      <c r="F181" s="1398"/>
      <c r="G181" s="1398"/>
      <c r="H181" s="1398"/>
    </row>
    <row r="182" spans="5:8" ht="20" hidden="1" thickTop="1" thickBot="1" x14ac:dyDescent="0.2">
      <c r="E182" s="1394" t="str">
        <f>IF(L10=2,"% de remise de taxe fédérale et provinciale","% of Provincial and Federal Tax Rebate")</f>
        <v>% of Provincial and Federal Tax Rebate</v>
      </c>
      <c r="F182" s="1395"/>
      <c r="G182" s="1395"/>
      <c r="H182" s="1396"/>
    </row>
    <row r="183" spans="5:8" ht="19" hidden="1" thickTop="1" x14ac:dyDescent="0.15">
      <c r="E183" s="1289" t="str">
        <f>IF(L10=2,"Remise fédérale","Federal rebate")</f>
        <v>Federal rebate</v>
      </c>
      <c r="F183" s="1290">
        <v>0.5</v>
      </c>
      <c r="G183" s="1280" t="s">
        <v>19</v>
      </c>
      <c r="H183" s="1291">
        <f>H138</f>
        <v>0</v>
      </c>
    </row>
    <row r="184" spans="5:8" ht="18" hidden="1" x14ac:dyDescent="0.15">
      <c r="E184" s="1282" t="s">
        <v>9</v>
      </c>
      <c r="F184" s="1292">
        <f>H133</f>
        <v>0</v>
      </c>
      <c r="G184" s="1284" t="s">
        <v>20</v>
      </c>
      <c r="H184" s="1293">
        <f t="shared" ref="H184:H189" si="15">H140</f>
        <v>0</v>
      </c>
    </row>
    <row r="185" spans="5:8" ht="18" hidden="1" x14ac:dyDescent="0.15">
      <c r="E185" s="1282" t="s">
        <v>11</v>
      </c>
      <c r="F185" s="1292">
        <f>H134</f>
        <v>0</v>
      </c>
      <c r="G185" s="1284" t="s">
        <v>21</v>
      </c>
      <c r="H185" s="1293">
        <f t="shared" si="15"/>
        <v>0.82</v>
      </c>
    </row>
    <row r="186" spans="5:8" ht="18" hidden="1" x14ac:dyDescent="0.15">
      <c r="E186" s="1282" t="s">
        <v>13</v>
      </c>
      <c r="F186" s="1292">
        <f>H135</f>
        <v>0</v>
      </c>
      <c r="G186" s="1284" t="s">
        <v>22</v>
      </c>
      <c r="H186" s="1293">
        <f t="shared" si="15"/>
        <v>0.35</v>
      </c>
    </row>
    <row r="187" spans="5:8" ht="18" hidden="1" x14ac:dyDescent="0.15">
      <c r="E187" s="1282" t="s">
        <v>14</v>
      </c>
      <c r="F187" s="1292">
        <f>H136</f>
        <v>0.5</v>
      </c>
      <c r="G187" s="1284" t="s">
        <v>25</v>
      </c>
      <c r="H187" s="1293">
        <f t="shared" si="15"/>
        <v>0.5</v>
      </c>
    </row>
    <row r="188" spans="5:8" ht="18" hidden="1" x14ac:dyDescent="0.15">
      <c r="E188" s="1282" t="s">
        <v>16</v>
      </c>
      <c r="F188" s="1292">
        <f>H137</f>
        <v>0.5</v>
      </c>
      <c r="G188" s="1284" t="s">
        <v>27</v>
      </c>
      <c r="H188" s="1293">
        <f t="shared" si="15"/>
        <v>0</v>
      </c>
    </row>
    <row r="189" spans="5:8" ht="19" hidden="1" thickBot="1" x14ac:dyDescent="0.25">
      <c r="E189" s="1286" t="s">
        <v>17</v>
      </c>
      <c r="F189" s="1294">
        <f>H139</f>
        <v>0.5</v>
      </c>
      <c r="G189" s="1288" t="s">
        <v>28</v>
      </c>
      <c r="H189" s="1293">
        <f t="shared" si="15"/>
        <v>0</v>
      </c>
    </row>
  </sheetData>
  <sheetProtection algorithmName="SHA-512" hashValue="35iLNZESIOQL67AYoh+8BSeSs3Luk8dc+Dk3Gat+pUrLs9OMFzWGpuZXgjDDBf1ACKZclLk2zhV6/x/C6DbXcA==" saltValue="JSjLNeur1Yk5WIxziXRMWg==" spinCount="100000" sheet="1" selectLockedCells="1"/>
  <protectedRanges>
    <protectedRange sqref="B8:D8 F20 D33 B15:B16 F18:H18 B18:D18 B32" name="Range7_1"/>
    <protectedRange sqref="I20 C15:D16 G20" name="Range7_1_3"/>
  </protectedRanges>
  <mergeCells count="164">
    <mergeCell ref="I141:J141"/>
    <mergeCell ref="I142:J142"/>
    <mergeCell ref="I143:J143"/>
    <mergeCell ref="I144:J144"/>
    <mergeCell ref="B145:C145"/>
    <mergeCell ref="I145:J145"/>
    <mergeCell ref="I132:J132"/>
    <mergeCell ref="I133:J133"/>
    <mergeCell ref="I134:J134"/>
    <mergeCell ref="I135:J135"/>
    <mergeCell ref="I136:J136"/>
    <mergeCell ref="I137:J137"/>
    <mergeCell ref="I138:J138"/>
    <mergeCell ref="I139:J139"/>
    <mergeCell ref="I140:J140"/>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L140:M140"/>
    <mergeCell ref="O140:P140"/>
    <mergeCell ref="B123:J123"/>
    <mergeCell ref="B1:J1"/>
    <mergeCell ref="B2:J2"/>
    <mergeCell ref="B3:J3"/>
    <mergeCell ref="B4:C6"/>
    <mergeCell ref="G4:H4"/>
    <mergeCell ref="G5:H6"/>
    <mergeCell ref="B8:D8"/>
    <mergeCell ref="D5:F6"/>
    <mergeCell ref="F8:J8"/>
    <mergeCell ref="C21:D21"/>
    <mergeCell ref="C98:F98"/>
    <mergeCell ref="C99:F99"/>
    <mergeCell ref="C101:F101"/>
    <mergeCell ref="B109:B118"/>
    <mergeCell ref="B29:J29"/>
    <mergeCell ref="B41:J41"/>
    <mergeCell ref="B96:J96"/>
    <mergeCell ref="B105:J105"/>
    <mergeCell ref="G93:I93"/>
    <mergeCell ref="F10:G10"/>
    <mergeCell ref="D117:F117"/>
    <mergeCell ref="D118:F118"/>
    <mergeCell ref="D112:F112"/>
    <mergeCell ref="D113:F113"/>
    <mergeCell ref="D114:F114"/>
    <mergeCell ref="D115:F115"/>
    <mergeCell ref="D116:F116"/>
    <mergeCell ref="D107:F107"/>
    <mergeCell ref="D109:F109"/>
    <mergeCell ref="D110:F110"/>
    <mergeCell ref="D111:F111"/>
    <mergeCell ref="B100:F100"/>
    <mergeCell ref="B20:B21"/>
    <mergeCell ref="B24:B25"/>
    <mergeCell ref="C102:F102"/>
    <mergeCell ref="C45:C62"/>
    <mergeCell ref="C64:C72"/>
    <mergeCell ref="C76:C84"/>
    <mergeCell ref="C86:C94"/>
    <mergeCell ref="F63:I63"/>
    <mergeCell ref="G64:I64"/>
    <mergeCell ref="F85:I85"/>
    <mergeCell ref="G86:I86"/>
    <mergeCell ref="G87:I87"/>
    <mergeCell ref="G88:I88"/>
    <mergeCell ref="G89:I89"/>
    <mergeCell ref="G90:I90"/>
    <mergeCell ref="G59:I59"/>
    <mergeCell ref="G60:I60"/>
    <mergeCell ref="G81:I81"/>
    <mergeCell ref="G82:I82"/>
    <mergeCell ref="G83:I83"/>
    <mergeCell ref="G84:I84"/>
    <mergeCell ref="G67:I67"/>
    <mergeCell ref="G68:I68"/>
    <mergeCell ref="G69:I69"/>
    <mergeCell ref="G70:I70"/>
    <mergeCell ref="G71:I71"/>
    <mergeCell ref="G72:I72"/>
    <mergeCell ref="G74:I74"/>
    <mergeCell ref="F75:I75"/>
    <mergeCell ref="G91:I91"/>
    <mergeCell ref="G92:I92"/>
    <mergeCell ref="J99:J102"/>
    <mergeCell ref="I126:J128"/>
    <mergeCell ref="D125:G125"/>
    <mergeCell ref="E172:H172"/>
    <mergeCell ref="E182:H182"/>
    <mergeCell ref="E180:H181"/>
    <mergeCell ref="F43:I43"/>
    <mergeCell ref="F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D10:E10"/>
    <mergeCell ref="G94:I94"/>
    <mergeCell ref="D126:G126"/>
    <mergeCell ref="D127:G127"/>
    <mergeCell ref="D128:G128"/>
    <mergeCell ref="C31:E31"/>
    <mergeCell ref="C32:E32"/>
    <mergeCell ref="F20:H20"/>
    <mergeCell ref="I20:J20"/>
    <mergeCell ref="I21:J21"/>
    <mergeCell ref="I22:J22"/>
    <mergeCell ref="I23:J23"/>
    <mergeCell ref="I24:J24"/>
    <mergeCell ref="I25:J25"/>
    <mergeCell ref="F21:H21"/>
    <mergeCell ref="F22:H22"/>
    <mergeCell ref="F23:H23"/>
    <mergeCell ref="F24:H24"/>
    <mergeCell ref="F25:H25"/>
    <mergeCell ref="G76:I76"/>
    <mergeCell ref="G77:I77"/>
    <mergeCell ref="G78:I78"/>
    <mergeCell ref="G79:I79"/>
    <mergeCell ref="G80:I80"/>
    <mergeCell ref="C11:E11"/>
    <mergeCell ref="C12:E12"/>
    <mergeCell ref="C13:E13"/>
    <mergeCell ref="C14:E14"/>
    <mergeCell ref="C15:E15"/>
    <mergeCell ref="C16:E16"/>
    <mergeCell ref="C74:E74"/>
    <mergeCell ref="C73:I73"/>
    <mergeCell ref="G61:I61"/>
    <mergeCell ref="G62:I62"/>
    <mergeCell ref="F12:G12"/>
    <mergeCell ref="F14:G14"/>
    <mergeCell ref="F16:G16"/>
    <mergeCell ref="B27:J27"/>
    <mergeCell ref="B18:D18"/>
    <mergeCell ref="C20:D20"/>
    <mergeCell ref="F18:J18"/>
    <mergeCell ref="H12:J12"/>
    <mergeCell ref="H14:J14"/>
    <mergeCell ref="C23:D23"/>
    <mergeCell ref="C24:D24"/>
    <mergeCell ref="G65:I65"/>
    <mergeCell ref="G66:I66"/>
    <mergeCell ref="C22:D22"/>
  </mergeCells>
  <conditionalFormatting sqref="B3:J3">
    <cfRule type="cellIs" dxfId="174" priority="11" operator="equal">
      <formula>1</formula>
    </cfRule>
  </conditionalFormatting>
  <conditionalFormatting sqref="F50:H62 F66:H72">
    <cfRule type="expression" dxfId="173" priority="179">
      <formula>$G50="Disponible ~ Available"</formula>
    </cfRule>
  </conditionalFormatting>
  <conditionalFormatting sqref="F78:H84 F88:H94">
    <cfRule type="expression" dxfId="172" priority="181">
      <formula>$G78="Disponible ~ Available"</formula>
    </cfRule>
  </conditionalFormatting>
  <conditionalFormatting sqref="G37:H37 G38:G39">
    <cfRule type="cellIs" dxfId="171" priority="18" operator="equal">
      <formula>#N/A</formula>
    </cfRule>
  </conditionalFormatting>
  <conditionalFormatting sqref="H109:I118">
    <cfRule type="cellIs" dxfId="170" priority="9" operator="equal">
      <formula>0</formula>
    </cfRule>
  </conditionalFormatting>
  <conditionalFormatting sqref="H126:I126 H127:H128">
    <cfRule type="cellIs" dxfId="169" priority="1" operator="equal">
      <formula>#N/A</formula>
    </cfRule>
  </conditionalFormatting>
  <conditionalFormatting sqref="J99">
    <cfRule type="expression" dxfId="168" priority="15">
      <formula>ABS(S43)&gt;=1</formula>
    </cfRule>
    <cfRule type="expression" dxfId="167" priority="16">
      <formula>ABS(S43)&lt;1</formula>
    </cfRule>
  </conditionalFormatting>
  <conditionalFormatting sqref="J109:J118">
    <cfRule type="cellIs" dxfId="166" priority="10" operator="equal">
      <formula>0</formula>
    </cfRule>
  </conditionalFormatting>
  <dataValidations count="14">
    <dataValidation allowBlank="1" showErrorMessage="1" sqref="G101" xr:uid="{00000000-0002-0000-0000-000000000000}">
      <formula1>0</formula1>
      <formula2>0</formula2>
    </dataValidation>
    <dataValidation allowBlank="1" showErrorMessage="1" promptTitle="3110" prompt="Enter the amount from line 3110 of last year's ACC-9 (page 4)" sqref="G100" xr:uid="{00000000-0002-0000-0000-000001000000}">
      <formula1>0</formula1>
      <formula2>0</formula2>
    </dataValidation>
    <dataValidation allowBlank="1" showErrorMessage="1" promptTitle="3100" prompt="Enter line 3100 from last year's ACC-9 (from page 4)" sqref="G99" xr:uid="{00000000-0002-0000-0000-000002000000}">
      <formula1>0</formula1>
      <formula2>0</formula2>
    </dataValidation>
    <dataValidation allowBlank="1" showErrorMessage="1" promptTitle="1700" prompt="Enter the amount from last year's ACC-9 line 1700 (page 4 of the ACC-9)" sqref="G98" xr:uid="{00000000-0002-0000-0000-000003000000}">
      <formula1>0</formula1>
      <formula2>0</formula2>
    </dataValidation>
    <dataValidation type="whole" operator="greaterThanOrEqual" allowBlank="1" showErrorMessage="1" errorTitle="Wrong Data" error="The format of the number is not valid." promptTitle="Number of Cadets" prompt="Must be a whole number. /Doit être un nombre entier." sqref="H16" xr:uid="{00000000-0002-0000-0000-000004000000}">
      <formula1>1</formula1>
    </dataValidation>
    <dataValidation type="list" allowBlank="1" showInputMessage="1" showErrorMessage="1" sqref="G36 H125" xr:uid="{00000000-0002-0000-0000-000007000000}">
      <formula1>$R$20:$R$32</formula1>
      <formula2>0</formula2>
    </dataValidation>
    <dataValidation type="list" allowBlank="1" showInputMessage="1" showErrorMessage="1" sqref="J109:J118" xr:uid="{00000000-0002-0000-0000-000008000000}">
      <formula1>$N$37:$N$80</formula1>
    </dataValidation>
    <dataValidation type="list" allowBlank="1" showInputMessage="1" showErrorMessage="1" sqref="G32" xr:uid="{00000000-0002-0000-0000-000009000000}">
      <formula1>$L$36:$L$37</formula1>
      <formula2>0</formula2>
    </dataValidation>
    <dataValidation type="list" allowBlank="1" showInputMessage="1" showErrorMessage="1" sqref="C11:D11" xr:uid="{263E3EE4-F426-4CF9-868A-B7CF39E869C2}">
      <formula1>$O$20:$O$31</formula1>
    </dataValidation>
    <dataValidation type="list" allowBlank="1" showInputMessage="1" showErrorMessage="1" sqref="C20:D20 C24:D24" xr:uid="{8E6C4E6B-E55C-40F4-B320-6E6C6C1CCFD2}">
      <formula1>$L$28:$L$29</formula1>
    </dataValidation>
    <dataValidation type="whole" allowBlank="1" showInputMessage="1" showErrorMessage="1" sqref="H10" xr:uid="{3D72C13A-B976-4B22-A3BA-1064C0DB706F}">
      <formula1>1</formula1>
      <formula2>6000</formula2>
    </dataValidation>
    <dataValidation allowBlank="1" showErrorMessage="1" promptTitle="Year" prompt="Select the year for the start of the training year from the drop down list." sqref="F32" xr:uid="{00000000-0002-0000-0000-000005000000}">
      <formula1>0</formula1>
      <formula2>0</formula2>
    </dataValidation>
    <dataValidation type="list" allowBlank="1" showErrorMessage="1" promptTitle="Year" prompt="Select the year for the start of the training year from the drop down list." sqref="F31" xr:uid="{00000000-0002-0000-0000-000006000000}">
      <formula1>$K$15:$K$22</formula1>
    </dataValidation>
    <dataValidation type="list" allowBlank="1" showInputMessage="1" showErrorMessage="1" sqref="G5:H6" xr:uid="{9EF1D140-2B85-4243-AA53-9EBE6D604A73}">
      <formula1>$L$15:$L$16</formula1>
    </dataValidation>
  </dataValidations>
  <printOptions horizontalCentered="1"/>
  <pageMargins left="0.66944444444444395" right="0.118055555555556" top="0.39374999999999999" bottom="0.31527777777777799" header="0.511811023622047" footer="0.15763888888888899"/>
  <pageSetup scale="49" fitToHeight="0" orientation="portrait" horizontalDpi="300" verticalDpi="300" r:id="rId1"/>
  <headerFooter>
    <oddFooter>&amp;L&amp;D&amp;R&amp;P/&amp;N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sheetPr>
  <dimension ref="A1:AMJ79"/>
  <sheetViews>
    <sheetView showGridLines="0" showZeros="0" zoomScale="85" zoomScaleNormal="85" workbookViewId="0">
      <selection activeCell="J22" sqref="J22"/>
    </sheetView>
  </sheetViews>
  <sheetFormatPr baseColWidth="10" defaultColWidth="11.5" defaultRowHeight="13" x14ac:dyDescent="0.15"/>
  <cols>
    <col min="1" max="1" width="5" style="1" customWidth="1"/>
    <col min="2" max="2" width="3.33203125" style="1" customWidth="1"/>
    <col min="3" max="3" width="3.6640625" style="1" customWidth="1"/>
    <col min="4" max="4" width="5.5" style="1" customWidth="1"/>
    <col min="5" max="5" width="9.5" style="1" customWidth="1"/>
    <col min="6" max="6" width="9.1640625" style="1" customWidth="1"/>
    <col min="7" max="7" width="9.5" style="1" customWidth="1"/>
    <col min="8" max="8" width="9.1640625" style="1" customWidth="1"/>
    <col min="9" max="9" width="46.33203125" style="1" customWidth="1"/>
    <col min="10" max="10" width="15.6640625" style="1" customWidth="1"/>
    <col min="11" max="11" width="15.83203125" style="1" customWidth="1"/>
    <col min="12" max="12" width="1.5" style="1" customWidth="1"/>
    <col min="13" max="13" width="9.1640625" style="1" customWidth="1"/>
    <col min="14" max="14" width="22.5" style="1" customWidth="1"/>
    <col min="15" max="15" width="12.33203125" style="1" customWidth="1"/>
    <col min="16" max="256" width="9.1640625" style="1" customWidth="1"/>
    <col min="257" max="1024" width="11.5" style="1"/>
  </cols>
  <sheetData>
    <row r="1" spans="1:20" ht="33.75" customHeight="1" x14ac:dyDescent="0.15">
      <c r="B1" s="1732" t="str">
        <f>IF(N4=2,"État des résultats","Statement of Operations")</f>
        <v>Statement of Operations</v>
      </c>
      <c r="C1" s="1732"/>
      <c r="D1" s="1732"/>
      <c r="E1" s="1732"/>
      <c r="F1" s="1732"/>
      <c r="G1" s="1732"/>
      <c r="H1" s="1732"/>
      <c r="I1" s="1732"/>
      <c r="J1" s="1732"/>
      <c r="K1" s="1732"/>
      <c r="L1" s="232"/>
    </row>
    <row r="2" spans="1:20" ht="33.75" customHeight="1" x14ac:dyDescent="0.15">
      <c r="B2" s="1733" t="str">
        <f>'Set up ~ Config'!B2:J2</f>
        <v xml:space="preserve">SSC </v>
      </c>
      <c r="C2" s="1733"/>
      <c r="D2" s="1733"/>
      <c r="E2" s="1733"/>
      <c r="F2" s="1733"/>
      <c r="G2" s="1733"/>
      <c r="H2" s="1733"/>
      <c r="I2" s="1733"/>
      <c r="J2" s="1733"/>
      <c r="K2" s="1733"/>
      <c r="L2" s="232"/>
    </row>
    <row r="3" spans="1:20" ht="47.25" customHeight="1" x14ac:dyDescent="0.2">
      <c r="B3" s="1643" t="str">
        <f>IF(N4=2,"REVENUS","REVENUES")</f>
        <v>REVENUES</v>
      </c>
      <c r="C3" s="1643"/>
      <c r="D3" s="1643"/>
      <c r="E3" s="1643"/>
      <c r="F3" s="1643"/>
      <c r="G3" s="1643"/>
      <c r="H3" s="1643"/>
      <c r="I3" s="1643"/>
      <c r="J3" s="1643"/>
      <c r="K3" s="1643"/>
      <c r="L3" s="233"/>
      <c r="O3" s="234"/>
    </row>
    <row r="4" spans="1:20" ht="23.25" customHeight="1" x14ac:dyDescent="0.15">
      <c r="A4" s="3"/>
      <c r="B4" s="1734" t="e">
        <f>'Cover~Page~Titre'!B58:Y58</f>
        <v>#VALUE!</v>
      </c>
      <c r="C4" s="1734"/>
      <c r="D4" s="1734"/>
      <c r="E4" s="1734"/>
      <c r="F4" s="1734"/>
      <c r="G4" s="1734"/>
      <c r="H4" s="1734"/>
      <c r="I4" s="1734"/>
      <c r="J4" s="1734"/>
      <c r="K4" s="1734"/>
      <c r="L4" s="3"/>
      <c r="N4" s="23">
        <f>'Set up ~ Config'!L10</f>
        <v>1</v>
      </c>
    </row>
    <row r="5" spans="1:20" ht="24" customHeight="1" x14ac:dyDescent="0.15">
      <c r="B5" s="1735"/>
      <c r="C5" s="1735"/>
      <c r="D5" s="1735"/>
      <c r="E5" s="1735"/>
      <c r="F5" s="235"/>
      <c r="G5" s="236"/>
      <c r="H5" s="1736"/>
      <c r="I5" s="1736"/>
      <c r="J5" s="237"/>
    </row>
    <row r="6" spans="1:20" ht="12" hidden="1" customHeight="1" x14ac:dyDescent="0.15">
      <c r="B6" s="238"/>
      <c r="C6" s="238"/>
      <c r="D6" s="238"/>
      <c r="E6" s="238"/>
      <c r="F6" s="238"/>
      <c r="G6" s="238"/>
      <c r="H6" s="238"/>
      <c r="I6" s="238"/>
      <c r="J6" s="239"/>
    </row>
    <row r="7" spans="1:20" ht="18" customHeight="1" x14ac:dyDescent="0.15">
      <c r="B7" s="1727"/>
      <c r="C7" s="1720" t="str">
        <f>CONCATENATE('Jrnl Rev'!Q4," - ",'Jrnl Rev'!Q5)</f>
        <v>4000 - Donations, Grants &amp; Other</v>
      </c>
      <c r="D7" s="1720"/>
      <c r="E7" s="1720"/>
      <c r="F7" s="1720"/>
      <c r="G7" s="1720"/>
      <c r="H7" s="1720"/>
      <c r="I7" s="1720"/>
      <c r="J7" s="1720"/>
      <c r="K7" s="1720"/>
      <c r="L7" s="12"/>
      <c r="N7" s="240"/>
    </row>
    <row r="8" spans="1:20" s="198" customFormat="1" ht="18" customHeight="1" x14ac:dyDescent="0.15">
      <c r="B8" s="1727"/>
      <c r="C8" s="1721" t="str">
        <f>LEFT('Jrnl Rev'!Q7,1)</f>
        <v>1</v>
      </c>
      <c r="D8" s="241" t="str">
        <f>RIGHT('Jrnl Rev'!Q$7,3)</f>
        <v>(a)</v>
      </c>
      <c r="E8" s="242">
        <f>+'Jrnl Rev'!Q6</f>
        <v>4010</v>
      </c>
      <c r="F8" s="1729" t="str">
        <f>+'Jrnl Rev'!Q8</f>
        <v>From Official Sponsor(s)</v>
      </c>
      <c r="G8" s="1729"/>
      <c r="H8" s="1729"/>
      <c r="I8" s="1729"/>
      <c r="J8" s="243">
        <f>+'Jrnl Rev'!Q516</f>
        <v>0</v>
      </c>
      <c r="K8" s="1730"/>
      <c r="M8" s="244"/>
      <c r="N8" s="12"/>
      <c r="O8" s="12"/>
    </row>
    <row r="9" spans="1:20" s="198" customFormat="1" ht="18" customHeight="1" x14ac:dyDescent="0.15">
      <c r="B9" s="1727"/>
      <c r="C9" s="1721"/>
      <c r="D9" s="245" t="str">
        <f>RIGHT('Jrnl Rev'!R$7,3)</f>
        <v>(b)</v>
      </c>
      <c r="E9" s="246">
        <f>+'Jrnl Rev'!R6</f>
        <v>4020</v>
      </c>
      <c r="F9" s="1722" t="str">
        <f>+'Jrnl Rev'!R8</f>
        <v>From Non-Sponsor Veterans Organizations, Auxiliaries</v>
      </c>
      <c r="G9" s="1722"/>
      <c r="H9" s="1722"/>
      <c r="I9" s="1722"/>
      <c r="J9" s="247">
        <f>+'Jrnl Rev'!R516</f>
        <v>0</v>
      </c>
      <c r="K9" s="1730"/>
      <c r="M9" s="244"/>
    </row>
    <row r="10" spans="1:20" s="198" customFormat="1" ht="18" customHeight="1" x14ac:dyDescent="0.15">
      <c r="B10" s="1727"/>
      <c r="C10" s="1721"/>
      <c r="D10" s="245" t="str">
        <f>RIGHT('Jrnl Rev'!S$7,3)</f>
        <v>(c)</v>
      </c>
      <c r="E10" s="246">
        <f>+'Jrnl Rev'!S6</f>
        <v>4030</v>
      </c>
      <c r="F10" s="1722" t="str">
        <f>+'Jrnl Rev'!S8</f>
        <v>From Other Service Clubs (Charities)</v>
      </c>
      <c r="G10" s="1722"/>
      <c r="H10" s="1722"/>
      <c r="I10" s="1722"/>
      <c r="J10" s="247">
        <f>+'Jrnl Rev'!S516</f>
        <v>0</v>
      </c>
      <c r="K10" s="1730"/>
      <c r="M10" s="244"/>
    </row>
    <row r="11" spans="1:20" s="198" customFormat="1" ht="18" customHeight="1" x14ac:dyDescent="0.15">
      <c r="B11" s="1727"/>
      <c r="C11" s="1721"/>
      <c r="D11" s="245" t="str">
        <f>RIGHT('Jrnl Rev'!X$7,3)</f>
        <v>(d)</v>
      </c>
      <c r="E11" s="246">
        <f>+'Jrnl Rev'!X6</f>
        <v>4040</v>
      </c>
      <c r="F11" s="1722" t="str">
        <f>+'Jrnl Rev'!X8</f>
        <v>Specific Purpose Non-DND Grants</v>
      </c>
      <c r="G11" s="1722"/>
      <c r="H11" s="1722"/>
      <c r="I11" s="1722"/>
      <c r="J11" s="247">
        <f>+'Jrnl Rev'!X516</f>
        <v>0</v>
      </c>
      <c r="K11" s="1730"/>
      <c r="M11" s="244"/>
    </row>
    <row r="12" spans="1:20" s="198" customFormat="1" ht="18" customHeight="1" x14ac:dyDescent="0.15">
      <c r="B12" s="1727"/>
      <c r="C12" s="1721"/>
      <c r="D12" s="245" t="str">
        <f>RIGHT('Jrnl Rev'!Y$7,3)</f>
        <v>(e)</v>
      </c>
      <c r="E12" s="246">
        <f>+'Jrnl Rev'!Y6</f>
        <v>4050</v>
      </c>
      <c r="F12" s="1722" t="str">
        <f>+'Jrnl Rev'!Y8</f>
        <v>Bequests and Such</v>
      </c>
      <c r="G12" s="1722"/>
      <c r="H12" s="1722"/>
      <c r="I12" s="1722"/>
      <c r="J12" s="247">
        <f>+'Jrnl Rev'!Y516</f>
        <v>0</v>
      </c>
      <c r="K12" s="1730"/>
      <c r="M12" s="244"/>
    </row>
    <row r="13" spans="1:20" s="198" customFormat="1" ht="18" customHeight="1" x14ac:dyDescent="0.15">
      <c r="B13" s="1727"/>
      <c r="C13" s="1721"/>
      <c r="D13" s="245" t="str">
        <f>RIGHT('Jrnl Rev'!Z$7,3)</f>
        <v>(f)</v>
      </c>
      <c r="E13" s="246">
        <f>+'Jrnl Rev'!Z6</f>
        <v>4060</v>
      </c>
      <c r="F13" s="1722" t="str">
        <f>+'Jrnl Rev'!Z8</f>
        <v>Non-Tax Receipt - Other Donations</v>
      </c>
      <c r="G13" s="1722"/>
      <c r="H13" s="1722"/>
      <c r="I13" s="1722"/>
      <c r="J13" s="247">
        <f>+'Jrnl Rev'!Z516</f>
        <v>0</v>
      </c>
      <c r="K13" s="1730"/>
      <c r="M13" s="244"/>
    </row>
    <row r="14" spans="1:20" s="198" customFormat="1" ht="18" customHeight="1" x14ac:dyDescent="0.15">
      <c r="B14" s="1727"/>
      <c r="C14" s="1721"/>
      <c r="D14" s="245" t="str">
        <f>RIGHT('Jrnl Rev'!AA$7,3)</f>
        <v>(g)</v>
      </c>
      <c r="E14" s="246">
        <f>+'Jrnl Rev'!AA6</f>
        <v>4070</v>
      </c>
      <c r="F14" s="1722" t="str">
        <f>+'Jrnl Rev'!AA8</f>
        <v>Tax Receipt - Other Donations</v>
      </c>
      <c r="G14" s="1722"/>
      <c r="H14" s="1722"/>
      <c r="I14" s="1722"/>
      <c r="J14" s="247">
        <f>+'Jrnl Rev'!AA516</f>
        <v>0</v>
      </c>
      <c r="K14" s="1730"/>
      <c r="M14" s="244"/>
    </row>
    <row r="15" spans="1:20" s="198" customFormat="1" ht="18" customHeight="1" x14ac:dyDescent="0.15">
      <c r="B15" s="1727"/>
      <c r="C15" s="1721"/>
      <c r="D15" s="245" t="str">
        <f>RIGHT('Jrnl Rev'!AB$7,3)</f>
        <v>(h)</v>
      </c>
      <c r="E15" s="246">
        <f>+'Jrnl Rev'!AB6</f>
        <v>4080</v>
      </c>
      <c r="F15" s="1722" t="str">
        <f>IF('Jrnl Rev'!AB$8="Disponible ~ Available",IF($N$4=2,"Disponible","Available"),'Jrnl Rev'!AB$8)</f>
        <v>Available</v>
      </c>
      <c r="G15" s="1722"/>
      <c r="H15" s="1722"/>
      <c r="I15" s="1722"/>
      <c r="J15" s="247">
        <f>+'Jrnl Rev'!AB516</f>
        <v>0</v>
      </c>
      <c r="K15" s="1730"/>
      <c r="M15" s="244"/>
      <c r="P15" s="248"/>
      <c r="Q15" s="12"/>
      <c r="R15" s="12"/>
      <c r="S15" s="12"/>
      <c r="T15" s="12"/>
    </row>
    <row r="16" spans="1:20" s="198" customFormat="1" ht="18" customHeight="1" x14ac:dyDescent="0.15">
      <c r="B16" s="1727"/>
      <c r="C16" s="1721"/>
      <c r="D16" s="249" t="str">
        <f>RIGHT('Jrnl Rev'!AC$7,3)</f>
        <v>(i)</v>
      </c>
      <c r="E16" s="246">
        <f>+'Jrnl Rev'!AC6</f>
        <v>4090</v>
      </c>
      <c r="F16" s="1722" t="str">
        <f>IF('Jrnl Rev'!AC$8="Disponible ~ Available",IF($N$4=2,"Disponible","Available"),'Jrnl Rev'!AC$8)</f>
        <v>Available</v>
      </c>
      <c r="G16" s="1722"/>
      <c r="H16" s="1722"/>
      <c r="I16" s="1722"/>
      <c r="J16" s="247">
        <f>+'Jrnl Rev'!AC516</f>
        <v>0</v>
      </c>
      <c r="K16" s="1730"/>
      <c r="M16" s="244"/>
      <c r="P16" s="248"/>
      <c r="Q16" s="12"/>
      <c r="R16" s="12"/>
      <c r="S16" s="12"/>
      <c r="T16" s="12"/>
    </row>
    <row r="17" spans="2:16" s="198" customFormat="1" ht="18" customHeight="1" x14ac:dyDescent="0.15">
      <c r="B17" s="1727"/>
      <c r="C17" s="250"/>
      <c r="D17" s="251"/>
      <c r="E17" s="252">
        <v>4099</v>
      </c>
      <c r="F17" s="1731" t="str">
        <f>CONCATENATE('Jrnl Rev'!Q5," - ","Total")</f>
        <v>Donations, Grants &amp; Other - Total</v>
      </c>
      <c r="G17" s="1731"/>
      <c r="H17" s="1731"/>
      <c r="I17" s="1731"/>
      <c r="J17" s="1731"/>
      <c r="K17" s="253">
        <f>SUM(J8:J16)</f>
        <v>0</v>
      </c>
    </row>
    <row r="18" spans="2:16" ht="16" x14ac:dyDescent="0.15">
      <c r="B18" s="218"/>
      <c r="C18" s="1709"/>
      <c r="D18" s="1709"/>
      <c r="E18" s="1709"/>
      <c r="F18" s="1709"/>
      <c r="G18" s="1709"/>
      <c r="H18" s="1709"/>
      <c r="I18" s="1709"/>
      <c r="J18" s="1709"/>
      <c r="K18" s="1709"/>
    </row>
    <row r="19" spans="2:16" ht="18" customHeight="1" x14ac:dyDescent="0.15">
      <c r="B19" s="1727"/>
      <c r="C19" s="1728" t="str">
        <f>CONCATENATE('Jrnl Rev'!AD4," - ",'Jrnl Rev'!AD5)</f>
        <v>4200 - Gaming &amp; Lotteries Fundraising</v>
      </c>
      <c r="D19" s="1728"/>
      <c r="E19" s="1728"/>
      <c r="F19" s="1728"/>
      <c r="G19" s="1728"/>
      <c r="H19" s="1728"/>
      <c r="I19" s="1728"/>
      <c r="J19" s="1728"/>
      <c r="K19" s="1728"/>
    </row>
    <row r="20" spans="2:16" s="198" customFormat="1" ht="18" customHeight="1" x14ac:dyDescent="0.15">
      <c r="B20" s="1727"/>
      <c r="C20" s="1721" t="str">
        <f>LEFT('Jrnl Rev'!AD7,1)</f>
        <v>2</v>
      </c>
      <c r="D20" s="241" t="str">
        <f>RIGHT('Jrnl Rev'!AD$7,3)</f>
        <v>(a)</v>
      </c>
      <c r="E20" s="246">
        <f>+'Jrnl Rev'!AD6</f>
        <v>4210</v>
      </c>
      <c r="F20" s="1722" t="str">
        <f>IF('Jrnl Rev'!AD$8="Disponible ~ Available",IF($N$4=2,"Disponible","Available"),'Jrnl Rev'!AD$8)</f>
        <v>Available</v>
      </c>
      <c r="G20" s="1722"/>
      <c r="H20" s="1722"/>
      <c r="I20" s="1722"/>
      <c r="J20" s="254">
        <f>+'Jrnl Rev'!AD516</f>
        <v>0</v>
      </c>
      <c r="K20" s="1725"/>
      <c r="M20" s="255"/>
    </row>
    <row r="21" spans="2:16" s="198" customFormat="1" ht="18" customHeight="1" x14ac:dyDescent="0.15">
      <c r="B21" s="1727"/>
      <c r="C21" s="1721"/>
      <c r="D21" s="245" t="str">
        <f>RIGHT('Jrnl Rev'!AE$7,3)</f>
        <v>(b)</v>
      </c>
      <c r="E21" s="246">
        <f>+'Jrnl Rev'!AE6</f>
        <v>4220</v>
      </c>
      <c r="F21" s="1722" t="str">
        <f>IF('Jrnl Rev'!AE$8="Disponible ~ Available",IF($N$4=2,"Disponible","Available"),'Jrnl Rev'!AE$8)</f>
        <v>Available</v>
      </c>
      <c r="G21" s="1722"/>
      <c r="H21" s="1722"/>
      <c r="I21" s="1722"/>
      <c r="J21" s="256">
        <f>+'Jrnl Rev'!AE516</f>
        <v>0</v>
      </c>
      <c r="K21" s="1725"/>
      <c r="M21" s="255"/>
    </row>
    <row r="22" spans="2:16" s="198" customFormat="1" ht="18" customHeight="1" x14ac:dyDescent="0.15">
      <c r="B22" s="1727"/>
      <c r="C22" s="1721"/>
      <c r="D22" s="245" t="str">
        <f>RIGHT('Jrnl Rev'!AF$7,3)</f>
        <v>(c)</v>
      </c>
      <c r="E22" s="246">
        <f>+'Jrnl Rev'!AF6</f>
        <v>4230</v>
      </c>
      <c r="F22" s="1722" t="str">
        <f>IF('Jrnl Rev'!AF$8="Disponible ~ Available",IF($N$4=2,"Disponible","Available"),'Jrnl Rev'!AF$8)</f>
        <v>Available</v>
      </c>
      <c r="G22" s="1722"/>
      <c r="H22" s="1722"/>
      <c r="I22" s="1722"/>
      <c r="J22" s="256">
        <f>+'Jrnl Rev'!AF516</f>
        <v>0</v>
      </c>
      <c r="K22" s="1725"/>
      <c r="M22" s="255"/>
      <c r="P22" s="219"/>
    </row>
    <row r="23" spans="2:16" s="198" customFormat="1" ht="18" customHeight="1" x14ac:dyDescent="0.15">
      <c r="B23" s="1727"/>
      <c r="C23" s="1721"/>
      <c r="D23" s="245" t="str">
        <f>RIGHT('Jrnl Rev'!AG$7,3)</f>
        <v>(e)</v>
      </c>
      <c r="E23" s="246">
        <f>+'Jrnl Rev'!AG6</f>
        <v>4240</v>
      </c>
      <c r="F23" s="1722" t="str">
        <f>IF('Jrnl Rev'!AG$8="Disponible ~ Available",IF($N$4=2,"Disponible","Available"),'Jrnl Rev'!AG$8)</f>
        <v>Available</v>
      </c>
      <c r="G23" s="1722"/>
      <c r="H23" s="1722"/>
      <c r="I23" s="1722"/>
      <c r="J23" s="256">
        <f>+'Jrnl Rev'!AG516</f>
        <v>0</v>
      </c>
      <c r="K23" s="1725"/>
      <c r="M23" s="199"/>
    </row>
    <row r="24" spans="2:16" s="198" customFormat="1" ht="18" customHeight="1" x14ac:dyDescent="0.15">
      <c r="B24" s="1727"/>
      <c r="C24" s="1721"/>
      <c r="D24" s="245" t="str">
        <f>RIGHT('Jrnl Rev'!AH$7,3)</f>
        <v>(f)</v>
      </c>
      <c r="E24" s="246">
        <f>+'Jrnl Rev'!AH6</f>
        <v>4250</v>
      </c>
      <c r="F24" s="1722" t="str">
        <f>IF('Jrnl Rev'!AH$8="Disponible ~ Available",IF($N$4=2,"Disponible","Available"),'Jrnl Rev'!AH$8)</f>
        <v>Available</v>
      </c>
      <c r="G24" s="1722"/>
      <c r="H24" s="1722"/>
      <c r="I24" s="1722"/>
      <c r="J24" s="256">
        <f>+'Jrnl Rev'!AH516</f>
        <v>0</v>
      </c>
      <c r="K24" s="1725"/>
      <c r="M24" s="199"/>
    </row>
    <row r="25" spans="2:16" s="198" customFormat="1" ht="18" customHeight="1" x14ac:dyDescent="0.15">
      <c r="B25" s="1727"/>
      <c r="C25" s="1721"/>
      <c r="D25" s="245" t="str">
        <f>RIGHT('Jrnl Rev'!AI$7,3)</f>
        <v>(g)</v>
      </c>
      <c r="E25" s="246">
        <f>+'Jrnl Rev'!AI6</f>
        <v>4260</v>
      </c>
      <c r="F25" s="1722" t="str">
        <f>IF('Jrnl Rev'!AI$8="Disponible ~ Available",IF($N$4=2,"Disponible","Available"),'Jrnl Rev'!AI$8)</f>
        <v>Available</v>
      </c>
      <c r="G25" s="1722"/>
      <c r="H25" s="1722"/>
      <c r="I25" s="1722"/>
      <c r="J25" s="256">
        <f>+'Jrnl Rev'!AI516</f>
        <v>0</v>
      </c>
      <c r="K25" s="1725"/>
      <c r="M25" s="199"/>
    </row>
    <row r="26" spans="2:16" s="198" customFormat="1" ht="18" customHeight="1" x14ac:dyDescent="0.15">
      <c r="B26" s="1727"/>
      <c r="C26" s="1721"/>
      <c r="D26" s="245" t="str">
        <f>RIGHT('Jrnl Rev'!AJ$7,3)</f>
        <v>(h)</v>
      </c>
      <c r="E26" s="246">
        <f>+'Jrnl Rev'!AJ$6</f>
        <v>4270</v>
      </c>
      <c r="F26" s="1722" t="str">
        <f>IF('Jrnl Rev'!AJ$8="Disponible ~ Available",IF($N$4=2,"Disponible","Available"),'Jrnl Rev'!AJ$8)</f>
        <v>Available</v>
      </c>
      <c r="G26" s="1722"/>
      <c r="H26" s="1722"/>
      <c r="I26" s="1722"/>
      <c r="J26" s="247">
        <f>+'Jrnl Rev'!AJ516</f>
        <v>0</v>
      </c>
      <c r="K26" s="1725"/>
      <c r="M26" s="199"/>
    </row>
    <row r="27" spans="2:16" s="198" customFormat="1" ht="18" customHeight="1" x14ac:dyDescent="0.15">
      <c r="B27" s="1727"/>
      <c r="C27" s="1721"/>
      <c r="D27" s="245" t="str">
        <f>RIGHT('Jrnl Rev'!AK$7,3)</f>
        <v>(i)</v>
      </c>
      <c r="E27" s="246">
        <f>+'Jrnl Rev'!AK$6</f>
        <v>4280</v>
      </c>
      <c r="F27" s="1722" t="str">
        <f>IF('Jrnl Rev'!AK$8="Disponible ~ Available",IF($N$4=2,"Disponible","Available"),'Jrnl Rev'!AK$8)</f>
        <v>Available</v>
      </c>
      <c r="G27" s="1722"/>
      <c r="H27" s="1722"/>
      <c r="I27" s="1722"/>
      <c r="J27" s="247">
        <f>+'Jrnl Rev'!AK516</f>
        <v>0</v>
      </c>
      <c r="K27" s="1725"/>
      <c r="M27" s="199"/>
    </row>
    <row r="28" spans="2:16" s="198" customFormat="1" ht="18" customHeight="1" x14ac:dyDescent="0.15">
      <c r="B28" s="1727"/>
      <c r="C28" s="1721"/>
      <c r="D28" s="249" t="str">
        <f>RIGHT('Jrnl Rev'!AL$7,3)</f>
        <v>(j)</v>
      </c>
      <c r="E28" s="246">
        <f>+'Jrnl Rev'!AL$6</f>
        <v>4290</v>
      </c>
      <c r="F28" s="1722" t="str">
        <f>IF('Jrnl Rev'!AL$8="Disponible ~ Available",IF($N$4=2,"Disponible","Available"),'Jrnl Rev'!AL$8)</f>
        <v>Available</v>
      </c>
      <c r="G28" s="1722"/>
      <c r="H28" s="1722"/>
      <c r="I28" s="1722"/>
      <c r="J28" s="247">
        <f>+'Jrnl Rev'!AL516</f>
        <v>0</v>
      </c>
      <c r="K28" s="1725"/>
      <c r="M28" s="199"/>
    </row>
    <row r="29" spans="2:16" s="198" customFormat="1" ht="18" customHeight="1" x14ac:dyDescent="0.15">
      <c r="B29" s="1727"/>
      <c r="C29" s="250"/>
      <c r="D29" s="251"/>
      <c r="E29" s="257">
        <v>4299</v>
      </c>
      <c r="F29" s="1723" t="str">
        <f>CONCATENATE('Jrnl Rev'!AD5," -  ","Total")</f>
        <v>Gaming &amp; Lotteries Fundraising -  Total</v>
      </c>
      <c r="G29" s="1723"/>
      <c r="H29" s="1723"/>
      <c r="I29" s="1723"/>
      <c r="J29" s="1723"/>
      <c r="K29" s="258">
        <f>SUM(J20:J28)</f>
        <v>0</v>
      </c>
      <c r="M29" s="199"/>
    </row>
    <row r="30" spans="2:16" s="198" customFormat="1" x14ac:dyDescent="0.15">
      <c r="B30" s="218"/>
      <c r="C30" s="1726"/>
      <c r="D30" s="1726"/>
      <c r="E30" s="1726"/>
      <c r="F30" s="1726"/>
      <c r="G30" s="1726"/>
      <c r="H30" s="1726"/>
      <c r="I30" s="1726"/>
      <c r="J30" s="1726"/>
      <c r="K30" s="1726"/>
    </row>
    <row r="31" spans="2:16" s="198" customFormat="1" ht="18" customHeight="1" x14ac:dyDescent="0.15">
      <c r="B31" s="1727"/>
      <c r="C31" s="1720" t="str">
        <f>CONCATENATE('Jrnl Rev'!AM4," - ",'Jrnl Rev'!AM5)</f>
        <v>4400 - Other Fundraising</v>
      </c>
      <c r="D31" s="1720"/>
      <c r="E31" s="1720"/>
      <c r="F31" s="1720"/>
      <c r="G31" s="1720"/>
      <c r="H31" s="1720"/>
      <c r="I31" s="1720"/>
      <c r="J31" s="1720"/>
      <c r="K31" s="1720"/>
    </row>
    <row r="32" spans="2:16" s="198" customFormat="1" ht="18" customHeight="1" x14ac:dyDescent="0.15">
      <c r="B32" s="1727"/>
      <c r="C32" s="1721" t="str">
        <f>LEFT('Jrnl Rev'!AM7,1)</f>
        <v>4</v>
      </c>
      <c r="D32" s="241" t="str">
        <f>RIGHT('Jrnl Rev'!AM$7,3)</f>
        <v>(a)</v>
      </c>
      <c r="E32" s="246">
        <f>+'Jrnl Rev'!AM6</f>
        <v>4410</v>
      </c>
      <c r="F32" s="1722" t="str">
        <f>IF('Jrnl Rev'!AM$8="Disponible ~ Available",IF($N$4=2,"Disponible","Available"),'Jrnl Rev'!AM$8)</f>
        <v>Available</v>
      </c>
      <c r="G32" s="1722"/>
      <c r="H32" s="1722"/>
      <c r="I32" s="1722"/>
      <c r="J32" s="259">
        <f>+'Jrnl Rev'!AM516</f>
        <v>0</v>
      </c>
      <c r="K32" s="1725"/>
      <c r="L32" s="260"/>
      <c r="M32" s="260"/>
      <c r="N32" s="260"/>
    </row>
    <row r="33" spans="2:14" s="198" customFormat="1" ht="18" customHeight="1" x14ac:dyDescent="0.15">
      <c r="B33" s="1727"/>
      <c r="C33" s="1721"/>
      <c r="D33" s="245" t="str">
        <f>RIGHT('Jrnl Rev'!AN$7,3)</f>
        <v>(b)</v>
      </c>
      <c r="E33" s="246">
        <f>+'Jrnl Rev'!AN6</f>
        <v>4420</v>
      </c>
      <c r="F33" s="1722" t="str">
        <f>IF('Jrnl Rev'!AN$8="Disponible ~ Available",IF($N$4=2,"Disponible","Available"),'Jrnl Rev'!AN$8)</f>
        <v>Available</v>
      </c>
      <c r="G33" s="1722"/>
      <c r="H33" s="1722"/>
      <c r="I33" s="1722"/>
      <c r="J33" s="256">
        <f>+'Jrnl Rev'!AN516</f>
        <v>0</v>
      </c>
      <c r="K33" s="1725"/>
      <c r="N33" s="199"/>
    </row>
    <row r="34" spans="2:14" s="198" customFormat="1" ht="18" customHeight="1" x14ac:dyDescent="0.15">
      <c r="B34" s="1727"/>
      <c r="C34" s="1721"/>
      <c r="D34" s="245" t="str">
        <f>RIGHT('Jrnl Rev'!AO$7,3)</f>
        <v>(c)</v>
      </c>
      <c r="E34" s="246">
        <f>+'Jrnl Rev'!AO6</f>
        <v>4430</v>
      </c>
      <c r="F34" s="1722" t="str">
        <f>IF('Jrnl Rev'!AO$8="Disponible ~ Available",IF($N$4=2,"Disponible","Available"),'Jrnl Rev'!AO$8)</f>
        <v>Available</v>
      </c>
      <c r="G34" s="1722"/>
      <c r="H34" s="1722"/>
      <c r="I34" s="1722"/>
      <c r="J34" s="256">
        <f>+'Jrnl Rev'!AO516</f>
        <v>0</v>
      </c>
      <c r="K34" s="1725"/>
      <c r="N34" s="199"/>
    </row>
    <row r="35" spans="2:14" s="198" customFormat="1" ht="18" customHeight="1" x14ac:dyDescent="0.15">
      <c r="B35" s="1727"/>
      <c r="C35" s="1721"/>
      <c r="D35" s="245" t="str">
        <f>RIGHT('Jrnl Rev'!AP$7,3)</f>
        <v>(d)</v>
      </c>
      <c r="E35" s="246">
        <f>+'Jrnl Rev'!AP6</f>
        <v>4440</v>
      </c>
      <c r="F35" s="1722" t="str">
        <f>IF('Jrnl Rev'!AP$8="Disponible ~ Available",IF($N$4=2,"Disponible","Available"),'Jrnl Rev'!AP$8)</f>
        <v>Available</v>
      </c>
      <c r="G35" s="1722"/>
      <c r="H35" s="1722"/>
      <c r="I35" s="1722"/>
      <c r="J35" s="256">
        <f>+'Jrnl Rev'!AP516</f>
        <v>0</v>
      </c>
      <c r="K35" s="1725"/>
      <c r="N35" s="199"/>
    </row>
    <row r="36" spans="2:14" s="198" customFormat="1" ht="18" customHeight="1" x14ac:dyDescent="0.15">
      <c r="B36" s="1727"/>
      <c r="C36" s="1721"/>
      <c r="D36" s="245" t="str">
        <f>RIGHT('Jrnl Rev'!AQ$7,3)</f>
        <v>(e)</v>
      </c>
      <c r="E36" s="246">
        <f>+'Jrnl Rev'!AQ$6</f>
        <v>4450</v>
      </c>
      <c r="F36" s="1722" t="str">
        <f>IF('Jrnl Rev'!AQ$8="Disponible ~ Available",IF($N$4=2,"Disponible","Available"),'Jrnl Rev'!AQ$8)</f>
        <v>Available</v>
      </c>
      <c r="G36" s="1722"/>
      <c r="H36" s="1722"/>
      <c r="I36" s="1722"/>
      <c r="J36" s="256">
        <f>+'Jrnl Rev'!AQ516</f>
        <v>0</v>
      </c>
      <c r="K36" s="1725"/>
      <c r="N36" s="199"/>
    </row>
    <row r="37" spans="2:14" s="198" customFormat="1" ht="18" customHeight="1" x14ac:dyDescent="0.15">
      <c r="B37" s="1727"/>
      <c r="C37" s="1721"/>
      <c r="D37" s="245" t="str">
        <f>RIGHT('Jrnl Rev'!AR$7,3)</f>
        <v>(f)</v>
      </c>
      <c r="E37" s="246">
        <f>+'Jrnl Rev'!AR$6</f>
        <v>4460</v>
      </c>
      <c r="F37" s="1722" t="str">
        <f>IF('Jrnl Rev'!AR$8="Disponible ~ Available",IF($N$4=2,"Disponible","Available"),'Jrnl Rev'!AR$8)</f>
        <v>Available</v>
      </c>
      <c r="G37" s="1722"/>
      <c r="H37" s="1722"/>
      <c r="I37" s="1722"/>
      <c r="J37" s="247">
        <f>+'Jrnl Rev'!AR516</f>
        <v>0</v>
      </c>
      <c r="K37" s="1725"/>
      <c r="N37" s="199"/>
    </row>
    <row r="38" spans="2:14" s="198" customFormat="1" ht="18" customHeight="1" x14ac:dyDescent="0.15">
      <c r="B38" s="1727"/>
      <c r="C38" s="1721"/>
      <c r="D38" s="245" t="str">
        <f>RIGHT('Jrnl Rev'!AS$7,3)</f>
        <v>(g)</v>
      </c>
      <c r="E38" s="246">
        <f>+'Jrnl Rev'!AS$6</f>
        <v>4470</v>
      </c>
      <c r="F38" s="1722" t="str">
        <f>IF('Jrnl Rev'!AS$8="Disponible ~ Available",IF($N$4=2,"Disponible","Available"),'Jrnl Rev'!AS$8)</f>
        <v>Available</v>
      </c>
      <c r="G38" s="1722"/>
      <c r="H38" s="1722"/>
      <c r="I38" s="1722"/>
      <c r="J38" s="247">
        <f>+'Jrnl Rev'!AS$516</f>
        <v>0</v>
      </c>
      <c r="K38" s="1725"/>
      <c r="N38" s="199"/>
    </row>
    <row r="39" spans="2:14" s="198" customFormat="1" ht="18" customHeight="1" x14ac:dyDescent="0.15">
      <c r="B39" s="1727"/>
      <c r="C39" s="1721"/>
      <c r="D39" s="245" t="str">
        <f>RIGHT('Jrnl Rev'!AT$7,3)</f>
        <v>(h)</v>
      </c>
      <c r="E39" s="246">
        <f>+'Jrnl Rev'!AT$6</f>
        <v>4480</v>
      </c>
      <c r="F39" s="1722" t="str">
        <f>IF('Jrnl Rev'!AT$8="Disponible ~ Available",IF($N$4=2,"Disponible","Available"),'Jrnl Rev'!AT$8)</f>
        <v>Available</v>
      </c>
      <c r="G39" s="1722"/>
      <c r="H39" s="1722"/>
      <c r="I39" s="1722"/>
      <c r="J39" s="247">
        <f>+'Jrnl Rev'!AT$516</f>
        <v>0</v>
      </c>
      <c r="K39" s="1725"/>
      <c r="N39" s="199"/>
    </row>
    <row r="40" spans="2:14" s="198" customFormat="1" ht="18" customHeight="1" x14ac:dyDescent="0.15">
      <c r="B40" s="1727"/>
      <c r="C40" s="1721"/>
      <c r="D40" s="249" t="str">
        <f>RIGHT('Jrnl Rev'!AU$7,3)</f>
        <v>(i)</v>
      </c>
      <c r="E40" s="246">
        <f>+'Jrnl Rev'!AU$6</f>
        <v>4490</v>
      </c>
      <c r="F40" s="1722" t="str">
        <f>IF('Jrnl Rev'!AU$8="Disponible ~ Available",IF($N$4=2,"Disponible","Available"),'Jrnl Rev'!AU$8)</f>
        <v>Available</v>
      </c>
      <c r="G40" s="1722"/>
      <c r="H40" s="1722"/>
      <c r="I40" s="1722"/>
      <c r="J40" s="247">
        <f>+'Jrnl Rev'!AU$516</f>
        <v>0</v>
      </c>
      <c r="K40" s="1725"/>
      <c r="N40" s="199"/>
    </row>
    <row r="41" spans="2:14" s="198" customFormat="1" ht="18" customHeight="1" x14ac:dyDescent="0.15">
      <c r="B41" s="1727"/>
      <c r="C41" s="250"/>
      <c r="D41" s="261"/>
      <c r="E41" s="257">
        <v>4499</v>
      </c>
      <c r="F41" s="1723" t="str">
        <f>CONCATENATE('Jrnl Rev'!AM5," - ","Total")</f>
        <v>Other Fundraising - Total</v>
      </c>
      <c r="G41" s="1723"/>
      <c r="H41" s="1723"/>
      <c r="I41" s="1723"/>
      <c r="J41" s="1723"/>
      <c r="K41" s="258">
        <f>SUM(J32:J40)</f>
        <v>0</v>
      </c>
      <c r="N41" s="199"/>
    </row>
    <row r="42" spans="2:14" s="198" customFormat="1" ht="12.75" customHeight="1" x14ac:dyDescent="0.15">
      <c r="B42" s="262"/>
      <c r="C42" s="262"/>
      <c r="D42" s="189"/>
      <c r="E42" s="189"/>
      <c r="F42" s="189"/>
      <c r="G42" s="189"/>
      <c r="H42" s="189"/>
      <c r="I42" s="189"/>
      <c r="J42" s="189"/>
      <c r="K42" s="263" t="s">
        <v>464</v>
      </c>
      <c r="N42" s="199"/>
    </row>
    <row r="43" spans="2:14" s="198" customFormat="1" ht="18" customHeight="1" x14ac:dyDescent="0.15">
      <c r="B43" s="1724"/>
      <c r="C43" s="1720" t="str">
        <f>CONCATENATE('Jrnl Rev'!AV4," - ",'Jrnl Rev'!AV5)</f>
        <v>4600 - Misc Revenues (Other than Gov't)</v>
      </c>
      <c r="D43" s="1720"/>
      <c r="E43" s="1720"/>
      <c r="F43" s="1720"/>
      <c r="G43" s="1720"/>
      <c r="H43" s="1720"/>
      <c r="I43" s="1720"/>
      <c r="J43" s="1720"/>
      <c r="K43" s="1720"/>
    </row>
    <row r="44" spans="2:14" ht="18" customHeight="1" x14ac:dyDescent="0.15">
      <c r="B44" s="1724"/>
      <c r="C44" s="1721" t="str">
        <f>LEFT('Jrnl Rev'!AV7,1)</f>
        <v>6</v>
      </c>
      <c r="D44" s="241" t="str">
        <f>RIGHT('Jrnl Rev'!AV$7,3)</f>
        <v>(a)</v>
      </c>
      <c r="E44" s="246">
        <f>+'Jrnl Rev'!AV6</f>
        <v>4610</v>
      </c>
      <c r="F44" s="1722" t="str">
        <f>IF('Jrnl Rev'!AV$8="Disponible ~ Available",IF($N$4=2,"Disponible","Available"),'Jrnl Rev'!AV$8)</f>
        <v>Money Collected for Activities</v>
      </c>
      <c r="G44" s="1722"/>
      <c r="H44" s="1722"/>
      <c r="I44" s="1722"/>
      <c r="J44" s="254">
        <f>+'Jrnl Rev'!AV516</f>
        <v>0</v>
      </c>
      <c r="K44" s="1725"/>
      <c r="M44" s="18"/>
      <c r="N44" s="199"/>
    </row>
    <row r="45" spans="2:14" ht="18" customHeight="1" x14ac:dyDescent="0.15">
      <c r="B45" s="1724"/>
      <c r="C45" s="1721"/>
      <c r="D45" s="245" t="str">
        <f>RIGHT('Jrnl Rev'!AW$7,3)</f>
        <v>(b)</v>
      </c>
      <c r="E45" s="246">
        <f>+'Jrnl Rev'!AW6</f>
        <v>4620</v>
      </c>
      <c r="F45" s="1722" t="str">
        <f>IF('Jrnl Rev'!AW$8="Disponible ~ Available",IF($N$4=2,"Disponible","Available"),'Jrnl Rev'!AW$8)</f>
        <v>Refunds</v>
      </c>
      <c r="G45" s="1722"/>
      <c r="H45" s="1722"/>
      <c r="I45" s="1722"/>
      <c r="J45" s="256">
        <f>+'Jrnl Rev'!AW516</f>
        <v>0</v>
      </c>
      <c r="K45" s="1725"/>
      <c r="M45" s="82"/>
      <c r="N45" s="199"/>
    </row>
    <row r="46" spans="2:14" ht="18" customHeight="1" x14ac:dyDescent="0.15">
      <c r="B46" s="1724"/>
      <c r="C46" s="1721"/>
      <c r="D46" s="245" t="str">
        <f>RIGHT('Jrnl Rev'!AX$7,3)</f>
        <v>(c)</v>
      </c>
      <c r="E46" s="246">
        <f>+'Jrnl Rev'!AX6</f>
        <v>4630</v>
      </c>
      <c r="F46" s="1722" t="str">
        <f>IF('Jrnl Rev'!AX$8="Disponible ~ Available",IF($N$4=2,"Disponible","Available"),'Jrnl Rev'!AX$8)</f>
        <v>Canteen Proceeds</v>
      </c>
      <c r="G46" s="1722"/>
      <c r="H46" s="1722"/>
      <c r="I46" s="1722"/>
      <c r="J46" s="256">
        <f>+'Jrnl Rev'!AX516</f>
        <v>0</v>
      </c>
      <c r="K46" s="1725"/>
      <c r="M46" s="82"/>
      <c r="N46" s="199"/>
    </row>
    <row r="47" spans="2:14" ht="18" customHeight="1" x14ac:dyDescent="0.15">
      <c r="B47" s="1724"/>
      <c r="C47" s="1721"/>
      <c r="D47" s="245" t="str">
        <f>RIGHT('Jrnl Rev'!AY$7,3)</f>
        <v>(d)</v>
      </c>
      <c r="E47" s="246">
        <f>+'Jrnl Rev'!AY6</f>
        <v>4640</v>
      </c>
      <c r="F47" s="1722" t="str">
        <f>IF('Jrnl Rev'!AY$8="Disponible ~ Available",IF($N$4=2,"Disponible","Available"),'Jrnl Rev'!AY$8)</f>
        <v>Bank &amp; Investments Interest/Income</v>
      </c>
      <c r="G47" s="1722"/>
      <c r="H47" s="1722"/>
      <c r="I47" s="1722"/>
      <c r="J47" s="256">
        <f>+'Jrnl Rev'!AY516</f>
        <v>0</v>
      </c>
      <c r="K47" s="1725"/>
      <c r="M47" s="82"/>
      <c r="N47" s="199"/>
    </row>
    <row r="48" spans="2:14" ht="18" customHeight="1" x14ac:dyDescent="0.15">
      <c r="B48" s="1724"/>
      <c r="C48" s="1721"/>
      <c r="D48" s="245" t="str">
        <f>RIGHT('Jrnl Rev'!AZ$7,3)</f>
        <v>(e)</v>
      </c>
      <c r="E48" s="246">
        <f>+'Jrnl Rev'!AZ6</f>
        <v>4650</v>
      </c>
      <c r="F48" s="1722" t="str">
        <f>IF('Jrnl Rev'!AZ$8="Disponible ~ Available",IF($N$4=2,"Disponible","Available"),'Jrnl Rev'!AZ$8)</f>
        <v>Misc Revenue</v>
      </c>
      <c r="G48" s="1722"/>
      <c r="H48" s="1722"/>
      <c r="I48" s="1722"/>
      <c r="J48" s="256">
        <f>+'Jrnl Rev'!AZ516</f>
        <v>0</v>
      </c>
      <c r="K48" s="1725"/>
      <c r="M48" s="82"/>
      <c r="N48" s="199"/>
    </row>
    <row r="49" spans="2:16" ht="18" customHeight="1" x14ac:dyDescent="0.15">
      <c r="B49" s="1724"/>
      <c r="C49" s="1721"/>
      <c r="D49" s="245" t="str">
        <f>RIGHT('Jrnl Rev'!BA$7,3)</f>
        <v>(f)</v>
      </c>
      <c r="E49" s="246">
        <f>+'Jrnl Rev'!BA6</f>
        <v>4660</v>
      </c>
      <c r="F49" s="1722" t="str">
        <f>IF('Jrnl Rev'!BA$8="Disponible ~ Available",IF($N$4=2,"Disponible","Available"),'Jrnl Rev'!BA$8)</f>
        <v>Available</v>
      </c>
      <c r="G49" s="1722"/>
      <c r="H49" s="1722"/>
      <c r="I49" s="1722"/>
      <c r="J49" s="256">
        <f>+'Jrnl Rev'!BA516</f>
        <v>0</v>
      </c>
      <c r="K49" s="1725"/>
      <c r="M49" s="82"/>
      <c r="N49" s="199"/>
    </row>
    <row r="50" spans="2:16" ht="18" customHeight="1" x14ac:dyDescent="0.15">
      <c r="B50" s="1724"/>
      <c r="C50" s="1721"/>
      <c r="D50" s="245" t="str">
        <f>RIGHT('Jrnl Rev'!BB$7,3)</f>
        <v>(g)</v>
      </c>
      <c r="E50" s="246">
        <f>+'Jrnl Rev'!BB6</f>
        <v>4670</v>
      </c>
      <c r="F50" s="1722" t="str">
        <f>IF('Jrnl Rev'!BB$8="Disponible ~ Available",IF($N$4=2,"Disponible","Available"),'Jrnl Rev'!BB$8)</f>
        <v>Available</v>
      </c>
      <c r="G50" s="1722"/>
      <c r="H50" s="1722"/>
      <c r="I50" s="1722"/>
      <c r="J50" s="256">
        <f>+'Jrnl Rev'!BB516</f>
        <v>0</v>
      </c>
      <c r="K50" s="1725"/>
      <c r="M50" s="82"/>
      <c r="N50" s="199"/>
    </row>
    <row r="51" spans="2:16" ht="18" customHeight="1" x14ac:dyDescent="0.15">
      <c r="B51" s="1724"/>
      <c r="C51" s="1721"/>
      <c r="D51" s="245" t="str">
        <f>RIGHT('Jrnl Rev'!BC$7,3)</f>
        <v>(h)</v>
      </c>
      <c r="E51" s="246">
        <f>+'Jrnl Rev'!BC6</f>
        <v>4680</v>
      </c>
      <c r="F51" s="1722" t="str">
        <f>IF('Jrnl Rev'!BC$8="Disponible ~ Available",IF($N$4=2,"Disponible","Available"),'Jrnl Rev'!BC$8)</f>
        <v>Available</v>
      </c>
      <c r="G51" s="1722"/>
      <c r="H51" s="1722"/>
      <c r="I51" s="1722"/>
      <c r="J51" s="256">
        <f>+'Jrnl Rev'!BC516</f>
        <v>0</v>
      </c>
      <c r="K51" s="1725"/>
      <c r="M51" s="82"/>
      <c r="N51" s="199"/>
    </row>
    <row r="52" spans="2:16" ht="18" customHeight="1" x14ac:dyDescent="0.15">
      <c r="B52" s="1724"/>
      <c r="C52" s="1721"/>
      <c r="D52" s="249" t="str">
        <f>RIGHT('Jrnl Rev'!BD$7,3)</f>
        <v>(i)</v>
      </c>
      <c r="E52" s="246">
        <f>+'Jrnl Rev'!BD6</f>
        <v>4690</v>
      </c>
      <c r="F52" s="1722" t="str">
        <f>IF('Jrnl Rev'!BD$8="Disponible ~ Available",IF($N$4=2,"Disponible","Available"),'Jrnl Rev'!BD$8)</f>
        <v>Available</v>
      </c>
      <c r="G52" s="1722"/>
      <c r="H52" s="1722"/>
      <c r="I52" s="1722"/>
      <c r="J52" s="256">
        <f>+'Jrnl Rev'!BD516</f>
        <v>0</v>
      </c>
      <c r="K52" s="1725"/>
      <c r="M52" s="82"/>
      <c r="N52" s="199"/>
    </row>
    <row r="53" spans="2:16" ht="18" customHeight="1" x14ac:dyDescent="0.15">
      <c r="B53" s="1724"/>
      <c r="C53" s="196"/>
      <c r="D53" s="261"/>
      <c r="E53" s="257">
        <v>4699</v>
      </c>
      <c r="F53" s="1723" t="str">
        <f>CONCATENATE('Jrnl Rev'!AV5," - ","Total")</f>
        <v>Misc Revenues (Other than Gov't) - Total</v>
      </c>
      <c r="G53" s="1723"/>
      <c r="H53" s="1723"/>
      <c r="I53" s="1723"/>
      <c r="J53" s="1723"/>
      <c r="K53" s="258">
        <f>SUM(J44:J52)</f>
        <v>0</v>
      </c>
      <c r="L53" s="227"/>
      <c r="M53" s="80"/>
      <c r="N53" s="199"/>
    </row>
    <row r="54" spans="2:16" s="1" customFormat="1" x14ac:dyDescent="0.15">
      <c r="C54" s="1718"/>
      <c r="D54" s="1718"/>
      <c r="E54" s="1718"/>
      <c r="F54" s="1718"/>
      <c r="G54" s="1718"/>
      <c r="H54" s="1718"/>
      <c r="I54" s="1718"/>
      <c r="J54" s="1718"/>
      <c r="K54" s="1718"/>
    </row>
    <row r="55" spans="2:16" s="1" customFormat="1" ht="18" customHeight="1" x14ac:dyDescent="0.15">
      <c r="B55" s="1719"/>
      <c r="C55" s="1720" t="str">
        <f>CONCATENATE('Jrnl Rev'!BE4," - ",'Jrnl Rev'!BE5)</f>
        <v>4800 - Funding &amp; Recoveries (Gov't)</v>
      </c>
      <c r="D55" s="1720"/>
      <c r="E55" s="1720"/>
      <c r="F55" s="1720"/>
      <c r="G55" s="1720"/>
      <c r="H55" s="1720"/>
      <c r="I55" s="1720"/>
      <c r="J55" s="1720"/>
      <c r="K55" s="1720"/>
    </row>
    <row r="56" spans="2:16" s="1" customFormat="1" ht="18" customHeight="1" x14ac:dyDescent="0.15">
      <c r="B56" s="1719"/>
      <c r="C56" s="1721" t="str">
        <f>LEFT('Jrnl Rev'!BE7,1)</f>
        <v>8</v>
      </c>
      <c r="D56" s="241" t="str">
        <f>RIGHT('Jrnl Rev'!BE$7,3)</f>
        <v>(a)</v>
      </c>
      <c r="E56" s="246">
        <f>+'Jrnl Rev'!BE6</f>
        <v>4810</v>
      </c>
      <c r="F56" s="1722" t="str">
        <f>IF('Jrnl Rev'!BE$8="Disponible ~ Available",IF($N$4=2,"Disponible","Available"),'Jrnl Rev'!BE$8)</f>
        <v>DND Local Support Allocation (LSA)</v>
      </c>
      <c r="G56" s="1722"/>
      <c r="H56" s="1722"/>
      <c r="I56" s="1722"/>
      <c r="J56" s="264">
        <f>+'Jrnl Rev'!BE516</f>
        <v>0</v>
      </c>
      <c r="K56" s="1666"/>
    </row>
    <row r="57" spans="2:16" s="1" customFormat="1" ht="18" customHeight="1" x14ac:dyDescent="0.15">
      <c r="B57" s="1719"/>
      <c r="C57" s="1721"/>
      <c r="D57" s="245" t="str">
        <f>RIGHT('Jrnl Rev'!BF$7,3)</f>
        <v>(b)</v>
      </c>
      <c r="E57" s="246">
        <f>+'Jrnl Rev'!BF6</f>
        <v>4820</v>
      </c>
      <c r="F57" s="1722" t="str">
        <f>IF('Jrnl Rev'!BF$8="Disponible ~ Available",IF($N$4=2,"Disponible","Available"),'Jrnl Rev'!BF$8)</f>
        <v>DND Allocation - Mandatory and Complementary Pgm (MCP)</v>
      </c>
      <c r="G57" s="1722"/>
      <c r="H57" s="1722"/>
      <c r="I57" s="1722"/>
      <c r="J57" s="247">
        <f>+'Jrnl Rev'!BF516</f>
        <v>0</v>
      </c>
      <c r="K57" s="1666"/>
      <c r="O57" s="199"/>
    </row>
    <row r="58" spans="2:16" s="1" customFormat="1" ht="18" customHeight="1" x14ac:dyDescent="0.15">
      <c r="B58" s="1719"/>
      <c r="C58" s="1721"/>
      <c r="D58" s="245" t="str">
        <f>RIGHT('Jrnl Rev'!BG$7,3)</f>
        <v>(c)</v>
      </c>
      <c r="E58" s="246">
        <f>+'Jrnl Rev'!BG6</f>
        <v>4830</v>
      </c>
      <c r="F58" s="1722" t="str">
        <f>IF('Jrnl Rev'!BG$8="Disponible ~ Available",IF($N$4=2,"Disponible","Available"),'Jrnl Rev'!BG$8)</f>
        <v>Federal Portion - Tax Rebate</v>
      </c>
      <c r="G58" s="1722"/>
      <c r="H58" s="1722"/>
      <c r="I58" s="1722"/>
      <c r="J58" s="247">
        <f>+'Jrnl Rev'!BG516</f>
        <v>0</v>
      </c>
      <c r="K58" s="1666"/>
      <c r="L58" s="209"/>
      <c r="M58" s="92"/>
      <c r="N58" s="92"/>
      <c r="O58" s="199"/>
      <c r="P58" s="92"/>
    </row>
    <row r="59" spans="2:16" s="1" customFormat="1" ht="18" customHeight="1" x14ac:dyDescent="0.15">
      <c r="B59" s="1719"/>
      <c r="C59" s="1721"/>
      <c r="D59" s="245" t="str">
        <f>RIGHT('Jrnl Rev'!BH$7,3)</f>
        <v>(d)</v>
      </c>
      <c r="E59" s="246">
        <f>+'Jrnl Rev'!BH6</f>
        <v>4835</v>
      </c>
      <c r="F59" s="1722" t="str">
        <f>IF('Jrnl Rev'!BH$8="Disponible ~ Available",IF($N$4=2,"Disponible","Available"),'Jrnl Rev'!BH$8)</f>
        <v>Available</v>
      </c>
      <c r="G59" s="1722"/>
      <c r="H59" s="1722"/>
      <c r="I59" s="1722"/>
      <c r="J59" s="247">
        <f>+'Jrnl Rev'!BH516</f>
        <v>0</v>
      </c>
      <c r="K59" s="1666"/>
      <c r="L59" s="209"/>
      <c r="M59" s="92"/>
      <c r="N59" s="92"/>
      <c r="O59" s="199"/>
      <c r="P59" s="92"/>
    </row>
    <row r="60" spans="2:16" s="1" customFormat="1" ht="18" customHeight="1" x14ac:dyDescent="0.15">
      <c r="B60" s="1719"/>
      <c r="C60" s="1721"/>
      <c r="D60" s="245" t="str">
        <f>RIGHT('Jrnl Rev'!BI$7,3)</f>
        <v>(e)</v>
      </c>
      <c r="E60" s="246">
        <f>+'Jrnl Rev'!BI$6</f>
        <v>4840</v>
      </c>
      <c r="F60" s="1722" t="str">
        <f>IF('Jrnl Rev'!BI$8="Disponible ~ Available",IF($N$4=2,"Disponible","Available"),'Jrnl Rev'!BI$8)</f>
        <v>Governmental Grants - Provincial</v>
      </c>
      <c r="G60" s="1722"/>
      <c r="H60" s="1722"/>
      <c r="I60" s="1722"/>
      <c r="J60" s="247">
        <f>+'Jrnl Rev'!BI$516</f>
        <v>0</v>
      </c>
      <c r="K60" s="1666"/>
      <c r="O60" s="199"/>
    </row>
    <row r="61" spans="2:16" s="1" customFormat="1" ht="18" customHeight="1" x14ac:dyDescent="0.15">
      <c r="B61" s="1719"/>
      <c r="C61" s="1721"/>
      <c r="D61" s="245" t="str">
        <f>RIGHT('Jrnl Rev'!BJ$7,3)</f>
        <v>(f)</v>
      </c>
      <c r="E61" s="246">
        <f>+'Jrnl Rev'!BJ$6</f>
        <v>4850</v>
      </c>
      <c r="F61" s="1722" t="str">
        <f>IF('Jrnl Rev'!BJ$8="Disponible ~ Available",IF($N$4=2,"Disponible","Available"),'Jrnl Rev'!BJ$8)</f>
        <v>Provincial Portion - Tax Rebate</v>
      </c>
      <c r="G61" s="1722"/>
      <c r="H61" s="1722"/>
      <c r="I61" s="1722"/>
      <c r="J61" s="247">
        <f>+'Jrnl Rev'!BJ$516</f>
        <v>0</v>
      </c>
      <c r="K61" s="1666"/>
      <c r="O61" s="199"/>
    </row>
    <row r="62" spans="2:16" s="1" customFormat="1" ht="18" customHeight="1" x14ac:dyDescent="0.15">
      <c r="B62" s="1719"/>
      <c r="C62" s="1721"/>
      <c r="D62" s="245" t="str">
        <f>RIGHT('Jrnl Rev'!BK$7,3)</f>
        <v>(g)</v>
      </c>
      <c r="E62" s="246">
        <f>+'Jrnl Rev'!BK$6</f>
        <v>4860</v>
      </c>
      <c r="F62" s="1722" t="str">
        <f>IF('Jrnl Rev'!BK$8="Disponible ~ Available",IF($N$4=2,"Disponible","Available"),'Jrnl Rev'!BK$8)</f>
        <v>Available</v>
      </c>
      <c r="G62" s="1722"/>
      <c r="H62" s="1722"/>
      <c r="I62" s="1722"/>
      <c r="J62" s="247">
        <f>+'Jrnl Rev'!BK$516</f>
        <v>0</v>
      </c>
      <c r="K62" s="1666"/>
      <c r="O62" s="199"/>
    </row>
    <row r="63" spans="2:16" s="1" customFormat="1" ht="18" customHeight="1" x14ac:dyDescent="0.15">
      <c r="B63" s="1719"/>
      <c r="C63" s="1721"/>
      <c r="D63" s="245" t="str">
        <f>RIGHT('Jrnl Rev'!BL$7,3)</f>
        <v>(h)</v>
      </c>
      <c r="E63" s="246">
        <f>+'Jrnl Rev'!BL$6</f>
        <v>4870</v>
      </c>
      <c r="F63" s="1722" t="str">
        <f>IF('Jrnl Rev'!BL$8="Disponible ~ Available",IF($N$4=2,"Disponible","Available"),'Jrnl Rev'!BL$8)</f>
        <v>Governmental Grants - Regional/
Municipal</v>
      </c>
      <c r="G63" s="1722"/>
      <c r="H63" s="1722"/>
      <c r="I63" s="1722"/>
      <c r="J63" s="247">
        <f>+'Jrnl Rev'!BL$516</f>
        <v>0</v>
      </c>
      <c r="K63" s="1666"/>
      <c r="O63" s="199"/>
    </row>
    <row r="64" spans="2:16" s="1" customFormat="1" ht="18" customHeight="1" x14ac:dyDescent="0.15">
      <c r="B64" s="1719"/>
      <c r="C64" s="1721"/>
      <c r="D64" s="245" t="str">
        <f>RIGHT('Jrnl Rev'!BM$7,3)</f>
        <v>(i)</v>
      </c>
      <c r="E64" s="246">
        <f>+'Jrnl Rev'!BM$6</f>
        <v>4880</v>
      </c>
      <c r="F64" s="1722" t="str">
        <f>IF('Jrnl Rev'!BM$8="Disponible ~ Available",IF($N$4=2,"Disponible","Available"),'Jrnl Rev'!BM$8)</f>
        <v>Available</v>
      </c>
      <c r="G64" s="1722"/>
      <c r="H64" s="1722"/>
      <c r="I64" s="1722"/>
      <c r="J64" s="247">
        <f>+'Jrnl Rev'!BM$516</f>
        <v>0</v>
      </c>
      <c r="K64" s="1666"/>
      <c r="O64" s="199"/>
    </row>
    <row r="65" spans="2:15" s="1" customFormat="1" ht="18" customHeight="1" x14ac:dyDescent="0.15">
      <c r="B65" s="1719"/>
      <c r="C65" s="1721"/>
      <c r="D65" s="249" t="str">
        <f>RIGHT('Jrnl Rev'!BN$7,3)</f>
        <v>(j)</v>
      </c>
      <c r="E65" s="246">
        <f>+'Jrnl Rev'!BN$6</f>
        <v>4890</v>
      </c>
      <c r="F65" s="1722" t="str">
        <f>IF('Jrnl Rev'!BN$8="Disponible ~ Available",IF($N$4=2,"Disponible","Available"),'Jrnl Rev'!BN$8)</f>
        <v>Available</v>
      </c>
      <c r="G65" s="1722"/>
      <c r="H65" s="1722"/>
      <c r="I65" s="1722"/>
      <c r="J65" s="247">
        <f>+'Jrnl Rev'!BN$516</f>
        <v>0</v>
      </c>
      <c r="K65" s="1666"/>
      <c r="O65" s="199"/>
    </row>
    <row r="66" spans="2:15" s="1" customFormat="1" ht="18" customHeight="1" x14ac:dyDescent="0.15">
      <c r="B66" s="1719"/>
      <c r="C66" s="196"/>
      <c r="D66" s="261"/>
      <c r="E66" s="257">
        <v>4899</v>
      </c>
      <c r="F66" s="1723" t="str">
        <f>CONCATENATE('Jrnl Rev'!BE5," - ","Total")</f>
        <v>Funding &amp; Recoveries (Gov't) - Total</v>
      </c>
      <c r="G66" s="1723"/>
      <c r="H66" s="1723"/>
      <c r="I66" s="1723"/>
      <c r="J66" s="1723"/>
      <c r="K66" s="258">
        <f>SUM(J56:J65)</f>
        <v>0</v>
      </c>
      <c r="O66" s="199"/>
    </row>
    <row r="67" spans="2:15" s="1" customFormat="1" x14ac:dyDescent="0.15">
      <c r="D67" s="218"/>
      <c r="E67" s="265"/>
      <c r="F67" s="266"/>
      <c r="G67" s="12"/>
      <c r="J67" s="198"/>
      <c r="K67" s="82"/>
      <c r="O67" s="199"/>
    </row>
    <row r="68" spans="2:15" s="1" customFormat="1" ht="18" customHeight="1" x14ac:dyDescent="0.15">
      <c r="C68" s="18"/>
      <c r="D68" s="267"/>
      <c r="E68" s="268">
        <v>5000</v>
      </c>
      <c r="F68" s="1716" t="str">
        <f>IF(N4=2,"TOTAL des revenus (reporté à la ligne 5000 page 6):","TOTAL Income (forwarded to line 5000 page 6):")</f>
        <v>TOTAL Income (forwarded to line 5000 page 6):</v>
      </c>
      <c r="G68" s="1716"/>
      <c r="H68" s="1716"/>
      <c r="I68" s="1716"/>
      <c r="J68" s="1716"/>
      <c r="K68" s="269">
        <f>K66+K53+K41+K29+K17</f>
        <v>0</v>
      </c>
      <c r="M68" s="270"/>
    </row>
    <row r="69" spans="2:15" s="1" customFormat="1" ht="18" customHeight="1" x14ac:dyDescent="0.15">
      <c r="C69" s="1717"/>
      <c r="D69" s="1717"/>
      <c r="E69" s="1717"/>
      <c r="F69" s="1717"/>
      <c r="G69" s="12"/>
      <c r="I69" s="193"/>
      <c r="J69" s="198"/>
      <c r="K69" s="271" t="s">
        <v>463</v>
      </c>
    </row>
    <row r="70" spans="2:15" s="1" customFormat="1" x14ac:dyDescent="0.15">
      <c r="C70" s="1717"/>
      <c r="D70" s="1717"/>
      <c r="E70" s="1717"/>
      <c r="F70" s="1717"/>
      <c r="G70" s="12"/>
      <c r="J70" s="198"/>
      <c r="K70" s="82"/>
    </row>
    <row r="71" spans="2:15" ht="12.75" customHeight="1" x14ac:dyDescent="0.15"/>
    <row r="72" spans="2:15" s="198" customFormat="1" ht="15" customHeight="1" x14ac:dyDescent="0.15">
      <c r="B72" s="1"/>
      <c r="C72" s="1"/>
      <c r="D72" s="1"/>
      <c r="E72" s="1"/>
      <c r="F72" s="1"/>
      <c r="G72" s="1"/>
      <c r="H72" s="1"/>
      <c r="I72" s="1"/>
      <c r="J72" s="1"/>
      <c r="K72" s="1"/>
      <c r="L72" s="1"/>
      <c r="M72" s="1"/>
    </row>
    <row r="73" spans="2:15" s="198" customFormat="1" ht="15" customHeight="1" x14ac:dyDescent="0.15">
      <c r="B73" s="1"/>
      <c r="C73" s="1"/>
      <c r="D73" s="1"/>
      <c r="E73" s="1"/>
      <c r="F73" s="1"/>
      <c r="G73" s="1"/>
      <c r="H73" s="1"/>
      <c r="I73" s="1"/>
      <c r="J73" s="1"/>
      <c r="K73" s="1"/>
      <c r="L73" s="1"/>
      <c r="M73" s="1"/>
    </row>
    <row r="74" spans="2:15" s="198" customFormat="1" ht="15" customHeight="1" x14ac:dyDescent="0.15">
      <c r="B74" s="1"/>
      <c r="C74" s="1"/>
      <c r="D74" s="1"/>
      <c r="E74" s="1"/>
      <c r="F74" s="1"/>
      <c r="G74" s="1"/>
      <c r="H74" s="1"/>
      <c r="I74" s="1"/>
      <c r="J74" s="1"/>
      <c r="K74" s="1"/>
      <c r="L74" s="1"/>
      <c r="M74" s="1"/>
    </row>
    <row r="75" spans="2:15" ht="15" customHeight="1" x14ac:dyDescent="0.15"/>
    <row r="76" spans="2:15" ht="15" customHeight="1" x14ac:dyDescent="0.15"/>
    <row r="77" spans="2:15" s="198" customFormat="1" ht="15" customHeight="1" x14ac:dyDescent="0.15">
      <c r="B77" s="1"/>
      <c r="C77" s="1"/>
      <c r="D77" s="1"/>
      <c r="E77" s="1"/>
      <c r="F77" s="1"/>
      <c r="G77" s="1"/>
      <c r="H77" s="1"/>
      <c r="I77" s="1"/>
      <c r="J77" s="1"/>
      <c r="K77" s="1"/>
      <c r="L77" s="1"/>
      <c r="M77" s="1"/>
    </row>
    <row r="78" spans="2:15" s="198" customFormat="1" ht="15" customHeight="1" x14ac:dyDescent="0.15">
      <c r="B78" s="1"/>
      <c r="C78" s="1"/>
      <c r="D78" s="1"/>
      <c r="E78" s="1"/>
      <c r="F78" s="1"/>
      <c r="G78" s="1"/>
      <c r="H78" s="1"/>
      <c r="I78" s="1"/>
      <c r="J78" s="1"/>
      <c r="K78" s="1"/>
      <c r="L78" s="1"/>
      <c r="M78" s="1"/>
    </row>
    <row r="79" spans="2:15" ht="15" customHeight="1" x14ac:dyDescent="0.15"/>
  </sheetData>
  <sheetProtection algorithmName="SHA-512" hashValue="2ojk14MFmT8EN4WXkyotiG13XgvfAriWeorYBT57eTWSO7V/XKi7y8xjwOnMNfsGwxkz/AceOGJOpiLWXT5FgQ==" saltValue="jW6rTMYADwiflhU2Bvq8tA==" spinCount="100000" sheet="1" objects="1" scenarios="1" selectLockedCells="1" selectUnlockedCells="1"/>
  <mergeCells count="82">
    <mergeCell ref="B1:K1"/>
    <mergeCell ref="B2:K2"/>
    <mergeCell ref="B3:K3"/>
    <mergeCell ref="B4:K4"/>
    <mergeCell ref="B5:E5"/>
    <mergeCell ref="H5:I5"/>
    <mergeCell ref="B7:B17"/>
    <mergeCell ref="C7:K7"/>
    <mergeCell ref="C8:C16"/>
    <mergeCell ref="F8:I8"/>
    <mergeCell ref="K8:K16"/>
    <mergeCell ref="F9:I9"/>
    <mergeCell ref="F10:I10"/>
    <mergeCell ref="F11:I11"/>
    <mergeCell ref="F12:I12"/>
    <mergeCell ref="F13:I13"/>
    <mergeCell ref="F14:I14"/>
    <mergeCell ref="F15:I15"/>
    <mergeCell ref="F16:I16"/>
    <mergeCell ref="F17:J17"/>
    <mergeCell ref="C18:K18"/>
    <mergeCell ref="B19:B29"/>
    <mergeCell ref="C19:K19"/>
    <mergeCell ref="C20:C28"/>
    <mergeCell ref="F20:I20"/>
    <mergeCell ref="K20:K28"/>
    <mergeCell ref="F21:I21"/>
    <mergeCell ref="F22:I22"/>
    <mergeCell ref="F23:I23"/>
    <mergeCell ref="F24:I24"/>
    <mergeCell ref="F25:I25"/>
    <mergeCell ref="F26:I26"/>
    <mergeCell ref="F27:I27"/>
    <mergeCell ref="F28:I28"/>
    <mergeCell ref="F29:J29"/>
    <mergeCell ref="C30:K30"/>
    <mergeCell ref="B31:B41"/>
    <mergeCell ref="C31:K31"/>
    <mergeCell ref="C32:C40"/>
    <mergeCell ref="F32:I32"/>
    <mergeCell ref="K32:K40"/>
    <mergeCell ref="F33:I33"/>
    <mergeCell ref="F34:I34"/>
    <mergeCell ref="F35:I35"/>
    <mergeCell ref="F36:I36"/>
    <mergeCell ref="F37:I37"/>
    <mergeCell ref="F38:I38"/>
    <mergeCell ref="F39:I39"/>
    <mergeCell ref="F40:I40"/>
    <mergeCell ref="F41:J41"/>
    <mergeCell ref="F66:J66"/>
    <mergeCell ref="B43:B53"/>
    <mergeCell ref="C43:K43"/>
    <mergeCell ref="C44:C52"/>
    <mergeCell ref="F44:I44"/>
    <mergeCell ref="K44:K52"/>
    <mergeCell ref="F45:I45"/>
    <mergeCell ref="F46:I46"/>
    <mergeCell ref="F47:I47"/>
    <mergeCell ref="F48:I48"/>
    <mergeCell ref="F49:I49"/>
    <mergeCell ref="F50:I50"/>
    <mergeCell ref="F51:I51"/>
    <mergeCell ref="F52:I52"/>
    <mergeCell ref="F53:J53"/>
    <mergeCell ref="F59:I59"/>
    <mergeCell ref="F68:J68"/>
    <mergeCell ref="C69:F70"/>
    <mergeCell ref="C54:K54"/>
    <mergeCell ref="B55:B66"/>
    <mergeCell ref="C55:K55"/>
    <mergeCell ref="C56:C65"/>
    <mergeCell ref="F56:I56"/>
    <mergeCell ref="K56:K65"/>
    <mergeCell ref="F57:I57"/>
    <mergeCell ref="F58:I58"/>
    <mergeCell ref="F60:I60"/>
    <mergeCell ref="F61:I61"/>
    <mergeCell ref="F62:I62"/>
    <mergeCell ref="F63:I63"/>
    <mergeCell ref="F64:I64"/>
    <mergeCell ref="F65:I65"/>
  </mergeCells>
  <conditionalFormatting sqref="F5 H5">
    <cfRule type="cellIs" dxfId="25" priority="2" operator="equal">
      <formula>0</formula>
    </cfRule>
  </conditionalFormatting>
  <printOptions horizontalCentered="1"/>
  <pageMargins left="0.70833333333333304" right="0.15763888888888899" top="0.35416666666666702" bottom="0.15763888888888899" header="0.511811023622047" footer="0.511811023622047"/>
  <pageSetup scale="75" orientation="portrait" horizontalDpi="300" verticalDpi="300" r:id="rId1"/>
  <rowBreaks count="1" manualBreakCount="1">
    <brk id="4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pageSetUpPr fitToPage="1"/>
  </sheetPr>
  <dimension ref="A1:AMJ133"/>
  <sheetViews>
    <sheetView showGridLines="0" showZeros="0" zoomScale="85" zoomScaleNormal="85" workbookViewId="0">
      <selection activeCell="J17" sqref="J17"/>
    </sheetView>
  </sheetViews>
  <sheetFormatPr baseColWidth="10" defaultColWidth="11.5" defaultRowHeight="13" x14ac:dyDescent="0.15"/>
  <cols>
    <col min="1" max="1" width="3.6640625" style="1" customWidth="1"/>
    <col min="2" max="2" width="3.33203125" style="1" customWidth="1"/>
    <col min="3" max="3" width="3.6640625" style="1" customWidth="1"/>
    <col min="4" max="4" width="5.5" style="1" customWidth="1"/>
    <col min="5" max="5" width="9.5" style="1" customWidth="1"/>
    <col min="6" max="6" width="9.1640625" style="1" customWidth="1"/>
    <col min="7" max="7" width="9.5" style="1" customWidth="1"/>
    <col min="8" max="8" width="9.1640625" style="1" customWidth="1"/>
    <col min="9" max="9" width="46.33203125" style="1" customWidth="1"/>
    <col min="10" max="11" width="15.6640625" style="1" customWidth="1"/>
    <col min="12" max="12" width="1.5" style="1" customWidth="1"/>
    <col min="13" max="13" width="10.6640625" style="1" hidden="1" customWidth="1"/>
    <col min="14" max="17" width="11.5" style="1"/>
    <col min="18" max="18" width="11.5" style="1" hidden="1"/>
    <col min="19" max="19" width="11.5" style="12"/>
    <col min="20" max="255" width="9.1640625" style="1" customWidth="1"/>
    <col min="256" max="1024" width="11.5" style="1"/>
  </cols>
  <sheetData>
    <row r="1" spans="2:18" ht="33.75" customHeight="1" x14ac:dyDescent="0.25">
      <c r="B1" s="1515" t="str">
        <f>IF(M4=2,"État des résultats","Statement of Operations")</f>
        <v>Statement of Operations</v>
      </c>
      <c r="C1" s="1515"/>
      <c r="D1" s="1515"/>
      <c r="E1" s="1515"/>
      <c r="F1" s="1515"/>
      <c r="G1" s="1515"/>
      <c r="H1" s="1515"/>
      <c r="I1" s="1515"/>
      <c r="J1" s="1515"/>
      <c r="K1" s="1515"/>
      <c r="L1" s="232"/>
    </row>
    <row r="2" spans="2:18" ht="33.75" customHeight="1" x14ac:dyDescent="0.15">
      <c r="B2" s="1733" t="str">
        <f>'Set up ~ Config'!B2:J2</f>
        <v xml:space="preserve">SSC </v>
      </c>
      <c r="C2" s="1733"/>
      <c r="D2" s="1733"/>
      <c r="E2" s="1733"/>
      <c r="F2" s="1733"/>
      <c r="G2" s="1733"/>
      <c r="H2" s="1733"/>
      <c r="I2" s="1733"/>
      <c r="J2" s="1733"/>
      <c r="K2" s="1733"/>
      <c r="L2" s="232"/>
    </row>
    <row r="3" spans="2:18" ht="48" customHeight="1" x14ac:dyDescent="0.2">
      <c r="B3" s="1643" t="str">
        <f>IF(M4=2,"DÉPENSES","EXPENSES")</f>
        <v>EXPENSES</v>
      </c>
      <c r="C3" s="1643"/>
      <c r="D3" s="1643"/>
      <c r="E3" s="1643"/>
      <c r="F3" s="1643"/>
      <c r="G3" s="1643"/>
      <c r="H3" s="1643"/>
      <c r="I3" s="1643"/>
      <c r="J3" s="1643"/>
      <c r="K3" s="1643"/>
      <c r="L3" s="232"/>
    </row>
    <row r="4" spans="2:18" ht="18.75" hidden="1" customHeight="1" x14ac:dyDescent="0.15">
      <c r="B4" s="1442"/>
      <c r="C4" s="1442"/>
      <c r="D4" s="1442"/>
      <c r="E4" s="1442"/>
      <c r="F4" s="1442"/>
      <c r="G4" s="1442"/>
      <c r="H4" s="1442"/>
      <c r="I4" s="1442"/>
      <c r="J4" s="1442"/>
      <c r="K4" s="1442"/>
      <c r="L4" s="232"/>
      <c r="M4" s="23">
        <f>'Set up ~ Config'!L10</f>
        <v>1</v>
      </c>
      <c r="R4" s="1" t="e">
        <f>"STATEMENT OF EXPENSES &amp; SURPLUS (DEFICIT) FOR THE YEAR ENDING " &amp; UPPER(EndOfYear) &amp;","</f>
        <v>#REF!</v>
      </c>
    </row>
    <row r="5" spans="2:18" ht="23.25" customHeight="1" x14ac:dyDescent="0.15">
      <c r="B5" s="1734" t="e">
        <f>'Cover~Page~Titre'!B58:Y58</f>
        <v>#VALUE!</v>
      </c>
      <c r="C5" s="1734"/>
      <c r="D5" s="1734"/>
      <c r="E5" s="1734"/>
      <c r="F5" s="1734"/>
      <c r="G5" s="1734"/>
      <c r="H5" s="1734"/>
      <c r="I5" s="1734"/>
      <c r="J5" s="1734"/>
      <c r="K5" s="1734"/>
      <c r="L5" s="272"/>
      <c r="R5" s="1" t="e">
        <f>"RELEVÉ DES DÉBOURSÉS ET SURPLUS (DÉFICIT) EXERCISE TERMINÉE LE " &amp; UPPER(EndOfYear) &amp;","</f>
        <v>#REF!</v>
      </c>
    </row>
    <row r="6" spans="2:18" ht="12" hidden="1" customHeight="1" x14ac:dyDescent="0.15">
      <c r="B6" s="1753"/>
      <c r="C6" s="1753"/>
      <c r="D6" s="1753"/>
      <c r="E6" s="1753"/>
      <c r="F6" s="1753"/>
      <c r="G6" s="1753"/>
      <c r="H6" s="1753"/>
      <c r="I6" s="1753"/>
      <c r="J6" s="1753"/>
      <c r="K6" s="1753"/>
    </row>
    <row r="7" spans="2:18" ht="14.25" hidden="1" customHeight="1" x14ac:dyDescent="0.15">
      <c r="B7" s="1754"/>
      <c r="C7" s="1754"/>
      <c r="D7" s="1754"/>
      <c r="E7" s="1754"/>
      <c r="F7" s="192"/>
      <c r="G7" s="237"/>
      <c r="H7" s="1755"/>
      <c r="I7" s="1755"/>
      <c r="J7" s="237"/>
      <c r="L7" s="273"/>
    </row>
    <row r="8" spans="2:18" ht="24" customHeight="1" x14ac:dyDescent="0.15">
      <c r="B8" s="238"/>
      <c r="C8" s="196"/>
      <c r="D8" s="196"/>
      <c r="E8" s="196"/>
      <c r="F8" s="196"/>
      <c r="G8" s="196"/>
      <c r="H8" s="196"/>
      <c r="I8" s="196"/>
      <c r="J8" s="239"/>
      <c r="L8" s="273"/>
    </row>
    <row r="9" spans="2:18" ht="18" customHeight="1" x14ac:dyDescent="0.15">
      <c r="B9" s="274"/>
      <c r="C9" s="1720" t="str">
        <f>CONCATENATE('Jrnl Exp ~ Dép'!P4," - ",'Jrnl Exp ~ Dép'!P5)</f>
        <v>5000 - Administrative &amp; Operating Expenses</v>
      </c>
      <c r="D9" s="1720"/>
      <c r="E9" s="1720"/>
      <c r="F9" s="1720"/>
      <c r="G9" s="1720"/>
      <c r="H9" s="1720"/>
      <c r="I9" s="1720"/>
      <c r="J9" s="1720"/>
      <c r="K9" s="1720"/>
    </row>
    <row r="10" spans="2:18" ht="18" customHeight="1" x14ac:dyDescent="0.15">
      <c r="B10" s="1738"/>
      <c r="C10" s="1721" t="str">
        <f>LEFT('Jrnl Exp ~ Dép'!P7,1)</f>
        <v>1</v>
      </c>
      <c r="D10" s="275" t="str">
        <f>RIGHT('Jrnl Exp ~ Dép'!P$7,3)</f>
        <v>(a)</v>
      </c>
      <c r="E10" s="246">
        <f>+'Jrnl Exp ~ Dép'!P6</f>
        <v>5010</v>
      </c>
      <c r="F10" s="1739" t="str">
        <f>+'Jrnl Exp ~ Dép'!P8</f>
        <v>Admin. &amp; Office supplies</v>
      </c>
      <c r="G10" s="1739"/>
      <c r="H10" s="1739"/>
      <c r="I10" s="1739"/>
      <c r="J10" s="264">
        <f>+'Jrnl Exp ~ Dép'!P516</f>
        <v>0</v>
      </c>
      <c r="K10" s="1752"/>
    </row>
    <row r="11" spans="2:18" ht="18" customHeight="1" x14ac:dyDescent="0.15">
      <c r="B11" s="1738"/>
      <c r="C11" s="1721"/>
      <c r="D11" s="275" t="str">
        <f>RIGHT('Jrnl Exp ~ Dép'!Q$7,3)</f>
        <v>(b)</v>
      </c>
      <c r="E11" s="246">
        <f>+'Jrnl Exp ~ Dép'!Q6</f>
        <v>5020</v>
      </c>
      <c r="F11" s="1739" t="str">
        <f>+'Jrnl Exp ~ Dép'!Q8</f>
        <v>Office Equipment</v>
      </c>
      <c r="G11" s="1739"/>
      <c r="H11" s="1739"/>
      <c r="I11" s="1739"/>
      <c r="J11" s="247">
        <f>+'Jrnl Exp ~ Dép'!Q516</f>
        <v>0</v>
      </c>
      <c r="K11" s="1752"/>
      <c r="M11" s="82"/>
    </row>
    <row r="12" spans="2:18" ht="18" customHeight="1" x14ac:dyDescent="0.15">
      <c r="B12" s="1738"/>
      <c r="C12" s="1721"/>
      <c r="D12" s="275" t="str">
        <f>RIGHT('Jrnl Exp ~ Dép'!R$7,3)</f>
        <v>(c)</v>
      </c>
      <c r="E12" s="246">
        <f>+'Jrnl Exp ~ Dép'!R6</f>
        <v>5030</v>
      </c>
      <c r="F12" s="1739" t="str">
        <f>+'Jrnl Exp ~ Dép'!R8</f>
        <v>Sqn Quarters Rental</v>
      </c>
      <c r="G12" s="1739"/>
      <c r="H12" s="1739"/>
      <c r="I12" s="1739"/>
      <c r="J12" s="247">
        <f>+'Jrnl Exp ~ Dép'!R516</f>
        <v>0</v>
      </c>
      <c r="K12" s="1752"/>
    </row>
    <row r="13" spans="2:18" ht="18" customHeight="1" x14ac:dyDescent="0.15">
      <c r="B13" s="1738"/>
      <c r="C13" s="1721"/>
      <c r="D13" s="275" t="str">
        <f>RIGHT('Jrnl Exp ~ Dép'!S$7,3)</f>
        <v>(d)</v>
      </c>
      <c r="E13" s="246">
        <f>+'Jrnl Exp ~ Dép'!S6</f>
        <v>5040</v>
      </c>
      <c r="F13" s="1739" t="str">
        <f>+'Jrnl Exp ~ Dép'!S8</f>
        <v>Maintenance, repairs, expansion</v>
      </c>
      <c r="G13" s="1739"/>
      <c r="H13" s="1739"/>
      <c r="I13" s="1739"/>
      <c r="J13" s="247">
        <f>+'Jrnl Exp ~ Dép'!S516</f>
        <v>0</v>
      </c>
      <c r="K13" s="1752"/>
    </row>
    <row r="14" spans="2:18" ht="18" customHeight="1" x14ac:dyDescent="0.15">
      <c r="B14" s="1738"/>
      <c r="C14" s="1721"/>
      <c r="D14" s="275" t="str">
        <f>RIGHT('Jrnl Exp ~ Dép'!T$7,3)</f>
        <v>(e)</v>
      </c>
      <c r="E14" s="246">
        <f>+'Jrnl Exp ~ Dép'!T6</f>
        <v>5050</v>
      </c>
      <c r="F14" s="1739" t="str">
        <f>+'Jrnl Exp ~ Dép'!T$8</f>
        <v>Utilities,PO Box</v>
      </c>
      <c r="G14" s="1739"/>
      <c r="H14" s="1739"/>
      <c r="I14" s="1739"/>
      <c r="J14" s="247">
        <f>+'Jrnl Exp ~ Dép'!T$516</f>
        <v>0</v>
      </c>
      <c r="K14" s="1752"/>
    </row>
    <row r="15" spans="2:18" ht="18" customHeight="1" x14ac:dyDescent="0.15">
      <c r="B15" s="1738"/>
      <c r="C15" s="1721"/>
      <c r="D15" s="275" t="str">
        <f>RIGHT('Jrnl Exp ~ Dép'!U$7,3)</f>
        <v>(f)</v>
      </c>
      <c r="E15" s="246">
        <f>+'Jrnl Exp ~ Dép'!U6</f>
        <v>5060</v>
      </c>
      <c r="F15" s="1739" t="str">
        <f>+'Jrnl Exp ~ Dép'!U$8</f>
        <v>Meeting costs</v>
      </c>
      <c r="G15" s="1739"/>
      <c r="H15" s="1739"/>
      <c r="I15" s="1739"/>
      <c r="J15" s="247">
        <f>+'Jrnl Exp ~ Dép'!U$516</f>
        <v>0</v>
      </c>
      <c r="K15" s="1752"/>
    </row>
    <row r="16" spans="2:18" ht="18" customHeight="1" x14ac:dyDescent="0.15">
      <c r="B16" s="1738"/>
      <c r="C16" s="1721"/>
      <c r="D16" s="275" t="str">
        <f>RIGHT('Jrnl Exp ~ Dép'!V$7,3)</f>
        <v>(g)</v>
      </c>
      <c r="E16" s="246">
        <f>+'Jrnl Exp ~ Dép'!V6</f>
        <v>5070</v>
      </c>
      <c r="F16" s="1739" t="str">
        <f>+'Jrnl Exp ~ Dép'!V$8</f>
        <v>Committee staff Accoutrement and such</v>
      </c>
      <c r="G16" s="1739"/>
      <c r="H16" s="1739"/>
      <c r="I16" s="1739"/>
      <c r="J16" s="247">
        <f>+'Jrnl Exp ~ Dép'!V$516</f>
        <v>0</v>
      </c>
      <c r="K16" s="1752"/>
    </row>
    <row r="17" spans="2:11" ht="18" customHeight="1" x14ac:dyDescent="0.15">
      <c r="B17" s="1738"/>
      <c r="C17" s="1721"/>
      <c r="D17" s="275" t="str">
        <f>RIGHT('Jrnl Exp ~ Dép'!W$7,3)</f>
        <v>(h)</v>
      </c>
      <c r="E17" s="246">
        <f>+'Jrnl Exp ~ Dép'!W6</f>
        <v>5080</v>
      </c>
      <c r="F17" s="1739" t="str">
        <f>+'Jrnl Exp ~ Dép'!W$8</f>
        <v>Advertising &amp; Recruiting</v>
      </c>
      <c r="G17" s="1739"/>
      <c r="H17" s="1739"/>
      <c r="I17" s="1739"/>
      <c r="J17" s="247">
        <f>+'Jrnl Exp ~ Dép'!W$516</f>
        <v>0</v>
      </c>
      <c r="K17" s="1752"/>
    </row>
    <row r="18" spans="2:11" ht="18" customHeight="1" x14ac:dyDescent="0.15">
      <c r="B18" s="1738"/>
      <c r="C18" s="1721"/>
      <c r="D18" s="275" t="str">
        <f>RIGHT('Jrnl Exp ~ Dép'!X$7,3)</f>
        <v>(i)</v>
      </c>
      <c r="E18" s="246">
        <f>+'Jrnl Exp ~ Dép'!X6</f>
        <v>5090</v>
      </c>
      <c r="F18" s="1739" t="str">
        <f>+'Jrnl Exp ~ Dép'!X$8</f>
        <v>Annual Provincial Committee Assessment</v>
      </c>
      <c r="G18" s="1739"/>
      <c r="H18" s="1739"/>
      <c r="I18" s="1739"/>
      <c r="J18" s="247">
        <f>+'Jrnl Exp ~ Dép'!X$516</f>
        <v>0</v>
      </c>
      <c r="K18" s="1752"/>
    </row>
    <row r="19" spans="2:11" ht="18" customHeight="1" x14ac:dyDescent="0.15">
      <c r="B19" s="1738"/>
      <c r="C19" s="1721"/>
      <c r="D19" s="275" t="str">
        <f>RIGHT('Jrnl Exp ~ Dép'!Y$7,3)</f>
        <v>(j)</v>
      </c>
      <c r="E19" s="246">
        <f>+'Jrnl Exp ~ Dép'!Y6</f>
        <v>5100</v>
      </c>
      <c r="F19" s="1739" t="str">
        <f>+'Jrnl Exp ~ Dép'!Y$8</f>
        <v>Air Group, Air Wing Dues and such</v>
      </c>
      <c r="G19" s="1739"/>
      <c r="H19" s="1739"/>
      <c r="I19" s="1739"/>
      <c r="J19" s="247">
        <f>+'Jrnl Exp ~ Dép'!Y$516</f>
        <v>0</v>
      </c>
      <c r="K19" s="1752"/>
    </row>
    <row r="20" spans="2:11" ht="18" customHeight="1" x14ac:dyDescent="0.15">
      <c r="B20" s="1738"/>
      <c r="C20" s="1721"/>
      <c r="D20" s="275" t="str">
        <f>RIGHT('Jrnl Exp ~ Dép'!Z$7,3)</f>
        <v>(k)</v>
      </c>
      <c r="E20" s="246">
        <f>+'Jrnl Exp ~ Dép'!Z6</f>
        <v>5110</v>
      </c>
      <c r="F20" s="1739" t="str">
        <f>+'Jrnl Exp ~ Dép'!Z$8</f>
        <v>Financial &amp; Bank Charges</v>
      </c>
      <c r="G20" s="1739"/>
      <c r="H20" s="1739"/>
      <c r="I20" s="1739"/>
      <c r="J20" s="247">
        <f>+'Jrnl Exp ~ Dép'!Z$516</f>
        <v>0</v>
      </c>
      <c r="K20" s="1752"/>
    </row>
    <row r="21" spans="2:11" ht="18" customHeight="1" x14ac:dyDescent="0.15">
      <c r="B21" s="1738"/>
      <c r="C21" s="1721"/>
      <c r="D21" s="241" t="str">
        <f>RIGHT('Jrnl Exp ~ Dép'!AA$7,3)</f>
        <v>(l)</v>
      </c>
      <c r="E21" s="246">
        <f>+'Jrnl Exp ~ Dép'!AA$6</f>
        <v>5120</v>
      </c>
      <c r="F21" s="1739" t="str">
        <f>+'Jrnl Exp ~ Dép'!AA$8</f>
        <v>Professional Services</v>
      </c>
      <c r="G21" s="1739"/>
      <c r="H21" s="1739"/>
      <c r="I21" s="1739"/>
      <c r="J21" s="247">
        <f>+'Jrnl Exp ~ Dép'!AA$516</f>
        <v>0</v>
      </c>
      <c r="K21" s="1752"/>
    </row>
    <row r="22" spans="2:11" ht="18" customHeight="1" x14ac:dyDescent="0.15">
      <c r="B22" s="1738"/>
      <c r="C22" s="1721"/>
      <c r="D22" s="241" t="str">
        <f>RIGHT('Jrnl Exp ~ Dép'!AB$7,3)</f>
        <v>(m)</v>
      </c>
      <c r="E22" s="246">
        <f>+'Jrnl Exp ~ Dép'!AB$6</f>
        <v>5130</v>
      </c>
      <c r="F22" s="1739" t="str">
        <f>+'Jrnl Exp ~ Dép'!AB$8</f>
        <v>Compensation for employees</v>
      </c>
      <c r="G22" s="1739"/>
      <c r="H22" s="1739"/>
      <c r="I22" s="1739"/>
      <c r="J22" s="247">
        <f>+'Jrnl Exp ~ Dép'!AB$516</f>
        <v>0</v>
      </c>
      <c r="K22" s="1752"/>
    </row>
    <row r="23" spans="2:11" ht="18" customHeight="1" thickBot="1" x14ac:dyDescent="0.2">
      <c r="B23" s="1738"/>
      <c r="C23" s="1721"/>
      <c r="D23" s="241" t="str">
        <f>RIGHT('Jrnl Exp ~ Dép'!AC$7,3)</f>
        <v>(n)</v>
      </c>
      <c r="E23" s="246">
        <f>+'Jrnl Exp ~ Dép'!AC$6</f>
        <v>5140</v>
      </c>
      <c r="F23" s="1739" t="str">
        <f>+'Jrnl Exp ~ Dép'!AC$8</f>
        <v>Insurance for material and properties</v>
      </c>
      <c r="G23" s="1739"/>
      <c r="H23" s="1739"/>
      <c r="I23" s="1739"/>
      <c r="J23" s="247">
        <f>+'Jrnl Exp ~ Dép'!AC$516</f>
        <v>0</v>
      </c>
      <c r="K23" s="1752"/>
    </row>
    <row r="24" spans="2:11" ht="18" customHeight="1" thickBot="1" x14ac:dyDescent="0.2">
      <c r="B24" s="1738"/>
      <c r="C24" s="1721"/>
      <c r="D24" s="241" t="str">
        <f>RIGHT('Jrnl Exp ~ Dép'!AD$7,3)</f>
        <v>(o)</v>
      </c>
      <c r="E24" s="246">
        <f>+'Jrnl Exp ~ Dép'!AD$6</f>
        <v>5150</v>
      </c>
      <c r="F24" s="1739" t="str">
        <f>+'Jrnl Exp ~ Dép'!AD$8</f>
        <v>Travel Expenses</v>
      </c>
      <c r="G24" s="1739"/>
      <c r="H24" s="1739"/>
      <c r="I24" s="1739"/>
      <c r="J24" s="247">
        <f>+'Jrnl Exp ~ Dép'!AD$516</f>
        <v>0</v>
      </c>
      <c r="K24" s="1752"/>
    </row>
    <row r="25" spans="2:11" ht="18" customHeight="1" thickBot="1" x14ac:dyDescent="0.2">
      <c r="B25" s="1738"/>
      <c r="C25" s="1721"/>
      <c r="D25" s="241" t="str">
        <f>RIGHT('Jrnl Exp ~ Dép'!AE$7,3)</f>
        <v>(p)</v>
      </c>
      <c r="E25" s="246">
        <f>+'Jrnl Exp ~ Dép'!AE$6</f>
        <v>5160</v>
      </c>
      <c r="F25" s="1739" t="str">
        <f>+'Jrnl Exp ~ Dép'!AE$8</f>
        <v>Postage/Shipping Costs</v>
      </c>
      <c r="G25" s="1739"/>
      <c r="H25" s="1739"/>
      <c r="I25" s="1739"/>
      <c r="J25" s="247">
        <f>+'Jrnl Exp ~ Dép'!AE$516</f>
        <v>0</v>
      </c>
      <c r="K25" s="1752"/>
    </row>
    <row r="26" spans="2:11" ht="18" customHeight="1" thickBot="1" x14ac:dyDescent="0.2">
      <c r="B26" s="1738"/>
      <c r="C26" s="1721"/>
      <c r="D26" s="241" t="str">
        <f>RIGHT('Jrnl Exp ~ Dép'!AF$7,3)</f>
        <v>(q)</v>
      </c>
      <c r="E26" s="246">
        <f>+'Jrnl Exp ~ Dép'!AF$6</f>
        <v>5170</v>
      </c>
      <c r="F26" s="1739" t="str">
        <f>'Jrnl Exp ~ Dép'!AF$8</f>
        <v>Facility Rental others than 5030</v>
      </c>
      <c r="G26" s="1739"/>
      <c r="H26" s="1739"/>
      <c r="I26" s="1739"/>
      <c r="J26" s="247">
        <f>+'Jrnl Exp ~ Dép'!AF$516</f>
        <v>0</v>
      </c>
      <c r="K26" s="1752"/>
    </row>
    <row r="27" spans="2:11" ht="18" customHeight="1" thickBot="1" x14ac:dyDescent="0.2">
      <c r="B27" s="1738"/>
      <c r="C27" s="1721"/>
      <c r="D27" s="241" t="str">
        <f>RIGHT('Jrnl Exp ~ Dép'!AG$7,3)</f>
        <v>(r)</v>
      </c>
      <c r="E27" s="246">
        <f>+'Jrnl Exp ~ Dép'!AG$6</f>
        <v>5180</v>
      </c>
      <c r="F27" s="1739" t="str">
        <f>IF('Jrnl Exp ~ Dép'!AG$8="Disponible ~ Available",IF($M$4=2,"Disponible","Available"),'Jrnl Exp ~ Dép'!AG$8)</f>
        <v>Available</v>
      </c>
      <c r="G27" s="1739"/>
      <c r="H27" s="1739"/>
      <c r="I27" s="1739"/>
      <c r="J27" s="247">
        <f>+'Jrnl Exp ~ Dép'!AG$516</f>
        <v>0</v>
      </c>
      <c r="K27" s="1752"/>
    </row>
    <row r="28" spans="2:11" ht="18" customHeight="1" thickBot="1" x14ac:dyDescent="0.2">
      <c r="B28" s="1738"/>
      <c r="C28" s="1721"/>
      <c r="D28" s="241" t="str">
        <f>RIGHT('Jrnl Exp ~ Dép'!AH$7,3)</f>
        <v>(s)</v>
      </c>
      <c r="E28" s="246">
        <f>+'Jrnl Exp ~ Dép'!AH$6</f>
        <v>5185</v>
      </c>
      <c r="F28" s="1739" t="str">
        <f>IF('Jrnl Exp ~ Dép'!AH$8="Disponible ~ Available",IF($M$4=2,"Disponible","Available"),'Jrnl Exp ~ Dép'!AH$8)</f>
        <v>Available</v>
      </c>
      <c r="G28" s="1739"/>
      <c r="H28" s="1739"/>
      <c r="I28" s="1739"/>
      <c r="J28" s="247">
        <f>+'Jrnl Exp ~ Dép'!AH$516</f>
        <v>0</v>
      </c>
      <c r="K28" s="1752"/>
    </row>
    <row r="29" spans="2:11" ht="18" customHeight="1" thickBot="1" x14ac:dyDescent="0.2">
      <c r="B29" s="1738"/>
      <c r="C29" s="1721"/>
      <c r="D29" s="241" t="str">
        <f>RIGHT('Jrnl Exp ~ Dép'!AI$7,3)</f>
        <v>(t)</v>
      </c>
      <c r="E29" s="246">
        <f>+'Jrnl Exp ~ Dép'!AI$6</f>
        <v>5190</v>
      </c>
      <c r="F29" s="1739" t="str">
        <f>IF('Jrnl Exp ~ Dép'!AI$8="Disponible ~ Available",IF($M$4=2,"Disponible","Available"),'Jrnl Exp ~ Dép'!AI$8)</f>
        <v>Available</v>
      </c>
      <c r="G29" s="1739"/>
      <c r="H29" s="1739"/>
      <c r="I29" s="1739"/>
      <c r="J29" s="247">
        <f>+'Jrnl Exp ~ Dép'!AI$516</f>
        <v>0</v>
      </c>
      <c r="K29" s="1752"/>
    </row>
    <row r="30" spans="2:11" ht="18" customHeight="1" thickBot="1" x14ac:dyDescent="0.2">
      <c r="B30" s="1738"/>
      <c r="C30" s="1721"/>
      <c r="D30" s="241" t="str">
        <f>RIGHT('Jrnl Exp ~ Dép'!AJ$7,3)</f>
        <v>(u)</v>
      </c>
      <c r="E30" s="246">
        <f>+'Jrnl Exp ~ Dép'!AJ$6</f>
        <v>5195</v>
      </c>
      <c r="F30" s="1739" t="str">
        <f>IF('Jrnl Exp ~ Dép'!AJ$8="Disponible ~ Available",IF($M$4=2,"Disponible","Available"),'Jrnl Exp ~ Dép'!AJ$8)</f>
        <v>Available</v>
      </c>
      <c r="G30" s="1739"/>
      <c r="H30" s="1739"/>
      <c r="I30" s="1739"/>
      <c r="J30" s="247">
        <f>+'Jrnl Exp ~ Dép'!AJ$516</f>
        <v>0</v>
      </c>
      <c r="K30" s="1752"/>
    </row>
    <row r="31" spans="2:11" ht="18" customHeight="1" thickBot="1" x14ac:dyDescent="0.2">
      <c r="B31" s="1738"/>
      <c r="C31" s="1721"/>
      <c r="D31" s="241" t="str">
        <f>RIGHT('Jrnl Exp ~ Dép'!AK$7,3)</f>
        <v>(v)</v>
      </c>
      <c r="E31" s="246">
        <f>+'Jrnl Exp ~ Dép'!AK$6</f>
        <v>5200</v>
      </c>
      <c r="F31" s="1739" t="str">
        <f>IF('Jrnl Exp ~ Dép'!AK$8="Disponible ~ Available",IF($M$4=2,"Disponible","Available"),'Jrnl Exp ~ Dép'!AK$8)</f>
        <v>Available</v>
      </c>
      <c r="G31" s="1739"/>
      <c r="H31" s="1739"/>
      <c r="I31" s="1739"/>
      <c r="J31" s="247">
        <f>+'Jrnl Exp ~ Dép'!AK$516</f>
        <v>0</v>
      </c>
      <c r="K31" s="1752"/>
    </row>
    <row r="32" spans="2:11" ht="18" customHeight="1" thickBot="1" x14ac:dyDescent="0.2">
      <c r="B32" s="1738"/>
      <c r="C32" s="1721"/>
      <c r="D32" s="241" t="str">
        <f>RIGHT('Jrnl Exp ~ Dép'!AL$7,3)</f>
        <v>(w)</v>
      </c>
      <c r="E32" s="246">
        <f>+'Jrnl Exp ~ Dép'!AL$6</f>
        <v>5205</v>
      </c>
      <c r="F32" s="1739" t="str">
        <f>IF('Jrnl Exp ~ Dép'!AL$8="Disponible ~ Available",IF($M$4=2,"Disponible","Available"),'Jrnl Exp ~ Dép'!AL$8)</f>
        <v>Available</v>
      </c>
      <c r="G32" s="1739"/>
      <c r="H32" s="1739"/>
      <c r="I32" s="1739"/>
      <c r="J32" s="247">
        <f>+'Jrnl Exp ~ Dép'!AL$516</f>
        <v>0</v>
      </c>
      <c r="K32" s="1752"/>
    </row>
    <row r="33" spans="2:13" ht="18" customHeight="1" thickBot="1" x14ac:dyDescent="0.2">
      <c r="B33" s="1738"/>
      <c r="C33" s="1721"/>
      <c r="D33" s="241" t="str">
        <f>RIGHT('Jrnl Exp ~ Dép'!AM$7,3)</f>
        <v>(x)</v>
      </c>
      <c r="E33" s="246">
        <f>+'Jrnl Exp ~ Dép'!AM$6</f>
        <v>5210</v>
      </c>
      <c r="F33" s="1739" t="str">
        <f>IF('Jrnl Exp ~ Dép'!AM$8="Disponible ~ Available",IF($M$4=2,"Disponible","Available"),'Jrnl Exp ~ Dép'!AM$8)</f>
        <v>Available</v>
      </c>
      <c r="G33" s="1739"/>
      <c r="H33" s="1739"/>
      <c r="I33" s="1739"/>
      <c r="J33" s="247">
        <f>+'Jrnl Exp ~ Dép'!AM$516</f>
        <v>0</v>
      </c>
      <c r="K33" s="1752"/>
    </row>
    <row r="34" spans="2:13" ht="18" customHeight="1" thickBot="1" x14ac:dyDescent="0.2">
      <c r="B34" s="1738"/>
      <c r="C34" s="1721"/>
      <c r="D34" s="241" t="str">
        <f>RIGHT('Jrnl Exp ~ Dép'!AN$7,3)</f>
        <v>(y)</v>
      </c>
      <c r="E34" s="246">
        <f>+'Jrnl Exp ~ Dép'!AN$6</f>
        <v>5215</v>
      </c>
      <c r="F34" s="1739" t="str">
        <f>IF('Jrnl Exp ~ Dép'!AN$8="Disponible ~ Available",IF($M$4=2,"Disponible","Available"),'Jrnl Exp ~ Dép'!AN$8)</f>
        <v>Available</v>
      </c>
      <c r="G34" s="1739"/>
      <c r="H34" s="1739"/>
      <c r="I34" s="1739"/>
      <c r="J34" s="247">
        <f>+'Jrnl Exp ~ Dép'!AN$516</f>
        <v>0</v>
      </c>
      <c r="K34" s="1752"/>
    </row>
    <row r="35" spans="2:13" ht="18" customHeight="1" thickBot="1" x14ac:dyDescent="0.2">
      <c r="B35" s="1738"/>
      <c r="C35" s="1721"/>
      <c r="D35" s="276" t="str">
        <f>RIGHT('Jrnl Exp ~ Dép'!AO$7,3)</f>
        <v>(z)</v>
      </c>
      <c r="E35" s="246">
        <f>+'Jrnl Exp ~ Dép'!AO$6</f>
        <v>5220</v>
      </c>
      <c r="F35" s="1739" t="str">
        <f>IF('Jrnl Exp ~ Dép'!AO$8="Disponible ~ Available",IF($M$4=2,"Disponible","Available"),'Jrnl Exp ~ Dép'!AO$8)</f>
        <v>Available</v>
      </c>
      <c r="G35" s="1739"/>
      <c r="H35" s="1739"/>
      <c r="I35" s="1739"/>
      <c r="J35" s="247">
        <f>+'Jrnl Exp ~ Dép'!AO$516</f>
        <v>0</v>
      </c>
      <c r="K35" s="1752"/>
    </row>
    <row r="36" spans="2:13" ht="18" customHeight="1" x14ac:dyDescent="0.15">
      <c r="B36" s="277"/>
      <c r="C36" s="238"/>
      <c r="D36" s="278"/>
      <c r="E36" s="257">
        <v>5299</v>
      </c>
      <c r="F36" s="1742" t="str">
        <f>CONCATENATE('Jrnl Exp ~ Dép'!P5," - ","Total:")</f>
        <v>Administrative &amp; Operating Expenses - Total:</v>
      </c>
      <c r="G36" s="1742"/>
      <c r="H36" s="1742"/>
      <c r="I36" s="1742"/>
      <c r="J36" s="1742"/>
      <c r="K36" s="279">
        <f>SUM(J10:J35)</f>
        <v>0</v>
      </c>
      <c r="M36" s="82"/>
    </row>
    <row r="37" spans="2:13" x14ac:dyDescent="0.15">
      <c r="F37" s="1744"/>
      <c r="G37" s="1744"/>
      <c r="H37" s="1744"/>
      <c r="I37" s="1744"/>
    </row>
    <row r="38" spans="2:13" ht="18" customHeight="1" x14ac:dyDescent="0.15">
      <c r="B38" s="1759"/>
      <c r="C38" s="1720" t="str">
        <f>CONCATENATE('Jrnl Exp ~ Dép'!AP4," - ",'Jrnl Exp ~ Dép'!AP5)</f>
        <v>5300 - DND Supported Mandatory Trg/Activities Expenses</v>
      </c>
      <c r="D38" s="1720"/>
      <c r="E38" s="1720"/>
      <c r="F38" s="1720"/>
      <c r="G38" s="1720"/>
      <c r="H38" s="1720"/>
      <c r="I38" s="1720"/>
      <c r="J38" s="1720"/>
      <c r="K38" s="1720"/>
    </row>
    <row r="39" spans="2:13" ht="18" customHeight="1" x14ac:dyDescent="0.15">
      <c r="B39" s="1760"/>
      <c r="C39" s="1747" t="str">
        <f>LEFT('Jrnl Exp ~ Dép'!AP7,1)</f>
        <v>3</v>
      </c>
      <c r="D39" s="275" t="str">
        <f>RIGHT('Jrnl Exp ~ Dép'!AP$7,3)</f>
        <v>(a)</v>
      </c>
      <c r="E39" s="246">
        <f>+'Jrnl Exp ~ Dép'!AP6</f>
        <v>5310</v>
      </c>
      <c r="F39" s="1745" t="str">
        <f>+'Jrnl Exp ~ Dép'!AP8</f>
        <v>Field Trg Ex (FTX)</v>
      </c>
      <c r="G39" s="1745"/>
      <c r="H39" s="1745"/>
      <c r="I39" s="1745"/>
      <c r="J39" s="259">
        <f>+'Jrnl Exp ~ Dép'!AP516</f>
        <v>0</v>
      </c>
      <c r="K39" s="1749"/>
    </row>
    <row r="40" spans="2:13" ht="18" customHeight="1" x14ac:dyDescent="0.15">
      <c r="B40" s="1760"/>
      <c r="C40" s="1748"/>
      <c r="D40" s="275" t="str">
        <f>RIGHT('Jrnl Exp ~ Dép'!AU$7,3)</f>
        <v>(b)</v>
      </c>
      <c r="E40" s="246">
        <f>+'Jrnl Exp ~ Dép'!AU6</f>
        <v>5315</v>
      </c>
      <c r="F40" s="1745" t="str">
        <f>+'Jrnl Exp ~ Dép'!AU8</f>
        <v>Other training</v>
      </c>
      <c r="G40" s="1745"/>
      <c r="H40" s="1745"/>
      <c r="I40" s="1745"/>
      <c r="J40" s="259">
        <f>+'Jrnl Exp ~ Dép'!AU516</f>
        <v>0</v>
      </c>
      <c r="K40" s="1750"/>
    </row>
    <row r="41" spans="2:13" ht="18" customHeight="1" x14ac:dyDescent="0.15">
      <c r="B41" s="1760"/>
      <c r="C41" s="1748"/>
      <c r="D41" s="275" t="str">
        <f>RIGHT('Jrnl Exp ~ Dép'!AZ$7,3)</f>
        <v>(c)</v>
      </c>
      <c r="E41" s="246">
        <f>+'Jrnl Exp ~ Dép'!AZ$6</f>
        <v>5320</v>
      </c>
      <c r="F41" s="1746" t="str">
        <f>+'Jrnl Exp ~ Dép'!AZ$8</f>
        <v>Training Equipment</v>
      </c>
      <c r="G41" s="1746"/>
      <c r="H41" s="1746"/>
      <c r="I41" s="1746"/>
      <c r="J41" s="280">
        <f>+'Jrnl Exp ~ Dép'!AZ$516</f>
        <v>0</v>
      </c>
      <c r="K41" s="1750"/>
    </row>
    <row r="42" spans="2:13" ht="18" customHeight="1" x14ac:dyDescent="0.15">
      <c r="B42" s="1760"/>
      <c r="C42" s="1748"/>
      <c r="D42" s="275" t="str">
        <f>RIGHT('Jrnl Exp ~ Dép'!BA$7,3)</f>
        <v>(d)</v>
      </c>
      <c r="E42" s="246">
        <f>+'Jrnl Exp ~ Dép'!BA$6</f>
        <v>5325</v>
      </c>
      <c r="F42" s="1746" t="str">
        <f>+'Jrnl Exp ~ Dép'!BA$8</f>
        <v>Sports &amp; Phys Ed Related Activities</v>
      </c>
      <c r="G42" s="1746"/>
      <c r="H42" s="1746"/>
      <c r="I42" s="1746"/>
      <c r="J42" s="280">
        <f>+'Jrnl Exp ~ Dép'!BA$516</f>
        <v>0</v>
      </c>
      <c r="K42" s="1750"/>
    </row>
    <row r="43" spans="2:13" ht="18" customHeight="1" x14ac:dyDescent="0.15">
      <c r="B43" s="1760"/>
      <c r="C43" s="1748"/>
      <c r="D43" s="275" t="str">
        <f>RIGHT('Jrnl Exp ~ Dép'!BB$7,3)</f>
        <v>(e)</v>
      </c>
      <c r="E43" s="246">
        <f>+'Jrnl Exp ~ Dép'!BB$6</f>
        <v>5330</v>
      </c>
      <c r="F43" s="1746" t="str">
        <f>+'Jrnl Exp ~ Dép'!BB$8</f>
        <v>Flying and Gliding related outlays</v>
      </c>
      <c r="G43" s="1746"/>
      <c r="H43" s="1746"/>
      <c r="I43" s="1746"/>
      <c r="J43" s="280">
        <f>+'Jrnl Exp ~ Dép'!BB$516</f>
        <v>0</v>
      </c>
      <c r="K43" s="1750"/>
    </row>
    <row r="44" spans="2:13" ht="18" customHeight="1" x14ac:dyDescent="0.15">
      <c r="B44" s="1760"/>
      <c r="C44" s="1748"/>
      <c r="D44" s="275" t="str">
        <f>RIGHT('Jrnl Exp ~ Dép'!BC$7,3)</f>
        <v>(f)</v>
      </c>
      <c r="E44" s="246">
        <f>+'Jrnl Exp ~ Dép'!BC$6</f>
        <v>5335</v>
      </c>
      <c r="F44" s="1746" t="str">
        <f>+'Jrnl Exp ~ Dép'!BC$8</f>
        <v>Community Service</v>
      </c>
      <c r="G44" s="1746"/>
      <c r="H44" s="1746"/>
      <c r="I44" s="1746"/>
      <c r="J44" s="280">
        <f>+'Jrnl Exp ~ Dép'!BC$516</f>
        <v>0</v>
      </c>
      <c r="K44" s="1750"/>
    </row>
    <row r="45" spans="2:13" ht="18" customHeight="1" x14ac:dyDescent="0.15">
      <c r="B45" s="1760"/>
      <c r="C45" s="1748"/>
      <c r="D45" s="275" t="str">
        <f>RIGHT('Jrnl Exp ~ Dép'!BD$7,3)</f>
        <v>(g)</v>
      </c>
      <c r="E45" s="246">
        <f>+'Jrnl Exp ~ Dép'!BD$6</f>
        <v>5340</v>
      </c>
      <c r="F45" s="1746" t="str">
        <f>+'Jrnl Exp ~ Dép'!BD$8</f>
        <v>Shooting Pgm</v>
      </c>
      <c r="G45" s="1746"/>
      <c r="H45" s="1746"/>
      <c r="I45" s="1746"/>
      <c r="J45" s="280">
        <f>+'Jrnl Exp ~ Dép'!BD$516</f>
        <v>0</v>
      </c>
      <c r="K45" s="1750"/>
    </row>
    <row r="46" spans="2:13" ht="18" customHeight="1" x14ac:dyDescent="0.15">
      <c r="B46" s="1760"/>
      <c r="C46" s="1748"/>
      <c r="D46" s="275" t="str">
        <f>RIGHT('Jrnl Exp ~ Dép'!BE$7,3)</f>
        <v>(h)</v>
      </c>
      <c r="E46" s="246">
        <f>+'Jrnl Exp ~ Dép'!BE$6</f>
        <v>5345</v>
      </c>
      <c r="F46" s="1746" t="str">
        <f>+'Jrnl Exp ~ Dép'!BE$8</f>
        <v>Aviation Day</v>
      </c>
      <c r="G46" s="1746"/>
      <c r="H46" s="1746"/>
      <c r="I46" s="1746"/>
      <c r="J46" s="280">
        <f>+'Jrnl Exp ~ Dép'!BE$516</f>
        <v>0</v>
      </c>
      <c r="K46" s="1750"/>
    </row>
    <row r="47" spans="2:13" ht="18" customHeight="1" x14ac:dyDescent="0.15">
      <c r="B47" s="1760"/>
      <c r="C47" s="1748"/>
      <c r="D47" s="275" t="str">
        <f>RIGHT('Jrnl Exp ~ Dép'!BF$7,3)</f>
        <v>(i)</v>
      </c>
      <c r="E47" s="246">
        <f>+'Jrnl Exp ~ Dép'!BF$6</f>
        <v>5350</v>
      </c>
      <c r="F47" s="1746" t="str">
        <f>+'Jrnl Exp ~ Dép'!BF$8</f>
        <v>Mess Dinner</v>
      </c>
      <c r="G47" s="1746"/>
      <c r="H47" s="1746"/>
      <c r="I47" s="1746"/>
      <c r="J47" s="280">
        <f>+'Jrnl Exp ~ Dép'!BF$516</f>
        <v>0</v>
      </c>
      <c r="K47" s="1750"/>
    </row>
    <row r="48" spans="2:13" ht="18" customHeight="1" x14ac:dyDescent="0.15">
      <c r="B48" s="1760"/>
      <c r="C48" s="1748"/>
      <c r="D48" s="241" t="str">
        <f>RIGHT('Jrnl Exp ~ Dép'!BG$7,3)</f>
        <v>(i)</v>
      </c>
      <c r="E48" s="246">
        <f>+'Jrnl Exp ~ Dép'!BG$6</f>
        <v>5355</v>
      </c>
      <c r="F48" s="1746" t="str">
        <f>+'Jrnl Exp ~ Dép'!BG$8</f>
        <v>Ground School</v>
      </c>
      <c r="G48" s="1746"/>
      <c r="H48" s="1746"/>
      <c r="I48" s="1746"/>
      <c r="J48" s="280">
        <f>+'Jrnl Exp ~ Dép'!BG$516</f>
        <v>0</v>
      </c>
      <c r="K48" s="1750"/>
    </row>
    <row r="49" spans="2:13" ht="18" customHeight="1" x14ac:dyDescent="0.15">
      <c r="B49" s="1760"/>
      <c r="C49" s="1748"/>
      <c r="D49" s="241" t="str">
        <f>RIGHT('Jrnl Exp ~ Dép'!BH$7,3)</f>
        <v>(j)</v>
      </c>
      <c r="E49" s="246">
        <f>+'Jrnl Exp ~ Dép'!BH$6</f>
        <v>5360</v>
      </c>
      <c r="F49" s="1739" t="str">
        <f>IF('Jrnl Exp ~ Dép'!BH$8="Disponible ~ Available",IF($M$4=2,"Disponible","Available"),'Jrnl Exp ~ Dép'!BH$8)</f>
        <v>Available</v>
      </c>
      <c r="G49" s="1739"/>
      <c r="H49" s="1739"/>
      <c r="I49" s="1739"/>
      <c r="J49" s="280">
        <f>+'Jrnl Exp ~ Dép'!BH$516</f>
        <v>0</v>
      </c>
      <c r="K49" s="1750"/>
    </row>
    <row r="50" spans="2:13" ht="18" customHeight="1" x14ac:dyDescent="0.15">
      <c r="B50" s="1760"/>
      <c r="C50" s="1748"/>
      <c r="D50" s="241" t="str">
        <f>RIGHT('Jrnl Exp ~ Dép'!BI$7,3)</f>
        <v>(k)</v>
      </c>
      <c r="E50" s="246">
        <f>+'Jrnl Exp ~ Dép'!BI$6</f>
        <v>5365</v>
      </c>
      <c r="F50" s="1739" t="str">
        <f>IF('Jrnl Exp ~ Dép'!BI$8="Disponible ~ Available",IF($M$4=2,"Disponible","Available"),'Jrnl Exp ~ Dép'!BI$8)</f>
        <v>Available</v>
      </c>
      <c r="G50" s="1739"/>
      <c r="H50" s="1739"/>
      <c r="I50" s="1739"/>
      <c r="J50" s="280">
        <f>+'Jrnl Exp ~ Dép'!BI$516</f>
        <v>0</v>
      </c>
      <c r="K50" s="1750"/>
    </row>
    <row r="51" spans="2:13" ht="18" customHeight="1" x14ac:dyDescent="0.15">
      <c r="B51" s="1760"/>
      <c r="C51" s="1748"/>
      <c r="D51" s="241" t="str">
        <f>RIGHT('Jrnl Exp ~ Dép'!BJ$7,3)</f>
        <v>(l)</v>
      </c>
      <c r="E51" s="246">
        <f>+'Jrnl Exp ~ Dép'!BJ$6</f>
        <v>5370</v>
      </c>
      <c r="F51" s="1739" t="str">
        <f>IF('Jrnl Exp ~ Dép'!BJ$8="Disponible ~ Available",IF($M$4=2,"Disponible","Available"),'Jrnl Exp ~ Dép'!BJ$8)</f>
        <v>Available</v>
      </c>
      <c r="G51" s="1739"/>
      <c r="H51" s="1739"/>
      <c r="I51" s="1739"/>
      <c r="J51" s="280">
        <f>+'Jrnl Exp ~ Dép'!BJ$516</f>
        <v>0</v>
      </c>
      <c r="K51" s="1750"/>
    </row>
    <row r="52" spans="2:13" ht="18" customHeight="1" x14ac:dyDescent="0.15">
      <c r="B52" s="1760"/>
      <c r="C52" s="1748"/>
      <c r="D52" s="241" t="str">
        <f>RIGHT('Jrnl Exp ~ Dép'!BK$7,3)</f>
        <v>(m)</v>
      </c>
      <c r="E52" s="246">
        <f>+'Jrnl Exp ~ Dép'!BK$6</f>
        <v>5375</v>
      </c>
      <c r="F52" s="1739" t="str">
        <f>IF('Jrnl Exp ~ Dép'!BK$8="Disponible ~ Available",IF($M$4=2,"Disponible","Available"),'Jrnl Exp ~ Dép'!BK$8)</f>
        <v>Available</v>
      </c>
      <c r="G52" s="1739"/>
      <c r="H52" s="1739"/>
      <c r="I52" s="1739"/>
      <c r="J52" s="280">
        <f>+'Jrnl Exp ~ Dép'!BK$516</f>
        <v>0</v>
      </c>
      <c r="K52" s="1750"/>
    </row>
    <row r="53" spans="2:13" ht="18" customHeight="1" thickBot="1" x14ac:dyDescent="0.2">
      <c r="B53" s="1760"/>
      <c r="C53" s="1748"/>
      <c r="D53" s="275" t="str">
        <f>RIGHT('Jrnl Exp ~ Dép'!BL$7,3)</f>
        <v>(n)</v>
      </c>
      <c r="E53" s="246">
        <f>+'Jrnl Exp ~ Dép'!BL$6</f>
        <v>5380</v>
      </c>
      <c r="F53" s="1739" t="str">
        <f>IF('Jrnl Exp ~ Dép'!BL$8="Disponible ~ Available",IF($M$4=2,"Disponible","Available"),'Jrnl Exp ~ Dép'!BL$8)</f>
        <v>Available</v>
      </c>
      <c r="G53" s="1739"/>
      <c r="H53" s="1739"/>
      <c r="I53" s="1739"/>
      <c r="J53" s="280">
        <f>+'Jrnl Exp ~ Dép'!BL$516</f>
        <v>0</v>
      </c>
      <c r="K53" s="1751"/>
    </row>
    <row r="54" spans="2:13" ht="18" customHeight="1" x14ac:dyDescent="0.15">
      <c r="B54" s="1761"/>
      <c r="C54" s="495"/>
      <c r="D54" s="496"/>
      <c r="E54" s="257">
        <v>5399</v>
      </c>
      <c r="F54" s="1742" t="str">
        <f>CONCATENATE('Jrnl Exp ~ Dép'!AP5," - ","Total:")</f>
        <v>DND Supported Mandatory Trg/Activities Expenses - Total:</v>
      </c>
      <c r="G54" s="1742"/>
      <c r="H54" s="1742"/>
      <c r="I54" s="1742"/>
      <c r="J54" s="1742"/>
      <c r="K54" s="279">
        <f>SUM(J39:J53)</f>
        <v>0</v>
      </c>
      <c r="M54" s="82"/>
    </row>
    <row r="55" spans="2:13" ht="18" customHeight="1" x14ac:dyDescent="0.15">
      <c r="B55" s="26"/>
      <c r="C55" s="238"/>
      <c r="D55" s="492"/>
      <c r="E55" s="493"/>
      <c r="F55" s="494"/>
      <c r="G55" s="494"/>
      <c r="H55" s="494"/>
      <c r="I55" s="494"/>
      <c r="J55" s="494"/>
      <c r="K55" s="283" t="s">
        <v>462</v>
      </c>
      <c r="M55" s="82"/>
    </row>
    <row r="56" spans="2:13" ht="18" customHeight="1" x14ac:dyDescent="0.15">
      <c r="B56" s="1756"/>
      <c r="C56" s="1762" t="str">
        <f>CONCATENATE('Jrnl Exp ~ Dép'!BM4," - ",'Jrnl Exp ~ Dép'!BM5)</f>
        <v>5400 - DND Supported Optional Trg/Activities Expenses</v>
      </c>
      <c r="D56" s="1763"/>
      <c r="E56" s="1763"/>
      <c r="F56" s="1763"/>
      <c r="G56" s="1763"/>
      <c r="H56" s="1763"/>
      <c r="I56" s="1763"/>
      <c r="J56" s="1764"/>
      <c r="K56" s="1749"/>
    </row>
    <row r="57" spans="2:13" ht="18" customHeight="1" thickBot="1" x14ac:dyDescent="0.2">
      <c r="B57" s="1757"/>
      <c r="C57" s="1721" t="str">
        <f>LEFT('Jrnl Exp ~ Dép'!BM7,1)</f>
        <v>4</v>
      </c>
      <c r="D57" s="275" t="str">
        <f>RIGHT('Jrnl Exp ~ Dép'!BM$7,3)</f>
        <v>(a)</v>
      </c>
      <c r="E57" s="246">
        <f>+'Jrnl Exp ~ Dép'!BM$6</f>
        <v>5410</v>
      </c>
      <c r="F57" s="1746" t="str">
        <f>+'Jrnl Exp ~ Dép'!BM$8</f>
        <v>Band</v>
      </c>
      <c r="G57" s="1746"/>
      <c r="H57" s="1746"/>
      <c r="I57" s="1746"/>
      <c r="J57" s="280">
        <f>+'Jrnl Exp ~ Dép'!BM$516</f>
        <v>0</v>
      </c>
      <c r="K57" s="1750"/>
    </row>
    <row r="58" spans="2:13" ht="18" customHeight="1" thickBot="1" x14ac:dyDescent="0.2">
      <c r="B58" s="1757"/>
      <c r="C58" s="1721"/>
      <c r="D58" s="275" t="str">
        <f>RIGHT('Jrnl Exp ~ Dép'!BN$7,3)</f>
        <v>(b)</v>
      </c>
      <c r="E58" s="246">
        <f>+'Jrnl Exp ~ Dép'!BN$6</f>
        <v>5415</v>
      </c>
      <c r="F58" s="1746" t="str">
        <f>+'Jrnl Exp ~ Dép'!BN$8</f>
        <v>Drill Team</v>
      </c>
      <c r="G58" s="1746"/>
      <c r="H58" s="1746"/>
      <c r="I58" s="1746"/>
      <c r="J58" s="280">
        <f>+'Jrnl Exp ~ Dép'!BN$516</f>
        <v>0</v>
      </c>
      <c r="K58" s="1750"/>
    </row>
    <row r="59" spans="2:13" ht="18" customHeight="1" thickBot="1" x14ac:dyDescent="0.2">
      <c r="B59" s="1757"/>
      <c r="C59" s="1721"/>
      <c r="D59" s="275" t="str">
        <f>RIGHT('Jrnl Exp ~ Dép'!BO$7,3)</f>
        <v>(c)</v>
      </c>
      <c r="E59" s="246">
        <f>+'Jrnl Exp ~ Dép'!BO$6</f>
        <v>5420</v>
      </c>
      <c r="F59" s="1746" t="str">
        <f>+'Jrnl Exp ~ Dép'!BO$8</f>
        <v>Marksmanship</v>
      </c>
      <c r="G59" s="1746"/>
      <c r="H59" s="1746"/>
      <c r="I59" s="1746"/>
      <c r="J59" s="280">
        <f>+'Jrnl Exp ~ Dép'!BO$516</f>
        <v>0</v>
      </c>
      <c r="K59" s="1750"/>
    </row>
    <row r="60" spans="2:13" ht="18" customHeight="1" thickBot="1" x14ac:dyDescent="0.2">
      <c r="B60" s="1757"/>
      <c r="C60" s="1721"/>
      <c r="D60" s="275" t="str">
        <f>RIGHT('Jrnl Exp ~ Dép'!BP$7,3)</f>
        <v>(d)</v>
      </c>
      <c r="E60" s="246">
        <f>+'Jrnl Exp ~ Dép'!BP$6</f>
        <v>5425</v>
      </c>
      <c r="F60" s="1746" t="str">
        <f>+'Jrnl Exp ~ Dép'!BP$8</f>
        <v>Biathlon</v>
      </c>
      <c r="G60" s="1746"/>
      <c r="H60" s="1746"/>
      <c r="I60" s="1746"/>
      <c r="J60" s="280">
        <f>+'Jrnl Exp ~ Dép'!BP$516</f>
        <v>0</v>
      </c>
      <c r="K60" s="1750"/>
    </row>
    <row r="61" spans="2:13" ht="18" customHeight="1" thickBot="1" x14ac:dyDescent="0.2">
      <c r="B61" s="1757"/>
      <c r="C61" s="1721"/>
      <c r="D61" s="275" t="str">
        <f>RIGHT('Jrnl Exp ~ Dép'!BQ$7,3)</f>
        <v>(e)</v>
      </c>
      <c r="E61" s="246">
        <f>+'Jrnl Exp ~ Dép'!BQ$6</f>
        <v>5430</v>
      </c>
      <c r="F61" s="1746" t="str">
        <f>+'Jrnl Exp ~ Dép'!BQ$8</f>
        <v>Effective Speaking</v>
      </c>
      <c r="G61" s="1746"/>
      <c r="H61" s="1746"/>
      <c r="I61" s="1746"/>
      <c r="J61" s="280">
        <f>+'Jrnl Exp ~ Dép'!BQ$516</f>
        <v>0</v>
      </c>
      <c r="K61" s="1750"/>
    </row>
    <row r="62" spans="2:13" ht="18" customHeight="1" thickBot="1" x14ac:dyDescent="0.2">
      <c r="B62" s="1757"/>
      <c r="C62" s="1721"/>
      <c r="D62" s="275" t="str">
        <f>RIGHT('Jrnl Exp ~ Dép'!BR$7,3)</f>
        <v>(f)</v>
      </c>
      <c r="E62" s="246">
        <f>+'Jrnl Exp ~ Dép'!BR$6</f>
        <v>5435</v>
      </c>
      <c r="F62" s="1739" t="str">
        <f>IF('Jrnl Exp ~ Dép'!BR$8="Disponible ~ Available",IF($M$4=2,"Disponible","Available"),'Jrnl Exp ~ Dép'!BR$8)</f>
        <v>Available</v>
      </c>
      <c r="G62" s="1739"/>
      <c r="H62" s="1739"/>
      <c r="I62" s="1739"/>
      <c r="J62" s="280">
        <f>+'Jrnl Exp ~ Dép'!BR$516</f>
        <v>0</v>
      </c>
      <c r="K62" s="1750"/>
    </row>
    <row r="63" spans="2:13" ht="18" customHeight="1" thickBot="1" x14ac:dyDescent="0.2">
      <c r="B63" s="1757"/>
      <c r="C63" s="1721"/>
      <c r="D63" s="275" t="str">
        <f>RIGHT('Jrnl Exp ~ Dép'!BS$7,3)</f>
        <v>(g)</v>
      </c>
      <c r="E63" s="246">
        <f>+'Jrnl Exp ~ Dép'!BS$6</f>
        <v>5440</v>
      </c>
      <c r="F63" s="1739" t="str">
        <f>IF('Jrnl Exp ~ Dép'!BS$8="Disponible ~ Available",IF($M$4=2,"Disponible","Available"),'Jrnl Exp ~ Dép'!BS$8)</f>
        <v>Available</v>
      </c>
      <c r="G63" s="1739"/>
      <c r="H63" s="1739"/>
      <c r="I63" s="1739"/>
      <c r="J63" s="280">
        <f>+'Jrnl Exp ~ Dép'!BS$516</f>
        <v>0</v>
      </c>
      <c r="K63" s="1750"/>
    </row>
    <row r="64" spans="2:13" ht="18" customHeight="1" thickBot="1" x14ac:dyDescent="0.2">
      <c r="B64" s="1757"/>
      <c r="C64" s="1721"/>
      <c r="D64" s="275" t="str">
        <f>RIGHT('Jrnl Exp ~ Dép'!BT$7,3)</f>
        <v>(h)</v>
      </c>
      <c r="E64" s="246">
        <f>+'Jrnl Exp ~ Dép'!BT$6</f>
        <v>5445</v>
      </c>
      <c r="F64" s="1739" t="str">
        <f>IF('Jrnl Exp ~ Dép'!BT$8="Disponible ~ Available",IF($M$4=2,"Disponible","Available"),'Jrnl Exp ~ Dép'!BT$8)</f>
        <v>Available</v>
      </c>
      <c r="G64" s="1739"/>
      <c r="H64" s="1739"/>
      <c r="I64" s="1739"/>
      <c r="J64" s="280">
        <f>+'Jrnl Exp ~ Dép'!BT$516</f>
        <v>0</v>
      </c>
      <c r="K64" s="1750"/>
    </row>
    <row r="65" spans="2:11" ht="18" customHeight="1" thickBot="1" x14ac:dyDescent="0.2">
      <c r="B65" s="1757"/>
      <c r="C65" s="1721"/>
      <c r="D65" s="275" t="str">
        <f>RIGHT('Jrnl Exp ~ Dép'!BU$7,3)</f>
        <v>(i)</v>
      </c>
      <c r="E65" s="246">
        <f>+'Jrnl Exp ~ Dép'!BU$6</f>
        <v>5450</v>
      </c>
      <c r="F65" s="1739" t="str">
        <f>IF('Jrnl Exp ~ Dép'!BU$8="Disponible ~ Available",IF($M$4=2,"Disponible","Available"),'Jrnl Exp ~ Dép'!BU$8)</f>
        <v>Available</v>
      </c>
      <c r="G65" s="1739"/>
      <c r="H65" s="1739"/>
      <c r="I65" s="1739"/>
      <c r="J65" s="280">
        <f>+'Jrnl Exp ~ Dép'!BU$516</f>
        <v>0</v>
      </c>
      <c r="K65" s="1750"/>
    </row>
    <row r="66" spans="2:11" ht="18" customHeight="1" thickBot="1" x14ac:dyDescent="0.2">
      <c r="B66" s="1757"/>
      <c r="C66" s="1721"/>
      <c r="D66" s="276" t="str">
        <f>RIGHT('Jrnl Exp ~ Dép'!BV$7,3)</f>
        <v>(j)</v>
      </c>
      <c r="E66" s="246">
        <f>+'Jrnl Exp ~ Dép'!BV$6</f>
        <v>5455</v>
      </c>
      <c r="F66" s="1739" t="str">
        <f>IF('Jrnl Exp ~ Dép'!BV$8="Disponible ~ Available",IF($M$4=2,"Disponible","Available"),'Jrnl Exp ~ Dép'!BV$8)</f>
        <v>Available</v>
      </c>
      <c r="G66" s="1739"/>
      <c r="H66" s="1739"/>
      <c r="I66" s="1739"/>
      <c r="J66" s="280">
        <f>+'Jrnl Exp ~ Dép'!BV$516</f>
        <v>0</v>
      </c>
      <c r="K66" s="1751"/>
    </row>
    <row r="67" spans="2:11" ht="18" customHeight="1" x14ac:dyDescent="0.15">
      <c r="B67" s="1758"/>
      <c r="C67" s="281"/>
      <c r="D67" s="282"/>
      <c r="E67" s="257">
        <v>5499</v>
      </c>
      <c r="F67" s="1742" t="str">
        <f>CONCATENATE('Jrnl Exp ~ Dép'!BM5," - ","Total:")</f>
        <v>DND Supported Optional Trg/Activities Expenses - Total:</v>
      </c>
      <c r="G67" s="1742"/>
      <c r="H67" s="1742"/>
      <c r="I67" s="1742"/>
      <c r="J67" s="1742"/>
      <c r="K67" s="279">
        <f>SUM(J57:J66)</f>
        <v>0</v>
      </c>
    </row>
    <row r="68" spans="2:11" ht="18" customHeight="1" x14ac:dyDescent="0.15">
      <c r="B68" s="216"/>
      <c r="C68" s="216"/>
      <c r="D68" s="18"/>
      <c r="E68" s="14"/>
      <c r="F68" s="490"/>
      <c r="G68" s="490"/>
      <c r="H68" s="490"/>
      <c r="I68" s="490"/>
      <c r="J68" s="490"/>
      <c r="K68" s="491"/>
    </row>
    <row r="69" spans="2:11" ht="16.5" customHeight="1" x14ac:dyDescent="0.15">
      <c r="B69" s="274"/>
      <c r="C69" s="1720" t="str">
        <f>CONCATENATE('Jrnl Exp ~ Dép'!BW4," - ",'Jrnl Exp ~ Dép'!BW5)</f>
        <v>5500 - DND Non-Supported Trg/Activities Expenses</v>
      </c>
      <c r="D69" s="1720"/>
      <c r="E69" s="1720"/>
      <c r="F69" s="1720"/>
      <c r="G69" s="1720"/>
      <c r="H69" s="1720"/>
      <c r="I69" s="1720"/>
      <c r="J69" s="1720"/>
      <c r="K69" s="1720"/>
    </row>
    <row r="70" spans="2:11" ht="16.5" customHeight="1" thickBot="1" x14ac:dyDescent="0.2">
      <c r="B70" s="1738"/>
      <c r="C70" s="1721" t="str">
        <f>LEFT('Jrnl Exp ~ Dép'!BW7,1)</f>
        <v>5</v>
      </c>
      <c r="D70" s="275" t="str">
        <f>RIGHT('Jrnl Exp ~ Dép'!BW$7,3)</f>
        <v>(a)</v>
      </c>
      <c r="E70" s="246">
        <f>+'Jrnl Exp ~ Dép'!BW$6</f>
        <v>5510</v>
      </c>
      <c r="F70" s="1739" t="str">
        <f>'Jrnl Exp ~ Dép'!BW$8</f>
        <v>Cadet Banquets and Special Events</v>
      </c>
      <c r="G70" s="1739"/>
      <c r="H70" s="1739"/>
      <c r="I70" s="1739"/>
      <c r="J70" s="264">
        <f>+'Jrnl Exp ~ Dép'!BW$516</f>
        <v>0</v>
      </c>
      <c r="K70" s="1743"/>
    </row>
    <row r="71" spans="2:11" ht="16.5" customHeight="1" thickBot="1" x14ac:dyDescent="0.2">
      <c r="B71" s="1738"/>
      <c r="C71" s="1721"/>
      <c r="D71" s="275" t="str">
        <f>RIGHT('Jrnl Exp ~ Dép'!CE$7,3)</f>
        <v>(b)</v>
      </c>
      <c r="E71" s="246">
        <f>+'Jrnl Exp ~ Dép'!CE$6</f>
        <v>5515</v>
      </c>
      <c r="F71" s="1739" t="str">
        <f>'Jrnl Exp ~ Dép'!CE$8</f>
        <v>Annual Ceremonial Review</v>
      </c>
      <c r="G71" s="1739"/>
      <c r="H71" s="1739"/>
      <c r="I71" s="1739"/>
      <c r="J71" s="264">
        <f>+'Jrnl Exp ~ Dép'!CE$516</f>
        <v>0</v>
      </c>
      <c r="K71" s="1743"/>
    </row>
    <row r="72" spans="2:11" ht="16.5" customHeight="1" thickBot="1" x14ac:dyDescent="0.2">
      <c r="B72" s="1738"/>
      <c r="C72" s="1721"/>
      <c r="D72" s="275" t="str">
        <f>RIGHT('Jrnl Exp ~ Dép'!CF$7,3)</f>
        <v>(c)</v>
      </c>
      <c r="E72" s="246">
        <f>+'Jrnl Exp ~ Dép'!CF$6</f>
        <v>5520</v>
      </c>
      <c r="F72" s="1739" t="str">
        <f>'Jrnl Exp ~ Dép'!CF$8</f>
        <v>Honours &amp; Award</v>
      </c>
      <c r="G72" s="1739"/>
      <c r="H72" s="1739"/>
      <c r="I72" s="1739"/>
      <c r="J72" s="264">
        <f>+'Jrnl Exp ~ Dép'!CF$516</f>
        <v>0</v>
      </c>
      <c r="K72" s="1743"/>
    </row>
    <row r="73" spans="2:11" ht="16.5" customHeight="1" thickBot="1" x14ac:dyDescent="0.2">
      <c r="B73" s="1738"/>
      <c r="C73" s="1721"/>
      <c r="D73" s="275" t="str">
        <f>RIGHT('Jrnl Exp ~ Dép'!CG$7,3)</f>
        <v>(d)</v>
      </c>
      <c r="E73" s="246">
        <f>+'Jrnl Exp ~ Dép'!CG$6</f>
        <v>5525</v>
      </c>
      <c r="F73" s="1739" t="str">
        <f>'Jrnl Exp ~ Dép'!CG$8</f>
        <v>Cadet &amp; Ceremonial Accoutrements</v>
      </c>
      <c r="G73" s="1739"/>
      <c r="H73" s="1739"/>
      <c r="I73" s="1739"/>
      <c r="J73" s="264">
        <f>+'Jrnl Exp ~ Dép'!CG$516</f>
        <v>0</v>
      </c>
      <c r="K73" s="1743"/>
    </row>
    <row r="74" spans="2:11" ht="16.5" customHeight="1" thickBot="1" x14ac:dyDescent="0.2">
      <c r="B74" s="1738"/>
      <c r="C74" s="1721"/>
      <c r="D74" s="275" t="str">
        <f>RIGHT('Jrnl Exp ~ Dép'!CH$7,3)</f>
        <v>(e)</v>
      </c>
      <c r="E74" s="246">
        <f>+'Jrnl Exp ~ Dép'!CH$6</f>
        <v>5530</v>
      </c>
      <c r="F74" s="1739" t="str">
        <f>'Jrnl Exp ~ Dép'!CH$8</f>
        <v>Scholarship &amp; Bursaries</v>
      </c>
      <c r="G74" s="1739"/>
      <c r="H74" s="1739"/>
      <c r="I74" s="1739"/>
      <c r="J74" s="264">
        <f>+'Jrnl Exp ~ Dép'!CH$516</f>
        <v>0</v>
      </c>
      <c r="K74" s="1743"/>
    </row>
    <row r="75" spans="2:11" ht="16.5" customHeight="1" thickBot="1" x14ac:dyDescent="0.2">
      <c r="B75" s="1738"/>
      <c r="C75" s="1721"/>
      <c r="D75" s="275" t="str">
        <f>RIGHT('Jrnl Exp ~ Dép'!CI$7,3)</f>
        <v>(f)</v>
      </c>
      <c r="E75" s="246">
        <f>+'Jrnl Exp ~ Dép'!CI$6</f>
        <v>5535</v>
      </c>
      <c r="F75" s="1739" t="str">
        <f>IF('Jrnl Exp ~ Dép'!CI$8="Disponible ~ Available",IF($M$4=2,"Disponible","Available"),'Jrnl Exp ~ Dép'!CI$8)</f>
        <v>Available</v>
      </c>
      <c r="G75" s="1739"/>
      <c r="H75" s="1739"/>
      <c r="I75" s="1739"/>
      <c r="J75" s="264">
        <f>+'Jrnl Exp ~ Dép'!CI$516</f>
        <v>0</v>
      </c>
      <c r="K75" s="1743"/>
    </row>
    <row r="76" spans="2:11" ht="16.5" customHeight="1" thickBot="1" x14ac:dyDescent="0.2">
      <c r="B76" s="1738"/>
      <c r="C76" s="1721"/>
      <c r="D76" s="241" t="str">
        <f>RIGHT('Jrnl Exp ~ Dép'!CJ$7,4)</f>
        <v xml:space="preserve"> (g)</v>
      </c>
      <c r="E76" s="246">
        <f>+'Jrnl Exp ~ Dép'!CJ$6</f>
        <v>5540</v>
      </c>
      <c r="F76" s="1739" t="str">
        <f>IF('Jrnl Exp ~ Dép'!CJ$8="Disponible ~ Available",IF($M$4=2,"Disponible","Available"),'Jrnl Exp ~ Dép'!CJ$8)</f>
        <v>Available</v>
      </c>
      <c r="G76" s="1740"/>
      <c r="H76" s="1740"/>
      <c r="I76" s="1722"/>
      <c r="J76" s="264">
        <f>+'Jrnl Exp ~ Dép'!CJ$516</f>
        <v>0</v>
      </c>
      <c r="K76" s="1743"/>
    </row>
    <row r="77" spans="2:11" ht="16.5" customHeight="1" thickBot="1" x14ac:dyDescent="0.2">
      <c r="B77" s="1738"/>
      <c r="C77" s="1721"/>
      <c r="D77" s="241" t="str">
        <f>RIGHT('Jrnl Exp ~ Dép'!CK$7,4)</f>
        <v xml:space="preserve"> (h)</v>
      </c>
      <c r="E77" s="246">
        <f>+'Jrnl Exp ~ Dép'!CK$6</f>
        <v>5545</v>
      </c>
      <c r="F77" s="1739" t="str">
        <f>IF('Jrnl Exp ~ Dép'!CK$8="Disponible ~ Available",IF($M$4=2,"Disponible","Available"),'Jrnl Exp ~ Dép'!CK$8)</f>
        <v>Available</v>
      </c>
      <c r="G77" s="1739"/>
      <c r="H77" s="1739"/>
      <c r="I77" s="1739"/>
      <c r="J77" s="264">
        <f>+'Jrnl Exp ~ Dép'!CK$516</f>
        <v>0</v>
      </c>
      <c r="K77" s="1743"/>
    </row>
    <row r="78" spans="2:11" ht="16.5" customHeight="1" thickBot="1" x14ac:dyDescent="0.2">
      <c r="B78" s="1738"/>
      <c r="C78" s="1721"/>
      <c r="D78" s="241" t="str">
        <f>RIGHT('Jrnl Exp ~ Dép'!CL$7,4)</f>
        <v xml:space="preserve"> (i)</v>
      </c>
      <c r="E78" s="246">
        <f>+'Jrnl Exp ~ Dép'!CL$6</f>
        <v>5550</v>
      </c>
      <c r="F78" s="1739" t="str">
        <f>IF('Jrnl Exp ~ Dép'!CL$8="Disponible ~ Available",IF($M$4=2,"Disponible","Available"),'Jrnl Exp ~ Dép'!CL$8)</f>
        <v>Available</v>
      </c>
      <c r="G78" s="1739"/>
      <c r="H78" s="1739"/>
      <c r="I78" s="1739"/>
      <c r="J78" s="264">
        <f>+'Jrnl Exp ~ Dép'!CL$516</f>
        <v>0</v>
      </c>
      <c r="K78" s="1743"/>
    </row>
    <row r="79" spans="2:11" ht="16.5" customHeight="1" x14ac:dyDescent="0.15">
      <c r="B79" s="195"/>
      <c r="C79" s="196"/>
      <c r="D79" s="284"/>
      <c r="E79" s="285">
        <v>5599</v>
      </c>
      <c r="F79" s="1741" t="str">
        <f>CONCATENATE('Jrnl Exp ~ Dép'!BW5," - ","Total:")</f>
        <v>DND Non-Supported Trg/Activities Expenses - Total:</v>
      </c>
      <c r="G79" s="1741"/>
      <c r="H79" s="1741"/>
      <c r="I79" s="1741"/>
      <c r="J79" s="1741"/>
      <c r="K79" s="286">
        <f>SUM(J70:J78)</f>
        <v>0</v>
      </c>
    </row>
    <row r="80" spans="2:11" ht="18" customHeight="1" x14ac:dyDescent="0.15">
      <c r="B80" s="216"/>
      <c r="C80" s="216"/>
      <c r="D80" s="18"/>
      <c r="E80" s="14"/>
      <c r="F80" s="490"/>
      <c r="G80" s="490"/>
      <c r="H80" s="490"/>
      <c r="I80" s="490"/>
      <c r="J80" s="490"/>
      <c r="K80" s="491"/>
    </row>
    <row r="81" spans="2:11" ht="16.5" customHeight="1" x14ac:dyDescent="0.15">
      <c r="B81" s="274"/>
      <c r="C81" s="1720" t="str">
        <f>CONCATENATE('Jrnl Exp ~ Dép'!CM4," - ",'Jrnl Exp ~ Dép'!CM5)</f>
        <v>5600 - Expenses - Gaming &amp; Lotteries Fundraising</v>
      </c>
      <c r="D81" s="1720"/>
      <c r="E81" s="1720"/>
      <c r="F81" s="1720"/>
      <c r="G81" s="1720"/>
      <c r="H81" s="1720"/>
      <c r="I81" s="1720"/>
      <c r="J81" s="1720"/>
      <c r="K81" s="1720"/>
    </row>
    <row r="82" spans="2:11" ht="16.5" customHeight="1" thickBot="1" x14ac:dyDescent="0.2">
      <c r="B82" s="1738"/>
      <c r="C82" s="1721" t="str">
        <f>LEFT('Jrnl Exp ~ Dép'!CM7,1)</f>
        <v>6</v>
      </c>
      <c r="D82" s="275" t="str">
        <f>RIGHT('Jrnl Exp ~ Dép'!CM$7,3)</f>
        <v>(a)</v>
      </c>
      <c r="E82" s="246">
        <f>+'Jrnl Exp ~ Dép'!CM$6</f>
        <v>5610</v>
      </c>
      <c r="F82" s="1739" t="str">
        <f>IF('Jrnl Exp ~ Dép'!CM$8="Disponible ~ Available",IF($M$4=2,"Disponible","Available"),'Jrnl Exp ~ Dép'!CM$8)</f>
        <v>Available</v>
      </c>
      <c r="G82" s="1740"/>
      <c r="H82" s="1740"/>
      <c r="I82" s="1722"/>
      <c r="J82" s="264">
        <f>+'Jrnl Exp ~ Dép'!CM$516</f>
        <v>0</v>
      </c>
      <c r="K82" s="1743"/>
    </row>
    <row r="83" spans="2:11" ht="16.5" customHeight="1" thickBot="1" x14ac:dyDescent="0.2">
      <c r="B83" s="1738"/>
      <c r="C83" s="1721"/>
      <c r="D83" s="275" t="str">
        <f>RIGHT('Jrnl Exp ~ Dép'!CN$7,3)</f>
        <v>(b)</v>
      </c>
      <c r="E83" s="246">
        <f>+'Jrnl Exp ~ Dép'!CN$6</f>
        <v>5620</v>
      </c>
      <c r="F83" s="1739" t="str">
        <f>IF('Jrnl Exp ~ Dép'!CN$8="Disponible ~ Available",IF($M$4=2,"Disponible","Available"),'Jrnl Exp ~ Dép'!CN$8)</f>
        <v>Available</v>
      </c>
      <c r="G83" s="1740"/>
      <c r="H83" s="1740"/>
      <c r="I83" s="1722"/>
      <c r="J83" s="264">
        <f>+'Jrnl Exp ~ Dép'!CN$516</f>
        <v>0</v>
      </c>
      <c r="K83" s="1743"/>
    </row>
    <row r="84" spans="2:11" ht="16.5" customHeight="1" thickBot="1" x14ac:dyDescent="0.2">
      <c r="B84" s="1738"/>
      <c r="C84" s="1721"/>
      <c r="D84" s="275" t="str">
        <f>RIGHT('Jrnl Exp ~ Dép'!CO$7,3)</f>
        <v>(c)</v>
      </c>
      <c r="E84" s="246">
        <f>+'Jrnl Exp ~ Dép'!CO$6</f>
        <v>5630</v>
      </c>
      <c r="F84" s="1739" t="str">
        <f>IF('Jrnl Exp ~ Dép'!CO$8="Disponible ~ Available",IF($M$4=2,"Disponible","Available"),'Jrnl Exp ~ Dép'!CO$8)</f>
        <v>Available</v>
      </c>
      <c r="G84" s="1740"/>
      <c r="H84" s="1740"/>
      <c r="I84" s="1722"/>
      <c r="J84" s="264">
        <f>+'Jrnl Exp ~ Dép'!CO$516</f>
        <v>0</v>
      </c>
      <c r="K84" s="1743"/>
    </row>
    <row r="85" spans="2:11" ht="16.5" customHeight="1" thickBot="1" x14ac:dyDescent="0.2">
      <c r="B85" s="1738"/>
      <c r="C85" s="1721"/>
      <c r="D85" s="275" t="str">
        <f>RIGHT('Jrnl Exp ~ Dép'!CP$7,3)</f>
        <v>(d)</v>
      </c>
      <c r="E85" s="246">
        <f>+'Jrnl Exp ~ Dép'!CP$6</f>
        <v>5640</v>
      </c>
      <c r="F85" s="1739" t="str">
        <f>IF('Jrnl Exp ~ Dép'!CP$8="Disponible ~ Available",IF($M$4=2,"Disponible","Available"),'Jrnl Exp ~ Dép'!CP$8)</f>
        <v>Available</v>
      </c>
      <c r="G85" s="1740"/>
      <c r="H85" s="1740"/>
      <c r="I85" s="1722"/>
      <c r="J85" s="264">
        <f>+'Jrnl Exp ~ Dép'!CP$516</f>
        <v>0</v>
      </c>
      <c r="K85" s="1743"/>
    </row>
    <row r="86" spans="2:11" ht="16.5" customHeight="1" thickBot="1" x14ac:dyDescent="0.2">
      <c r="B86" s="1738"/>
      <c r="C86" s="1721"/>
      <c r="D86" s="275" t="str">
        <f>RIGHT('Jrnl Exp ~ Dép'!CQ$7,3)</f>
        <v>(e)</v>
      </c>
      <c r="E86" s="246">
        <f>+'Jrnl Exp ~ Dép'!CQ$6</f>
        <v>5650</v>
      </c>
      <c r="F86" s="1739" t="str">
        <f>IF('Jrnl Exp ~ Dép'!CQ$8="Disponible ~ Available",IF($M$4=2,"Disponible","Available"),'Jrnl Exp ~ Dép'!CQ$8)</f>
        <v>Available</v>
      </c>
      <c r="G86" s="1740"/>
      <c r="H86" s="1740"/>
      <c r="I86" s="1722"/>
      <c r="J86" s="264">
        <f>+'Jrnl Exp ~ Dép'!CQ$516</f>
        <v>0</v>
      </c>
      <c r="K86" s="1743"/>
    </row>
    <row r="87" spans="2:11" ht="16.5" customHeight="1" thickBot="1" x14ac:dyDescent="0.2">
      <c r="B87" s="1738"/>
      <c r="C87" s="1721"/>
      <c r="D87" s="275" t="str">
        <f>RIGHT('Jrnl Exp ~ Dép'!CR$7,3)</f>
        <v>(f)</v>
      </c>
      <c r="E87" s="246">
        <f>+'Jrnl Exp ~ Dép'!CR$6</f>
        <v>5660</v>
      </c>
      <c r="F87" s="1739" t="str">
        <f>IF('Jrnl Exp ~ Dép'!CR$8="Disponible ~ Available",IF($M$4=2,"Disponible","Available"),'Jrnl Exp ~ Dép'!CR$8)</f>
        <v>Available</v>
      </c>
      <c r="G87" s="1740"/>
      <c r="H87" s="1740"/>
      <c r="I87" s="1722"/>
      <c r="J87" s="264">
        <f>+'Jrnl Exp ~ Dép'!CR$516</f>
        <v>0</v>
      </c>
      <c r="K87" s="1743"/>
    </row>
    <row r="88" spans="2:11" ht="16.5" customHeight="1" thickBot="1" x14ac:dyDescent="0.2">
      <c r="B88" s="1738"/>
      <c r="C88" s="1721"/>
      <c r="D88" s="241" t="str">
        <f>RIGHT('Jrnl Exp ~ Dép'!CS$7,4)</f>
        <v xml:space="preserve"> (g)</v>
      </c>
      <c r="E88" s="246">
        <f>+'Jrnl Exp ~ Dép'!CS$6</f>
        <v>5670</v>
      </c>
      <c r="F88" s="1739" t="str">
        <f>IF('Jrnl Exp ~ Dép'!CS$8="Disponible ~ Available",IF($M$4=2,"Disponible","Available"),'Jrnl Exp ~ Dép'!CS$8)</f>
        <v>Available</v>
      </c>
      <c r="G88" s="1740"/>
      <c r="H88" s="1740"/>
      <c r="I88" s="1722"/>
      <c r="J88" s="264">
        <f>+'Jrnl Exp ~ Dép'!CS$516</f>
        <v>0</v>
      </c>
      <c r="K88" s="1743"/>
    </row>
    <row r="89" spans="2:11" ht="16.5" customHeight="1" thickBot="1" x14ac:dyDescent="0.2">
      <c r="B89" s="1738"/>
      <c r="C89" s="1721"/>
      <c r="D89" s="241" t="str">
        <f>RIGHT('Jrnl Exp ~ Dép'!CT$7,4)</f>
        <v xml:space="preserve"> (h)</v>
      </c>
      <c r="E89" s="246">
        <f>+'Jrnl Exp ~ Dép'!CT$6</f>
        <v>5680</v>
      </c>
      <c r="F89" s="1739" t="str">
        <f>IF('Jrnl Exp ~ Dép'!CT$8="Disponible ~ Available",IF($M$4=2,"Disponible","Available"),'Jrnl Exp ~ Dép'!CT$8)</f>
        <v>Available</v>
      </c>
      <c r="G89" s="1740"/>
      <c r="H89" s="1740"/>
      <c r="I89" s="1722"/>
      <c r="J89" s="264">
        <f>+'Jrnl Exp ~ Dép'!CT$516</f>
        <v>0</v>
      </c>
      <c r="K89" s="1743"/>
    </row>
    <row r="90" spans="2:11" ht="16.5" customHeight="1" thickBot="1" x14ac:dyDescent="0.2">
      <c r="B90" s="1738"/>
      <c r="C90" s="1721"/>
      <c r="D90" s="241" t="str">
        <f>RIGHT('Jrnl Exp ~ Dép'!CU$7,4)</f>
        <v xml:space="preserve"> (i)</v>
      </c>
      <c r="E90" s="246">
        <f>+'Jrnl Exp ~ Dép'!CU$6</f>
        <v>5690</v>
      </c>
      <c r="F90" s="1739" t="str">
        <f>IF('Jrnl Exp ~ Dép'!CU$8="Disponible ~ Available",IF($M$4=2,"Disponible","Available"),'Jrnl Exp ~ Dép'!CU$8)</f>
        <v>Available</v>
      </c>
      <c r="G90" s="1740"/>
      <c r="H90" s="1740"/>
      <c r="I90" s="1722"/>
      <c r="J90" s="264">
        <f>+'Jrnl Exp ~ Dép'!CU$516</f>
        <v>0</v>
      </c>
      <c r="K90" s="1743"/>
    </row>
    <row r="91" spans="2:11" ht="16.5" customHeight="1" x14ac:dyDescent="0.15">
      <c r="B91" s="195"/>
      <c r="C91" s="196"/>
      <c r="D91" s="284"/>
      <c r="E91" s="285">
        <v>5699</v>
      </c>
      <c r="F91" s="1741" t="str">
        <f>CONCATENATE('Jrnl Exp ~ Dép'!CM5," - ","Total:")</f>
        <v>Expenses - Gaming &amp; Lotteries Fundraising - Total:</v>
      </c>
      <c r="G91" s="1741"/>
      <c r="H91" s="1741"/>
      <c r="I91" s="1741"/>
      <c r="J91" s="1741"/>
      <c r="K91" s="286">
        <f>SUM(J82:J90)</f>
        <v>0</v>
      </c>
    </row>
    <row r="92" spans="2:11" ht="16.5" customHeight="1" x14ac:dyDescent="0.15">
      <c r="K92" s="283" t="s">
        <v>461</v>
      </c>
    </row>
    <row r="93" spans="2:11" ht="16.5" customHeight="1" x14ac:dyDescent="0.15">
      <c r="B93" s="274"/>
      <c r="C93" s="1720" t="str">
        <f>CONCATENATE('Jrnl Exp ~ Dép'!CV4," - ",'Jrnl Exp ~ Dép'!CV5)</f>
        <v>5700 - Expenses - Other Fundraising</v>
      </c>
      <c r="D93" s="1720"/>
      <c r="E93" s="1720"/>
      <c r="F93" s="1720"/>
      <c r="G93" s="1720"/>
      <c r="H93" s="1720"/>
      <c r="I93" s="1720"/>
      <c r="J93" s="1720"/>
      <c r="K93" s="1720"/>
    </row>
    <row r="94" spans="2:11" ht="16.5" customHeight="1" thickBot="1" x14ac:dyDescent="0.2">
      <c r="B94" s="1738"/>
      <c r="C94" s="1721" t="str">
        <f>LEFT('Jrnl Exp ~ Dép'!CV7,1)</f>
        <v>7</v>
      </c>
      <c r="D94" s="275" t="str">
        <f>RIGHT('Jrnl Exp ~ Dép'!CV$7,3)</f>
        <v>(a)</v>
      </c>
      <c r="E94" s="246">
        <f>+'Jrnl Exp ~ Dép'!CV$6</f>
        <v>5710</v>
      </c>
      <c r="F94" s="1739" t="str">
        <f>IF('Jrnl Exp ~ Dép'!CV$8="Disponible ~ Available",IF($M$4=2,"Disponible","Available"),'Jrnl Exp ~ Dép'!CV$8)</f>
        <v>Available</v>
      </c>
      <c r="G94" s="1740"/>
      <c r="H94" s="1740"/>
      <c r="I94" s="1722"/>
      <c r="J94" s="264">
        <f>+'Jrnl Exp ~ Dép'!CV$516</f>
        <v>0</v>
      </c>
      <c r="K94" s="1743"/>
    </row>
    <row r="95" spans="2:11" ht="16.5" customHeight="1" thickBot="1" x14ac:dyDescent="0.2">
      <c r="B95" s="1738"/>
      <c r="C95" s="1721"/>
      <c r="D95" s="275" t="str">
        <f>RIGHT('Jrnl Exp ~ Dép'!CW$7,3)</f>
        <v>(b)</v>
      </c>
      <c r="E95" s="246">
        <f>+'Jrnl Exp ~ Dép'!CW$6</f>
        <v>5720</v>
      </c>
      <c r="F95" s="1739" t="str">
        <f>IF('Jrnl Exp ~ Dép'!CW$8="Disponible ~ Available",IF($M$4=2,"Disponible","Available"),'Jrnl Exp ~ Dép'!CW$8)</f>
        <v>Available</v>
      </c>
      <c r="G95" s="1740"/>
      <c r="H95" s="1740"/>
      <c r="I95" s="1722"/>
      <c r="J95" s="264">
        <f>+'Jrnl Exp ~ Dép'!CW$516</f>
        <v>0</v>
      </c>
      <c r="K95" s="1743"/>
    </row>
    <row r="96" spans="2:11" ht="16.5" customHeight="1" thickBot="1" x14ac:dyDescent="0.2">
      <c r="B96" s="1738"/>
      <c r="C96" s="1721"/>
      <c r="D96" s="275" t="str">
        <f>RIGHT('Jrnl Exp ~ Dép'!CX$7,3)</f>
        <v>(c)</v>
      </c>
      <c r="E96" s="246">
        <f>+'Jrnl Exp ~ Dép'!CX$6</f>
        <v>5730</v>
      </c>
      <c r="F96" s="1739" t="str">
        <f>IF('Jrnl Exp ~ Dép'!CX$8="Disponible ~ Available",IF($M$4=2,"Disponible","Available"),'Jrnl Exp ~ Dép'!CX$8)</f>
        <v>Available</v>
      </c>
      <c r="G96" s="1740"/>
      <c r="H96" s="1740"/>
      <c r="I96" s="1722"/>
      <c r="J96" s="264">
        <f>+'Jrnl Exp ~ Dép'!CX$516</f>
        <v>0</v>
      </c>
      <c r="K96" s="1743"/>
    </row>
    <row r="97" spans="2:12" ht="16.5" customHeight="1" thickBot="1" x14ac:dyDescent="0.2">
      <c r="B97" s="1738"/>
      <c r="C97" s="1721"/>
      <c r="D97" s="275" t="str">
        <f>RIGHT('Jrnl Exp ~ Dép'!CY7,3)</f>
        <v>(d)</v>
      </c>
      <c r="E97" s="246">
        <f>+'Jrnl Exp ~ Dép'!CY$6</f>
        <v>5740</v>
      </c>
      <c r="F97" s="1739" t="str">
        <f>IF('Jrnl Exp ~ Dép'!CY$8="Disponible ~ Available",IF($M$4=2,"Disponible","Available"),'Jrnl Exp ~ Dép'!CY$8)</f>
        <v>Available</v>
      </c>
      <c r="G97" s="1740"/>
      <c r="H97" s="1740"/>
      <c r="I97" s="1722"/>
      <c r="J97" s="264">
        <f>+'Jrnl Exp ~ Dép'!CY$516</f>
        <v>0</v>
      </c>
      <c r="K97" s="1743"/>
    </row>
    <row r="98" spans="2:12" ht="16.5" customHeight="1" thickBot="1" x14ac:dyDescent="0.2">
      <c r="B98" s="1738"/>
      <c r="C98" s="1721"/>
      <c r="D98" s="275" t="str">
        <f>RIGHT('Jrnl Exp ~ Dép'!CZ$7,3)</f>
        <v>(e)</v>
      </c>
      <c r="E98" s="246">
        <f>+'Jrnl Exp ~ Dép'!CZ$6</f>
        <v>5750</v>
      </c>
      <c r="F98" s="1739" t="str">
        <f>IF('Jrnl Exp ~ Dép'!CZ$8="Disponible ~ Available",IF($M$4=2,"Disponible","Available"),'Jrnl Exp ~ Dép'!CZ$8)</f>
        <v>Available</v>
      </c>
      <c r="G98" s="1740"/>
      <c r="H98" s="1740"/>
      <c r="I98" s="1722"/>
      <c r="J98" s="264">
        <f>+'Jrnl Exp ~ Dép'!CZ$516</f>
        <v>0</v>
      </c>
      <c r="K98" s="1743"/>
    </row>
    <row r="99" spans="2:12" ht="16.5" customHeight="1" thickBot="1" x14ac:dyDescent="0.2">
      <c r="B99" s="1738"/>
      <c r="C99" s="1721"/>
      <c r="D99" s="275" t="str">
        <f>RIGHT('Jrnl Exp ~ Dép'!DA$7,3)</f>
        <v>(f)</v>
      </c>
      <c r="E99" s="246">
        <f>+'Jrnl Exp ~ Dép'!DA$6</f>
        <v>5760</v>
      </c>
      <c r="F99" s="1739" t="str">
        <f>IF('Jrnl Exp ~ Dép'!DA$8="Disponible ~ Available",IF($M$4=2,"Disponible","Available"),'Jrnl Exp ~ Dép'!DA$8)</f>
        <v>Available</v>
      </c>
      <c r="G99" s="1740"/>
      <c r="H99" s="1740"/>
      <c r="I99" s="1722"/>
      <c r="J99" s="264">
        <f>+'Jrnl Exp ~ Dép'!DA$516</f>
        <v>0</v>
      </c>
      <c r="K99" s="1743"/>
    </row>
    <row r="100" spans="2:12" ht="16.5" customHeight="1" thickBot="1" x14ac:dyDescent="0.2">
      <c r="B100" s="1738"/>
      <c r="C100" s="1721"/>
      <c r="D100" s="241" t="str">
        <f>RIGHT('Jrnl Exp ~ Dép'!DB$7,4)</f>
        <v xml:space="preserve"> (g)</v>
      </c>
      <c r="E100" s="246">
        <f>+'Jrnl Exp ~ Dép'!DB$6</f>
        <v>5770</v>
      </c>
      <c r="F100" s="1739" t="str">
        <f>IF('Jrnl Exp ~ Dép'!DB$8="Disponible ~ Available",IF($M$4=2,"Disponible","Available"),'Jrnl Exp ~ Dép'!DB$8)</f>
        <v>Available</v>
      </c>
      <c r="G100" s="1740"/>
      <c r="H100" s="1740"/>
      <c r="I100" s="1722"/>
      <c r="J100" s="264">
        <f>+'Jrnl Exp ~ Dép'!DB$516</f>
        <v>0</v>
      </c>
      <c r="K100" s="1743"/>
    </row>
    <row r="101" spans="2:12" ht="16.5" customHeight="1" thickBot="1" x14ac:dyDescent="0.2">
      <c r="B101" s="1738"/>
      <c r="C101" s="1721"/>
      <c r="D101" s="241" t="str">
        <f>RIGHT('Jrnl Exp ~ Dép'!DC$7,4)</f>
        <v xml:space="preserve"> (h)</v>
      </c>
      <c r="E101" s="246">
        <f>+'Jrnl Exp ~ Dép'!DC$6</f>
        <v>5780</v>
      </c>
      <c r="F101" s="1739" t="str">
        <f>IF('Jrnl Exp ~ Dép'!DC$8="Disponible ~ Available",IF($M$4=2,"Disponible","Available"),'Jrnl Exp ~ Dép'!DC$8)</f>
        <v>Available</v>
      </c>
      <c r="G101" s="1740"/>
      <c r="H101" s="1740"/>
      <c r="I101" s="1722"/>
      <c r="J101" s="264">
        <f>+'Jrnl Exp ~ Dép'!DC$516</f>
        <v>0</v>
      </c>
      <c r="K101" s="1743"/>
    </row>
    <row r="102" spans="2:12" ht="16.5" customHeight="1" thickBot="1" x14ac:dyDescent="0.2">
      <c r="B102" s="1738"/>
      <c r="C102" s="1721"/>
      <c r="D102" s="276" t="str">
        <f>RIGHT('Jrnl Exp ~ Dép'!DD$7,4)</f>
        <v xml:space="preserve"> (i)</v>
      </c>
      <c r="E102" s="246">
        <f>+'Jrnl Exp ~ Dép'!DD$6</f>
        <v>5790</v>
      </c>
      <c r="F102" s="1739" t="str">
        <f>IF('Jrnl Exp ~ Dép'!DD$8="Disponible ~ Available",IF($M$4=2,"Disponible","Available"),'Jrnl Exp ~ Dép'!DD$8)</f>
        <v>Available</v>
      </c>
      <c r="G102" s="1740"/>
      <c r="H102" s="1740"/>
      <c r="I102" s="1722"/>
      <c r="J102" s="264">
        <f>+'Jrnl Exp ~ Dép'!DD$516</f>
        <v>0</v>
      </c>
      <c r="K102" s="1743"/>
    </row>
    <row r="103" spans="2:12" ht="16.5" customHeight="1" x14ac:dyDescent="0.15">
      <c r="B103" s="195"/>
      <c r="C103" s="196"/>
      <c r="D103" s="284"/>
      <c r="E103" s="285">
        <v>5799</v>
      </c>
      <c r="F103" s="1741" t="str">
        <f>CONCATENATE('Jrnl Exp ~ Dép'!CV5," - ","Total:")</f>
        <v>Expenses - Other Fundraising - Total:</v>
      </c>
      <c r="G103" s="1741"/>
      <c r="H103" s="1741"/>
      <c r="I103" s="1741"/>
      <c r="J103" s="1741"/>
      <c r="K103" s="286">
        <f>SUM(J94:J102)</f>
        <v>0</v>
      </c>
    </row>
    <row r="104" spans="2:12" ht="12" customHeight="1" x14ac:dyDescent="0.15">
      <c r="B104" s="1718"/>
      <c r="C104" s="1718"/>
      <c r="D104" s="1718"/>
      <c r="E104" s="1718"/>
      <c r="F104" s="1718"/>
      <c r="G104" s="1718"/>
      <c r="H104" s="1718"/>
      <c r="I104" s="1718"/>
      <c r="J104" s="1718"/>
      <c r="K104" s="1718"/>
      <c r="L104" s="1718"/>
    </row>
    <row r="105" spans="2:12" ht="18" customHeight="1" x14ac:dyDescent="0.15">
      <c r="B105" s="274"/>
      <c r="C105" s="1720" t="str">
        <f>CONCATENATE('Jrnl Exp ~ Dép'!DE4," - ",'Jrnl Exp ~ Dép'!DE5)</f>
        <v>5800 - Other Expenses</v>
      </c>
      <c r="D105" s="1720"/>
      <c r="E105" s="1720"/>
      <c r="F105" s="1720"/>
      <c r="G105" s="1720"/>
      <c r="H105" s="1720"/>
      <c r="I105" s="1720"/>
      <c r="J105" s="1720"/>
      <c r="K105" s="1720"/>
    </row>
    <row r="106" spans="2:12" ht="18" customHeight="1" x14ac:dyDescent="0.15">
      <c r="B106" s="1738"/>
      <c r="C106" s="1721" t="str">
        <f>LEFT('Jrnl Exp ~ Dép'!DE7,1)</f>
        <v>8</v>
      </c>
      <c r="D106" s="275" t="str">
        <f>RIGHT('Jrnl Exp ~ Dép'!DE$7,3)</f>
        <v>(a)</v>
      </c>
      <c r="E106" s="246">
        <f>+'Jrnl Exp ~ Dép'!DE6</f>
        <v>5810</v>
      </c>
      <c r="F106" s="1722" t="str">
        <f>+'Jrnl Exp ~ Dép'!DE8</f>
        <v>Donations to other Qualified Donnees</v>
      </c>
      <c r="G106" s="1722"/>
      <c r="H106" s="1722"/>
      <c r="I106" s="1722"/>
      <c r="J106" s="287">
        <f>+'Jrnl Exp ~ Dép'!DE516</f>
        <v>0</v>
      </c>
      <c r="K106" s="1725"/>
    </row>
    <row r="107" spans="2:12" ht="18" customHeight="1" x14ac:dyDescent="0.15">
      <c r="B107" s="1738"/>
      <c r="C107" s="1721"/>
      <c r="D107" s="275" t="str">
        <f>RIGHT('Jrnl Exp ~ Dép'!DF$7,3)</f>
        <v>(b)</v>
      </c>
      <c r="E107" s="246">
        <f>+'Jrnl Exp ~ Dép'!DF6</f>
        <v>5820</v>
      </c>
      <c r="F107" s="1722" t="str">
        <f>+'Jrnl Exp ~ Dép'!DF$8</f>
        <v>Bad Debts</v>
      </c>
      <c r="G107" s="1722"/>
      <c r="H107" s="1722"/>
      <c r="I107" s="1722"/>
      <c r="J107" s="287">
        <f>+'Jrnl Exp ~ Dép'!DF516</f>
        <v>0</v>
      </c>
      <c r="K107" s="1725"/>
    </row>
    <row r="108" spans="2:12" ht="18" customHeight="1" thickBot="1" x14ac:dyDescent="0.2">
      <c r="B108" s="1738"/>
      <c r="C108" s="1721"/>
      <c r="D108" s="275" t="str">
        <f>RIGHT('Jrnl Exp ~ Dép'!DG$7,3)</f>
        <v>(c)</v>
      </c>
      <c r="E108" s="246">
        <f>+'Jrnl Exp ~ Dép'!DG6</f>
        <v>5830</v>
      </c>
      <c r="F108" s="1722" t="str">
        <f>+'Jrnl Exp ~ Dép'!DG$8</f>
        <v>Capital Losses</v>
      </c>
      <c r="G108" s="1722"/>
      <c r="H108" s="1722"/>
      <c r="I108" s="1722"/>
      <c r="J108" s="287">
        <f>'Jrnl Exp ~ Dép'!DG516</f>
        <v>0</v>
      </c>
      <c r="K108" s="1725"/>
    </row>
    <row r="109" spans="2:12" ht="18" customHeight="1" thickBot="1" x14ac:dyDescent="0.2">
      <c r="B109" s="1738"/>
      <c r="C109" s="1721"/>
      <c r="D109" s="275" t="str">
        <f>RIGHT('Jrnl Exp ~ Dép'!DH$7,3)</f>
        <v>(d)</v>
      </c>
      <c r="E109" s="246">
        <f>+'Jrnl Exp ~ Dép'!DH6</f>
        <v>5840</v>
      </c>
      <c r="F109" s="1722" t="str">
        <f>+'Jrnl Exp ~ Dép'!DH$8</f>
        <v>Purchase of Sqn Logo Items</v>
      </c>
      <c r="G109" s="1722"/>
      <c r="H109" s="1722"/>
      <c r="I109" s="1722"/>
      <c r="J109" s="287">
        <f>+'Jrnl Exp ~ Dép'!DH516</f>
        <v>0</v>
      </c>
      <c r="K109" s="1725"/>
    </row>
    <row r="110" spans="2:12" ht="18" customHeight="1" thickBot="1" x14ac:dyDescent="0.2">
      <c r="B110" s="1738"/>
      <c r="C110" s="1721"/>
      <c r="D110" s="275" t="str">
        <f>RIGHT('Jrnl Exp ~ Dép'!DI$7,3)</f>
        <v>(e)</v>
      </c>
      <c r="E110" s="246">
        <f>+'Jrnl Exp ~ Dép'!DI6</f>
        <v>5850</v>
      </c>
      <c r="F110" s="1722" t="str">
        <f>+'Jrnl Exp ~ Dép'!DI$8</f>
        <v>Purchase for Canteen</v>
      </c>
      <c r="G110" s="1722"/>
      <c r="H110" s="1722"/>
      <c r="I110" s="1722"/>
      <c r="J110" s="287">
        <f>+'Jrnl Exp ~ Dép'!DI516</f>
        <v>0</v>
      </c>
      <c r="K110" s="1725"/>
    </row>
    <row r="111" spans="2:12" ht="18" customHeight="1" thickBot="1" x14ac:dyDescent="0.2">
      <c r="B111" s="1738"/>
      <c r="C111" s="1721"/>
      <c r="D111" s="275" t="str">
        <f>RIGHT('Jrnl Exp ~ Dép'!DJ$7,3)</f>
        <v>(f)</v>
      </c>
      <c r="E111" s="246">
        <f>+'Jrnl Exp ~ Dép'!DJ6</f>
        <v>5860</v>
      </c>
      <c r="F111" s="1722" t="str">
        <f>+'Jrnl Exp ~ Dép'!DJ$8</f>
        <v>Expenses from previous years</v>
      </c>
      <c r="G111" s="1722"/>
      <c r="H111" s="1722"/>
      <c r="I111" s="1722"/>
      <c r="J111" s="287">
        <f>+'Jrnl Exp ~ Dép'!DJ516</f>
        <v>0</v>
      </c>
      <c r="K111" s="1725"/>
    </row>
    <row r="112" spans="2:12" ht="18" customHeight="1" thickBot="1" x14ac:dyDescent="0.2">
      <c r="B112" s="1738"/>
      <c r="C112" s="1721"/>
      <c r="D112" s="275" t="str">
        <f>RIGHT('Jrnl Exp ~ Dép'!DK$7,3)</f>
        <v>(g)</v>
      </c>
      <c r="E112" s="246">
        <f>+'Jrnl Exp ~ Dép'!DK6</f>
        <v>5870</v>
      </c>
      <c r="F112" s="1739" t="str">
        <f>IF('Jrnl Exp ~ Dép'!DK$8="Disponible ~ Available",IF($M$4=2,"Disponible","Available"),'Jrnl Exp ~ Dép'!DK$8)</f>
        <v>Available</v>
      </c>
      <c r="G112" s="1740"/>
      <c r="H112" s="1740"/>
      <c r="I112" s="1722"/>
      <c r="J112" s="287">
        <f>+'Jrnl Exp ~ Dép'!DK$516</f>
        <v>0</v>
      </c>
      <c r="K112" s="1725"/>
    </row>
    <row r="113" spans="2:15" ht="18" customHeight="1" thickBot="1" x14ac:dyDescent="0.2">
      <c r="B113" s="1738"/>
      <c r="C113" s="1721"/>
      <c r="D113" s="276" t="str">
        <f>RIGHT('Jrnl Exp ~ Dép'!DL$7,3)</f>
        <v>(h)</v>
      </c>
      <c r="E113" s="246">
        <f>+'Jrnl Exp ~ Dép'!DL6</f>
        <v>5880</v>
      </c>
      <c r="F113" s="1722" t="str">
        <f>+'Jrnl Exp ~ Dép'!DL$8</f>
        <v>Other Expenses (Must not be Excessive)</v>
      </c>
      <c r="G113" s="1722"/>
      <c r="H113" s="1722"/>
      <c r="I113" s="1722"/>
      <c r="J113" s="287">
        <f>+'Jrnl Exp ~ Dép'!DL$516</f>
        <v>0</v>
      </c>
      <c r="K113" s="1725"/>
    </row>
    <row r="114" spans="2:15" ht="18" customHeight="1" x14ac:dyDescent="0.15">
      <c r="B114" s="288"/>
      <c r="C114" s="289"/>
      <c r="D114" s="290"/>
      <c r="E114" s="257">
        <v>5899</v>
      </c>
      <c r="F114" s="1742" t="str">
        <f>CONCATENATE('Jrnl Exp ~ Dép'!DE5," - ","Total:")</f>
        <v>Other Expenses - Total:</v>
      </c>
      <c r="G114" s="1742"/>
      <c r="H114" s="1742"/>
      <c r="I114" s="1742"/>
      <c r="J114" s="1742"/>
      <c r="K114" s="258">
        <f>SUM(J106:J113)</f>
        <v>0</v>
      </c>
    </row>
    <row r="115" spans="2:15" ht="12.75" customHeight="1" x14ac:dyDescent="0.15">
      <c r="B115" s="1718"/>
      <c r="C115" s="1718"/>
      <c r="D115" s="1718"/>
      <c r="E115" s="1718"/>
      <c r="F115" s="1718"/>
      <c r="G115" s="1718"/>
      <c r="H115" s="1718"/>
      <c r="I115" s="1718"/>
      <c r="J115" s="1718"/>
      <c r="K115" s="270"/>
    </row>
    <row r="116" spans="2:15" ht="18" customHeight="1" x14ac:dyDescent="0.15">
      <c r="C116" s="18"/>
      <c r="D116" s="11"/>
      <c r="E116" s="291">
        <v>6000</v>
      </c>
      <c r="F116" s="1716" t="str">
        <f>IF(M4=2,"TOTAL des déboursés:","Total Expenses:")</f>
        <v>Total Expenses:</v>
      </c>
      <c r="G116" s="1716"/>
      <c r="H116" s="1716"/>
      <c r="I116" s="1716"/>
      <c r="J116" s="1716"/>
      <c r="K116" s="269">
        <f>+K36+K54+K67+K79+K91+K103+K114</f>
        <v>0</v>
      </c>
    </row>
    <row r="117" spans="2:15" ht="12.75" customHeight="1" x14ac:dyDescent="0.15">
      <c r="K117" s="270"/>
    </row>
    <row r="118" spans="2:15" ht="18" customHeight="1" x14ac:dyDescent="0.15">
      <c r="B118" s="18"/>
      <c r="C118" s="18"/>
      <c r="D118" s="11"/>
      <c r="E118" s="291">
        <f>'ACC9 (Pages 2-3) Rev'!E68</f>
        <v>5000</v>
      </c>
      <c r="F118" s="1737" t="str">
        <f>IF(M4=2,"Total des revenus (Ligne 5000 page 3):","Total Revenues (Line 5000 Page 3):")</f>
        <v>Total Revenues (Line 5000 Page 3):</v>
      </c>
      <c r="G118" s="1737"/>
      <c r="H118" s="1737"/>
      <c r="I118" s="1737"/>
      <c r="J118" s="1737"/>
      <c r="K118" s="269">
        <f>+'ACC9 (Pages 2-3) Rev'!K68</f>
        <v>0</v>
      </c>
    </row>
    <row r="119" spans="2:15" ht="12.75" customHeight="1" x14ac:dyDescent="0.15">
      <c r="B119" s="1718"/>
      <c r="C119" s="1718"/>
      <c r="D119" s="1718"/>
      <c r="E119" s="1718"/>
      <c r="F119" s="1718"/>
      <c r="G119" s="1718"/>
      <c r="H119" s="1718"/>
      <c r="I119" s="1718"/>
      <c r="J119" s="1718"/>
      <c r="K119" s="270"/>
      <c r="N119" s="292"/>
      <c r="O119" s="293"/>
    </row>
    <row r="120" spans="2:15" ht="18" customHeight="1" x14ac:dyDescent="0.15">
      <c r="B120" s="1737" t="str">
        <f>IF(M4=2,"Surplus (Déficit) des recettes sur les déboursés- reporté à la ligne 3110 de la page 8:","Surplus (Deficit) of Revenues over Expenses (Fowarded to line 3110 on page 8):")</f>
        <v>Surplus (Deficit) of Revenues over Expenses (Fowarded to line 3110 on page 8):</v>
      </c>
      <c r="C120" s="1737"/>
      <c r="D120" s="1737"/>
      <c r="E120" s="1737"/>
      <c r="F120" s="1737"/>
      <c r="G120" s="1737"/>
      <c r="H120" s="1737"/>
      <c r="I120" s="1737"/>
      <c r="J120" s="1737"/>
      <c r="K120" s="269">
        <f>+K118-K116</f>
        <v>0</v>
      </c>
    </row>
    <row r="121" spans="2:15" ht="14" customHeight="1" x14ac:dyDescent="0.15">
      <c r="B121" s="294"/>
      <c r="C121" s="223"/>
      <c r="D121" s="223"/>
      <c r="H121" s="294"/>
      <c r="K121" s="283" t="s">
        <v>460</v>
      </c>
    </row>
    <row r="122" spans="2:15" ht="14" customHeight="1" x14ac:dyDescent="0.15"/>
    <row r="123" spans="2:15" ht="14" customHeight="1" x14ac:dyDescent="0.15"/>
    <row r="124" spans="2:15" ht="14" customHeight="1" x14ac:dyDescent="0.15"/>
    <row r="125" spans="2:15" ht="14" customHeight="1" x14ac:dyDescent="0.15"/>
    <row r="128" spans="2:15" x14ac:dyDescent="0.15">
      <c r="C128" s="218"/>
      <c r="D128" s="218"/>
      <c r="E128" s="218"/>
    </row>
    <row r="130" spans="3:5" x14ac:dyDescent="0.15">
      <c r="C130" s="218"/>
      <c r="D130" s="218"/>
      <c r="E130" s="218"/>
    </row>
    <row r="131" spans="3:5" x14ac:dyDescent="0.15">
      <c r="C131" s="218"/>
      <c r="D131" s="218"/>
      <c r="E131" s="218"/>
    </row>
    <row r="132" spans="3:5" x14ac:dyDescent="0.15">
      <c r="C132" s="218"/>
      <c r="D132" s="218"/>
      <c r="E132" s="218"/>
    </row>
    <row r="133" spans="3:5" x14ac:dyDescent="0.15">
      <c r="C133" s="218"/>
      <c r="D133" s="218"/>
      <c r="E133" s="218"/>
    </row>
  </sheetData>
  <sheetProtection algorithmName="SHA-512" hashValue="xRfWqFipujl2pbpMDljDcH28VXP+k+9SkPXUL7cGsfXFZYAbnspHTjSxAIkg7xI0GEcXmmVtVyH4US9FM9WwXw==" saltValue="qBJopWTewz9Pr3hF9cNOtQ==" spinCount="100000" sheet="1" objects="1" scenarios="1" selectLockedCells="1" selectUnlockedCells="1"/>
  <mergeCells count="136">
    <mergeCell ref="F58:I58"/>
    <mergeCell ref="F59:I59"/>
    <mergeCell ref="F60:I60"/>
    <mergeCell ref="F61:I61"/>
    <mergeCell ref="F62:I62"/>
    <mergeCell ref="F63:I63"/>
    <mergeCell ref="F79:J79"/>
    <mergeCell ref="C81:K81"/>
    <mergeCell ref="B82:B90"/>
    <mergeCell ref="C82:C90"/>
    <mergeCell ref="F82:I82"/>
    <mergeCell ref="K82:K90"/>
    <mergeCell ref="F72:I72"/>
    <mergeCell ref="F73:I73"/>
    <mergeCell ref="F74:I74"/>
    <mergeCell ref="F75:I75"/>
    <mergeCell ref="F76:I76"/>
    <mergeCell ref="F77:I77"/>
    <mergeCell ref="F78:I78"/>
    <mergeCell ref="F64:I64"/>
    <mergeCell ref="F65:I65"/>
    <mergeCell ref="F66:I66"/>
    <mergeCell ref="F83:I83"/>
    <mergeCell ref="F84:I84"/>
    <mergeCell ref="F30:I30"/>
    <mergeCell ref="F31:I31"/>
    <mergeCell ref="F32:I32"/>
    <mergeCell ref="F33:I33"/>
    <mergeCell ref="F34:I34"/>
    <mergeCell ref="K56:K66"/>
    <mergeCell ref="B56:B67"/>
    <mergeCell ref="F85:I85"/>
    <mergeCell ref="F86:I86"/>
    <mergeCell ref="F67:J67"/>
    <mergeCell ref="F54:J54"/>
    <mergeCell ref="B38:B54"/>
    <mergeCell ref="C56:J56"/>
    <mergeCell ref="F46:I46"/>
    <mergeCell ref="F47:I47"/>
    <mergeCell ref="F48:I48"/>
    <mergeCell ref="C57:C66"/>
    <mergeCell ref="F57:I57"/>
    <mergeCell ref="C69:K69"/>
    <mergeCell ref="B70:B78"/>
    <mergeCell ref="C70:C78"/>
    <mergeCell ref="F70:I70"/>
    <mergeCell ref="K70:K78"/>
    <mergeCell ref="F71:I71"/>
    <mergeCell ref="B1:K1"/>
    <mergeCell ref="B2:K2"/>
    <mergeCell ref="B3:K3"/>
    <mergeCell ref="B4:K4"/>
    <mergeCell ref="B5:K5"/>
    <mergeCell ref="B6:K6"/>
    <mergeCell ref="B7:E7"/>
    <mergeCell ref="H7:I7"/>
    <mergeCell ref="C9:K9"/>
    <mergeCell ref="B10:B35"/>
    <mergeCell ref="C10:C35"/>
    <mergeCell ref="F10:I10"/>
    <mergeCell ref="K10:K35"/>
    <mergeCell ref="F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35:I35"/>
    <mergeCell ref="F28:I28"/>
    <mergeCell ref="F29:I29"/>
    <mergeCell ref="F36:J36"/>
    <mergeCell ref="F37:I37"/>
    <mergeCell ref="C38:K38"/>
    <mergeCell ref="F39:I39"/>
    <mergeCell ref="F41:I41"/>
    <mergeCell ref="F42:I42"/>
    <mergeCell ref="C39:C53"/>
    <mergeCell ref="F43:I43"/>
    <mergeCell ref="F44:I44"/>
    <mergeCell ref="F45:I45"/>
    <mergeCell ref="K39:K53"/>
    <mergeCell ref="F40:I40"/>
    <mergeCell ref="F49:I49"/>
    <mergeCell ref="F50:I50"/>
    <mergeCell ref="F51:I51"/>
    <mergeCell ref="F52:I52"/>
    <mergeCell ref="F53:I53"/>
    <mergeCell ref="F87:I87"/>
    <mergeCell ref="F88:I88"/>
    <mergeCell ref="F89:I89"/>
    <mergeCell ref="F91:J91"/>
    <mergeCell ref="F90:I90"/>
    <mergeCell ref="F114:J114"/>
    <mergeCell ref="B115:J115"/>
    <mergeCell ref="F116:J116"/>
    <mergeCell ref="F118:J118"/>
    <mergeCell ref="F103:J103"/>
    <mergeCell ref="C93:K93"/>
    <mergeCell ref="B94:B102"/>
    <mergeCell ref="C94:C102"/>
    <mergeCell ref="F94:I94"/>
    <mergeCell ref="K94:K102"/>
    <mergeCell ref="F95:I95"/>
    <mergeCell ref="F96:I96"/>
    <mergeCell ref="F97:I97"/>
    <mergeCell ref="F98:I98"/>
    <mergeCell ref="F99:I99"/>
    <mergeCell ref="F100:I100"/>
    <mergeCell ref="F101:I101"/>
    <mergeCell ref="F102:I102"/>
    <mergeCell ref="B119:J119"/>
    <mergeCell ref="B120:J120"/>
    <mergeCell ref="B104:L104"/>
    <mergeCell ref="C105:K105"/>
    <mergeCell ref="B106:B113"/>
    <mergeCell ref="C106:C113"/>
    <mergeCell ref="F106:I106"/>
    <mergeCell ref="K106:K113"/>
    <mergeCell ref="F107:I107"/>
    <mergeCell ref="F108:I108"/>
    <mergeCell ref="F109:I109"/>
    <mergeCell ref="F110:I110"/>
    <mergeCell ref="F111:I111"/>
    <mergeCell ref="F112:I112"/>
    <mergeCell ref="F113:I113"/>
  </mergeCells>
  <conditionalFormatting sqref="F7 H7">
    <cfRule type="cellIs" dxfId="24" priority="2" operator="equal">
      <formula>0</formula>
    </cfRule>
  </conditionalFormatting>
  <conditionalFormatting sqref="K120">
    <cfRule type="cellIs" dxfId="23" priority="3" operator="lessThan">
      <formula>0</formula>
    </cfRule>
  </conditionalFormatting>
  <printOptions horizontalCentered="1"/>
  <pageMargins left="0.74791666666666701" right="0.15763888888888899" top="0.209722222222222" bottom="0.15763888888888899" header="0.511811023622047" footer="0.511811023622047"/>
  <pageSetup scale="75" fitToHeight="0" orientation="portrait" horizontalDpi="300" verticalDpi="300" r:id="rId1"/>
  <rowBreaks count="2" manualBreakCount="2">
    <brk id="55" min="1" max="10" man="1"/>
    <brk id="9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MJ263"/>
  <sheetViews>
    <sheetView showGridLines="0" showZeros="0" topLeftCell="A60" zoomScale="85" zoomScaleNormal="85" zoomScalePageLayoutView="115" workbookViewId="0">
      <selection activeCell="J96" sqref="J96:K96"/>
    </sheetView>
  </sheetViews>
  <sheetFormatPr baseColWidth="10" defaultColWidth="11.5" defaultRowHeight="13" x14ac:dyDescent="0.15"/>
  <cols>
    <col min="1" max="1" width="3.1640625" style="1" customWidth="1"/>
    <col min="2" max="2" width="3.33203125" style="218" customWidth="1"/>
    <col min="3" max="3" width="3.6640625" style="1" customWidth="1"/>
    <col min="4" max="4" width="5.33203125" style="1" customWidth="1"/>
    <col min="5" max="5" width="9.5" style="1" customWidth="1"/>
    <col min="6" max="6" width="7.6640625" style="1" customWidth="1"/>
    <col min="7" max="7" width="6.6640625" style="1" customWidth="1"/>
    <col min="8" max="8" width="6.83203125" style="1" customWidth="1"/>
    <col min="9" max="9" width="17.83203125" style="1" customWidth="1"/>
    <col min="10" max="10" width="13.33203125" style="1" customWidth="1"/>
    <col min="11" max="11" width="39.33203125" style="1" customWidth="1"/>
    <col min="12" max="13" width="16.6640625" style="1" customWidth="1"/>
    <col min="14" max="14" width="21.5" style="1" customWidth="1"/>
    <col min="15" max="15" width="4.1640625" style="1" customWidth="1"/>
    <col min="16" max="16" width="4" style="1" customWidth="1"/>
    <col min="17" max="17" width="21.83203125" style="1" customWidth="1"/>
    <col min="18" max="18" width="15.83203125" style="1" customWidth="1"/>
    <col min="19" max="19" width="12.1640625" style="1" customWidth="1"/>
    <col min="20" max="20" width="10.33203125" style="1" customWidth="1"/>
    <col min="21" max="21" width="19.6640625" style="1" hidden="1" customWidth="1"/>
    <col min="22" max="22" width="11.33203125" style="1" hidden="1" customWidth="1"/>
    <col min="23" max="23" width="7.33203125" style="1" hidden="1" customWidth="1"/>
    <col min="24" max="24" width="5.33203125" style="1" hidden="1" customWidth="1"/>
    <col min="25" max="35" width="9.1640625" style="1" hidden="1" customWidth="1"/>
    <col min="36" max="256" width="9.1640625" style="1" customWidth="1"/>
    <col min="257" max="1024" width="11.5" style="1"/>
  </cols>
  <sheetData>
    <row r="1" spans="1:24" ht="33.75" customHeight="1" x14ac:dyDescent="0.25">
      <c r="B1" s="1515" t="str">
        <f>IF(P1=2,"Bilan","Balance Sheet")</f>
        <v>Balance Sheet</v>
      </c>
      <c r="C1" s="1515"/>
      <c r="D1" s="1515"/>
      <c r="E1" s="1515"/>
      <c r="F1" s="1515"/>
      <c r="G1" s="1515"/>
      <c r="H1" s="1515"/>
      <c r="I1" s="1515"/>
      <c r="J1" s="1515"/>
      <c r="K1" s="1515"/>
      <c r="L1" s="1515"/>
      <c r="M1" s="1515"/>
      <c r="N1" s="1515"/>
      <c r="P1" s="23">
        <f>'Set up ~ Config'!L10</f>
        <v>1</v>
      </c>
    </row>
    <row r="2" spans="1:24" ht="33.75" customHeight="1" x14ac:dyDescent="0.15">
      <c r="B2" s="1733" t="str">
        <f>'Set up ~ Config'!B2:J2</f>
        <v xml:space="preserve">SSC </v>
      </c>
      <c r="C2" s="1733"/>
      <c r="D2" s="1733"/>
      <c r="E2" s="1733"/>
      <c r="F2" s="1733"/>
      <c r="G2" s="1733"/>
      <c r="H2" s="1733"/>
      <c r="I2" s="1733"/>
      <c r="J2" s="1733"/>
      <c r="K2" s="1733"/>
      <c r="L2" s="1733"/>
      <c r="M2" s="1733"/>
      <c r="N2" s="1733"/>
      <c r="P2" s="23"/>
    </row>
    <row r="3" spans="1:24" ht="20.25" customHeight="1" x14ac:dyDescent="0.15">
      <c r="B3" s="1734" t="e">
        <f>'Cover~Page~Titre'!B58:Y58</f>
        <v>#VALUE!</v>
      </c>
      <c r="C3" s="1734"/>
      <c r="D3" s="1734"/>
      <c r="E3" s="1734"/>
      <c r="F3" s="1734"/>
      <c r="G3" s="1734"/>
      <c r="H3" s="1734"/>
      <c r="I3" s="1734"/>
      <c r="J3" s="1734"/>
      <c r="K3" s="1734"/>
      <c r="L3" s="1734"/>
      <c r="M3" s="1734"/>
      <c r="N3" s="1734"/>
    </row>
    <row r="4" spans="1:24" ht="6.75" customHeight="1" x14ac:dyDescent="0.15">
      <c r="B4" s="1481"/>
      <c r="C4" s="1481"/>
      <c r="D4" s="1481"/>
      <c r="E4" s="1481"/>
      <c r="F4" s="1481"/>
      <c r="G4" s="1481"/>
      <c r="H4" s="1818"/>
      <c r="I4" s="1818"/>
      <c r="J4" s="295"/>
      <c r="K4" s="1755"/>
      <c r="L4" s="1755"/>
      <c r="M4" s="1755"/>
      <c r="N4" s="22"/>
    </row>
    <row r="5" spans="1:24" ht="5.25" customHeight="1" x14ac:dyDescent="0.15">
      <c r="B5" s="296"/>
    </row>
    <row r="6" spans="1:24" s="3" customFormat="1" ht="15.75" customHeight="1" x14ac:dyDescent="0.15">
      <c r="B6" s="1802" t="str">
        <f>IF(P1=2,"ACTIFS","ASSETS")</f>
        <v>ASSETS</v>
      </c>
      <c r="C6" s="1802"/>
      <c r="D6" s="1802"/>
      <c r="E6" s="1802"/>
      <c r="F6" s="1802"/>
      <c r="G6" s="1802"/>
      <c r="H6" s="1802"/>
      <c r="I6" s="1802"/>
      <c r="J6" s="1802"/>
      <c r="K6" s="1802"/>
      <c r="L6" s="1802"/>
      <c r="M6" s="1802"/>
      <c r="N6" s="1802"/>
    </row>
    <row r="7" spans="1:24" s="3" customFormat="1" ht="18" customHeight="1" x14ac:dyDescent="0.15">
      <c r="B7" s="297"/>
      <c r="C7" s="1803" t="str">
        <f>IF(P1=2,"1000 - Actifs à court terme:","1000 - Current Assets:")</f>
        <v>1000 - Current Assets:</v>
      </c>
      <c r="D7" s="1803"/>
      <c r="E7" s="1803"/>
      <c r="F7" s="1803"/>
      <c r="G7" s="1803"/>
      <c r="H7" s="1803"/>
      <c r="I7" s="1803"/>
      <c r="J7" s="1803"/>
      <c r="K7" s="1803"/>
      <c r="L7" s="226" t="str">
        <f>IF(P1=2,"L'an passé","Last year")</f>
        <v>Last year</v>
      </c>
      <c r="M7" s="226" t="str">
        <f>IF(P1=2,"Cette année","Current year")</f>
        <v>Current year</v>
      </c>
      <c r="N7" s="298"/>
      <c r="W7" s="20" t="s">
        <v>148</v>
      </c>
    </row>
    <row r="8" spans="1:24" s="12" customFormat="1" ht="16.5" customHeight="1" x14ac:dyDescent="0.15">
      <c r="A8" s="244"/>
      <c r="B8" s="299"/>
      <c r="C8" s="1807">
        <v>1</v>
      </c>
      <c r="D8" s="241" t="s">
        <v>36</v>
      </c>
      <c r="E8" s="246" t="str">
        <f>LEFT('Set up ~ Config'!F45,4)</f>
        <v>1010</v>
      </c>
      <c r="F8" s="1722" t="str">
        <f>'Set up ~ Config'!G45</f>
        <v>Other Cash in hand</v>
      </c>
      <c r="G8" s="1722"/>
      <c r="H8" s="1722"/>
      <c r="I8" s="1722"/>
      <c r="J8" s="1722"/>
      <c r="K8" s="1722"/>
      <c r="L8" s="300">
        <f>Reconciliation!G10</f>
        <v>0</v>
      </c>
      <c r="M8" s="301">
        <f>Reconciliation!G15</f>
        <v>0</v>
      </c>
      <c r="N8" s="302"/>
      <c r="W8" s="20" t="s">
        <v>149</v>
      </c>
    </row>
    <row r="9" spans="1:24" s="12" customFormat="1" ht="16.5" customHeight="1" x14ac:dyDescent="0.15">
      <c r="A9" s="244"/>
      <c r="B9" s="303"/>
      <c r="C9" s="1807"/>
      <c r="D9" s="241" t="s">
        <v>37</v>
      </c>
      <c r="E9" s="246" t="str">
        <f>LEFT('Set up ~ Config'!F46,4)</f>
        <v>1015</v>
      </c>
      <c r="F9" s="1722" t="str">
        <f>'Set up ~ Config'!G46</f>
        <v>Main Bank Account</v>
      </c>
      <c r="G9" s="1722"/>
      <c r="H9" s="1722"/>
      <c r="I9" s="1722"/>
      <c r="J9" s="1722"/>
      <c r="K9" s="1722"/>
      <c r="L9" s="304">
        <f>Reconciliation!G23</f>
        <v>0</v>
      </c>
      <c r="M9" s="301">
        <f>Reconciliation!G41</f>
        <v>0</v>
      </c>
      <c r="N9" s="302"/>
      <c r="Q9" s="305"/>
      <c r="R9" s="306"/>
      <c r="W9" s="20"/>
    </row>
    <row r="10" spans="1:24" s="12" customFormat="1" ht="16.5" customHeight="1" x14ac:dyDescent="0.15">
      <c r="A10" s="244"/>
      <c r="B10" s="303"/>
      <c r="C10" s="1807"/>
      <c r="D10" s="241" t="s">
        <v>150</v>
      </c>
      <c r="E10" s="246" t="str">
        <f>LEFT('Set up ~ Config'!F47,4)</f>
        <v>1020</v>
      </c>
      <c r="F10" s="1722" t="str">
        <f>'Set up ~ Config'!G47</f>
        <v>Canteen</v>
      </c>
      <c r="G10" s="1722"/>
      <c r="H10" s="1722"/>
      <c r="I10" s="1722"/>
      <c r="J10" s="1722"/>
      <c r="K10" s="1722"/>
      <c r="L10" s="304">
        <f>Reconciliation!G49</f>
        <v>0</v>
      </c>
      <c r="M10" s="301">
        <f>Reconciliation!G54</f>
        <v>0</v>
      </c>
      <c r="N10" s="302"/>
      <c r="P10" s="307"/>
      <c r="Q10" s="308"/>
      <c r="R10" s="308"/>
      <c r="S10" s="306"/>
      <c r="T10" s="306"/>
      <c r="U10" s="306"/>
      <c r="V10" s="306"/>
      <c r="W10" s="20"/>
    </row>
    <row r="11" spans="1:24" s="12" customFormat="1" ht="16.5" customHeight="1" x14ac:dyDescent="0.15">
      <c r="A11" s="244"/>
      <c r="B11" s="303"/>
      <c r="C11" s="1807"/>
      <c r="D11" s="241" t="s">
        <v>151</v>
      </c>
      <c r="E11" s="246" t="str">
        <f>LEFT('Set up ~ Config'!F48,4)</f>
        <v>1025</v>
      </c>
      <c r="F11" s="1722" t="str">
        <f>'Set up ~ Config'!G48</f>
        <v>Petty Cash</v>
      </c>
      <c r="G11" s="1722"/>
      <c r="H11" s="1722"/>
      <c r="I11" s="1722"/>
      <c r="J11" s="1722"/>
      <c r="K11" s="1722"/>
      <c r="L11" s="304">
        <f>Reconciliation!G62</f>
        <v>0</v>
      </c>
      <c r="M11" s="301">
        <f>Reconciliation!G67</f>
        <v>0</v>
      </c>
      <c r="N11" s="302"/>
      <c r="Q11" s="308"/>
      <c r="R11" s="308"/>
      <c r="S11" s="308"/>
      <c r="W11" s="22"/>
      <c r="X11" s="188"/>
    </row>
    <row r="12" spans="1:24" s="12" customFormat="1" ht="16.5" customHeight="1" x14ac:dyDescent="0.15">
      <c r="A12" s="244"/>
      <c r="B12" s="303"/>
      <c r="C12" s="1807"/>
      <c r="D12" s="241" t="s">
        <v>152</v>
      </c>
      <c r="E12" s="246" t="str">
        <f>LEFT('Set up ~ Config'!F49,4)</f>
        <v>1030</v>
      </c>
      <c r="F12" s="1722" t="str">
        <f>'Set up ~ Config'!G49</f>
        <v>Receivables - Short Term</v>
      </c>
      <c r="G12" s="1722"/>
      <c r="H12" s="1722"/>
      <c r="I12" s="1722"/>
      <c r="J12" s="1722"/>
      <c r="K12" s="1722"/>
      <c r="L12" s="304">
        <f>Reconciliation!G75</f>
        <v>0</v>
      </c>
      <c r="M12" s="301">
        <f>Reconciliation!G80</f>
        <v>0</v>
      </c>
      <c r="N12" s="302"/>
      <c r="Q12" s="308"/>
      <c r="R12" s="308"/>
      <c r="S12" s="308"/>
      <c r="W12" s="20"/>
      <c r="X12" s="188"/>
    </row>
    <row r="13" spans="1:24" s="12" customFormat="1" ht="16.5" customHeight="1" x14ac:dyDescent="0.15">
      <c r="A13" s="244"/>
      <c r="B13" s="303"/>
      <c r="C13" s="1807"/>
      <c r="D13" s="241" t="s">
        <v>153</v>
      </c>
      <c r="E13" s="246" t="str">
        <f>LEFT('Set up ~ Config'!F50,4)</f>
        <v>1035</v>
      </c>
      <c r="F13" s="1722" t="str">
        <f>IF('Set up ~ Config'!$G50="Disponible ~ Available",IF($P$1=2,"Disponible","Available"),'Set up ~ Config'!$G50)</f>
        <v>Available</v>
      </c>
      <c r="G13" s="1722"/>
      <c r="H13" s="1722"/>
      <c r="I13" s="1722"/>
      <c r="J13" s="1722"/>
      <c r="K13" s="1722"/>
      <c r="L13" s="304">
        <f>Reconciliation!G88</f>
        <v>0</v>
      </c>
      <c r="M13" s="301">
        <f>Reconciliation!G93</f>
        <v>0</v>
      </c>
      <c r="N13" s="302"/>
      <c r="Q13" s="308"/>
      <c r="R13" s="308"/>
      <c r="S13" s="308"/>
      <c r="W13" s="20"/>
      <c r="X13" s="188"/>
    </row>
    <row r="14" spans="1:24" s="12" customFormat="1" ht="16.5" customHeight="1" x14ac:dyDescent="0.15">
      <c r="A14" s="244"/>
      <c r="B14" s="303"/>
      <c r="C14" s="1807"/>
      <c r="D14" s="241" t="s">
        <v>154</v>
      </c>
      <c r="E14" s="246" t="str">
        <f>LEFT('Set up ~ Config'!F51,4)</f>
        <v>1040</v>
      </c>
      <c r="F14" s="1722" t="str">
        <f>IF('Set up ~ Config'!$G51="Disponible ~ Available",IF($P$1=2,"Disponible","Available"),'Set up ~ Config'!$G51)</f>
        <v>Available</v>
      </c>
      <c r="G14" s="1722"/>
      <c r="H14" s="1722"/>
      <c r="I14" s="1722"/>
      <c r="J14" s="1722"/>
      <c r="K14" s="1722"/>
      <c r="L14" s="304">
        <f>Reconciliation!G101</f>
        <v>0</v>
      </c>
      <c r="M14" s="301">
        <f>Reconciliation!G106</f>
        <v>0</v>
      </c>
      <c r="N14" s="302"/>
      <c r="Q14" s="308"/>
      <c r="R14" s="308"/>
      <c r="S14" s="308"/>
      <c r="W14" s="20"/>
      <c r="X14" s="188"/>
    </row>
    <row r="15" spans="1:24" s="12" customFormat="1" ht="16.5" customHeight="1" x14ac:dyDescent="0.15">
      <c r="A15" s="244"/>
      <c r="B15" s="303"/>
      <c r="C15" s="1807"/>
      <c r="D15" s="241" t="s">
        <v>155</v>
      </c>
      <c r="E15" s="246" t="str">
        <f>LEFT('Set up ~ Config'!F52,4)</f>
        <v>1045</v>
      </c>
      <c r="F15" s="1722" t="str">
        <f>IF('Set up ~ Config'!$G52="Disponible ~ Available",IF($P$1=2,"Disponible","Available"),'Set up ~ Config'!$G52)</f>
        <v>Available</v>
      </c>
      <c r="G15" s="1722"/>
      <c r="H15" s="1722"/>
      <c r="I15" s="1722"/>
      <c r="J15" s="1722"/>
      <c r="K15" s="1722"/>
      <c r="L15" s="304">
        <f>Reconciliation!G114</f>
        <v>0</v>
      </c>
      <c r="M15" s="301">
        <f>Reconciliation!G119</f>
        <v>0</v>
      </c>
      <c r="N15" s="302"/>
      <c r="Q15" s="308"/>
      <c r="R15" s="308"/>
      <c r="S15" s="308"/>
      <c r="W15" s="20"/>
      <c r="X15" s="188"/>
    </row>
    <row r="16" spans="1:24" s="12" customFormat="1" ht="16.5" customHeight="1" x14ac:dyDescent="0.15">
      <c r="A16" s="244"/>
      <c r="B16" s="303"/>
      <c r="C16" s="1807"/>
      <c r="D16" s="241" t="s">
        <v>156</v>
      </c>
      <c r="E16" s="246" t="str">
        <f>LEFT('Set up ~ Config'!F53,4)</f>
        <v>1050</v>
      </c>
      <c r="F16" s="1722" t="str">
        <f>IF('Set up ~ Config'!$G53="Disponible ~ Available",IF($P$1=2,"Disponible","Available"),'Set up ~ Config'!$G53)</f>
        <v>Available</v>
      </c>
      <c r="G16" s="1722"/>
      <c r="H16" s="1722"/>
      <c r="I16" s="1722"/>
      <c r="J16" s="1722"/>
      <c r="K16" s="1722"/>
      <c r="L16" s="304">
        <f>Reconciliation!G127</f>
        <v>0</v>
      </c>
      <c r="M16" s="301">
        <f>Reconciliation!G132</f>
        <v>0</v>
      </c>
      <c r="N16" s="302"/>
      <c r="Q16" s="308"/>
      <c r="R16" s="308"/>
      <c r="S16" s="308"/>
      <c r="W16" s="20"/>
      <c r="X16" s="188"/>
    </row>
    <row r="17" spans="1:24" s="12" customFormat="1" ht="16.5" customHeight="1" x14ac:dyDescent="0.15">
      <c r="A17" s="244"/>
      <c r="B17" s="303"/>
      <c r="C17" s="1807"/>
      <c r="D17" s="241" t="s">
        <v>157</v>
      </c>
      <c r="E17" s="246" t="str">
        <f>LEFT('Set up ~ Config'!F54,4)</f>
        <v>1055</v>
      </c>
      <c r="F17" s="1722" t="str">
        <f>IF('Set up ~ Config'!$G54="Disponible ~ Available",IF($P$1=2,"Disponible","Available"),'Set up ~ Config'!$G54)</f>
        <v>Available</v>
      </c>
      <c r="G17" s="1722"/>
      <c r="H17" s="1722"/>
      <c r="I17" s="1722"/>
      <c r="J17" s="1722"/>
      <c r="K17" s="1722"/>
      <c r="L17" s="304">
        <f>Reconciliation!G140</f>
        <v>0</v>
      </c>
      <c r="M17" s="301">
        <f>Reconciliation!G145</f>
        <v>0</v>
      </c>
      <c r="N17" s="302"/>
      <c r="Q17" s="308"/>
      <c r="R17" s="308"/>
      <c r="S17" s="308"/>
      <c r="W17" s="20"/>
      <c r="X17" s="188"/>
    </row>
    <row r="18" spans="1:24" s="12" customFormat="1" ht="16.5" customHeight="1" x14ac:dyDescent="0.15">
      <c r="A18" s="244"/>
      <c r="B18" s="303"/>
      <c r="C18" s="1807"/>
      <c r="D18" s="241" t="s">
        <v>158</v>
      </c>
      <c r="E18" s="246" t="str">
        <f>LEFT('Set up ~ Config'!F55,4)</f>
        <v>1060</v>
      </c>
      <c r="F18" s="1722" t="str">
        <f>IF('Set up ~ Config'!$G55="Disponible ~ Available",IF($P$1=2,"Disponible","Available"),'Set up ~ Config'!$G55)</f>
        <v>Available</v>
      </c>
      <c r="G18" s="1722"/>
      <c r="H18" s="1722"/>
      <c r="I18" s="1722"/>
      <c r="J18" s="1722"/>
      <c r="K18" s="1722"/>
      <c r="L18" s="304">
        <f>Reconciliation!G153</f>
        <v>0</v>
      </c>
      <c r="M18" s="301">
        <f>Reconciliation!G158</f>
        <v>0</v>
      </c>
      <c r="N18" s="302"/>
      <c r="Q18" s="308"/>
      <c r="R18" s="308"/>
      <c r="S18" s="308"/>
      <c r="W18" s="20"/>
      <c r="X18" s="188"/>
    </row>
    <row r="19" spans="1:24" s="12" customFormat="1" ht="16.5" customHeight="1" x14ac:dyDescent="0.15">
      <c r="A19" s="244"/>
      <c r="B19" s="303"/>
      <c r="C19" s="1807"/>
      <c r="D19" s="241" t="s">
        <v>159</v>
      </c>
      <c r="E19" s="246" t="str">
        <f>LEFT('Set up ~ Config'!F56,4)</f>
        <v>1065</v>
      </c>
      <c r="F19" s="1722" t="str">
        <f>IF('Set up ~ Config'!$G56="Disponible ~ Available",IF($P$1=2,"Disponible","Available"),'Set up ~ Config'!$G56)</f>
        <v>Available</v>
      </c>
      <c r="G19" s="1722"/>
      <c r="H19" s="1722"/>
      <c r="I19" s="1722"/>
      <c r="J19" s="1722"/>
      <c r="K19" s="1722"/>
      <c r="L19" s="304">
        <f>Reconciliation!G166</f>
        <v>0</v>
      </c>
      <c r="M19" s="301">
        <f>Reconciliation!G171</f>
        <v>0</v>
      </c>
      <c r="N19" s="302"/>
      <c r="Q19" s="308"/>
      <c r="R19" s="308"/>
      <c r="S19" s="308"/>
      <c r="W19" s="20"/>
      <c r="X19" s="188"/>
    </row>
    <row r="20" spans="1:24" s="12" customFormat="1" ht="16.5" customHeight="1" x14ac:dyDescent="0.15">
      <c r="A20" s="244"/>
      <c r="B20" s="303"/>
      <c r="C20" s="1807"/>
      <c r="D20" s="241" t="s">
        <v>299</v>
      </c>
      <c r="E20" s="246" t="str">
        <f>LEFT('Set up ~ Config'!F57,4)</f>
        <v>1070</v>
      </c>
      <c r="F20" s="1722" t="str">
        <f>IF('Set up ~ Config'!$G57="Disponible ~ Available",IF($P$1=2,"Disponible","Available"),'Set up ~ Config'!$G57)</f>
        <v>Available</v>
      </c>
      <c r="G20" s="1722"/>
      <c r="H20" s="1722"/>
      <c r="I20" s="1722"/>
      <c r="J20" s="1722"/>
      <c r="K20" s="1722"/>
      <c r="L20" s="304">
        <f>Reconciliation!G179</f>
        <v>0</v>
      </c>
      <c r="M20" s="301">
        <f>Reconciliation!G184</f>
        <v>0</v>
      </c>
      <c r="N20" s="302"/>
      <c r="Q20" s="308"/>
      <c r="R20" s="308"/>
      <c r="S20" s="308"/>
      <c r="W20" s="20"/>
      <c r="X20" s="188"/>
    </row>
    <row r="21" spans="1:24" s="12" customFormat="1" ht="16.5" customHeight="1" x14ac:dyDescent="0.15">
      <c r="A21" s="244"/>
      <c r="B21" s="303"/>
      <c r="C21" s="1807"/>
      <c r="D21" s="241" t="s">
        <v>300</v>
      </c>
      <c r="E21" s="246" t="str">
        <f>LEFT('Set up ~ Config'!F58,4)</f>
        <v>1075</v>
      </c>
      <c r="F21" s="1722" t="str">
        <f>IF('Set up ~ Config'!$G58="Disponible ~ Available",IF($P$1=2,"Disponible","Available"),'Set up ~ Config'!$G58)</f>
        <v>Available</v>
      </c>
      <c r="G21" s="1722"/>
      <c r="H21" s="1722"/>
      <c r="I21" s="1722"/>
      <c r="J21" s="1722"/>
      <c r="K21" s="1722"/>
      <c r="L21" s="304">
        <f>Reconciliation!G192</f>
        <v>0</v>
      </c>
      <c r="M21" s="301">
        <f>Reconciliation!G197</f>
        <v>0</v>
      </c>
      <c r="N21" s="302"/>
      <c r="Q21" s="308"/>
      <c r="R21" s="308"/>
      <c r="S21" s="308"/>
      <c r="W21" s="20"/>
      <c r="X21" s="188"/>
    </row>
    <row r="22" spans="1:24" s="12" customFormat="1" ht="16.5" customHeight="1" x14ac:dyDescent="0.15">
      <c r="A22" s="244"/>
      <c r="B22" s="303"/>
      <c r="C22" s="1807"/>
      <c r="D22" s="241" t="s">
        <v>303</v>
      </c>
      <c r="E22" s="246" t="str">
        <f>LEFT('Set up ~ Config'!F59,4)</f>
        <v>1080</v>
      </c>
      <c r="F22" s="1722" t="str">
        <f>IF('Set up ~ Config'!$G59="Disponible ~ Available",IF($P$1=2,"Disponible","Available"),'Set up ~ Config'!$G59)</f>
        <v>Available</v>
      </c>
      <c r="G22" s="1722"/>
      <c r="H22" s="1722"/>
      <c r="I22" s="1722"/>
      <c r="J22" s="1722"/>
      <c r="K22" s="1722"/>
      <c r="L22" s="304">
        <f>Reconciliation!G205</f>
        <v>0</v>
      </c>
      <c r="M22" s="301">
        <f>Reconciliation!G210</f>
        <v>0</v>
      </c>
      <c r="N22" s="302"/>
      <c r="Q22" s="308"/>
      <c r="R22" s="308"/>
      <c r="S22" s="308"/>
      <c r="W22" s="20"/>
      <c r="X22" s="188"/>
    </row>
    <row r="23" spans="1:24" s="12" customFormat="1" ht="16.5" customHeight="1" x14ac:dyDescent="0.15">
      <c r="A23" s="244"/>
      <c r="B23" s="303"/>
      <c r="C23" s="1807"/>
      <c r="D23" s="241" t="s">
        <v>305</v>
      </c>
      <c r="E23" s="246" t="str">
        <f>LEFT('Set up ~ Config'!F60,4)</f>
        <v>1085</v>
      </c>
      <c r="F23" s="1722" t="str">
        <f>IF('Set up ~ Config'!$G60="Disponible ~ Available",IF($P$1=2,"Disponible","Available"),'Set up ~ Config'!$G60)</f>
        <v>Available</v>
      </c>
      <c r="G23" s="1722"/>
      <c r="H23" s="1722"/>
      <c r="I23" s="1722"/>
      <c r="J23" s="1722"/>
      <c r="K23" s="1722"/>
      <c r="L23" s="304">
        <f>Reconciliation!G218</f>
        <v>0</v>
      </c>
      <c r="M23" s="301">
        <f>Reconciliation!G223</f>
        <v>0</v>
      </c>
      <c r="N23" s="302"/>
      <c r="Q23" s="308"/>
      <c r="R23" s="308"/>
      <c r="S23" s="308"/>
      <c r="W23" s="20"/>
      <c r="X23" s="188"/>
    </row>
    <row r="24" spans="1:24" s="12" customFormat="1" ht="16.5" customHeight="1" x14ac:dyDescent="0.15">
      <c r="A24" s="244"/>
      <c r="B24" s="303"/>
      <c r="C24" s="1807"/>
      <c r="D24" s="241" t="s">
        <v>307</v>
      </c>
      <c r="E24" s="246" t="str">
        <f>LEFT('Set up ~ Config'!F61,4)</f>
        <v>1090</v>
      </c>
      <c r="F24" s="1722" t="str">
        <f>IF('Set up ~ Config'!$G61="Disponible ~ Available",IF($P$1=2,"Disponible","Available"),'Set up ~ Config'!$G61)</f>
        <v>Available</v>
      </c>
      <c r="G24" s="1722"/>
      <c r="H24" s="1722"/>
      <c r="I24" s="1722"/>
      <c r="J24" s="1722"/>
      <c r="K24" s="1722"/>
      <c r="L24" s="304">
        <f>Reconciliation!G231</f>
        <v>0</v>
      </c>
      <c r="M24" s="301">
        <f>Reconciliation!G236</f>
        <v>0</v>
      </c>
      <c r="N24" s="302"/>
      <c r="Q24" s="308"/>
      <c r="R24" s="308"/>
      <c r="S24" s="308"/>
      <c r="W24" s="20"/>
      <c r="X24" s="188"/>
    </row>
    <row r="25" spans="1:24" s="12" customFormat="1" ht="16.5" customHeight="1" x14ac:dyDescent="0.15">
      <c r="A25" s="244"/>
      <c r="B25" s="303"/>
      <c r="C25" s="1807"/>
      <c r="D25" s="241" t="s">
        <v>308</v>
      </c>
      <c r="E25" s="246" t="str">
        <f>LEFT('Set up ~ Config'!F62,4)</f>
        <v>1095</v>
      </c>
      <c r="F25" s="1722" t="str">
        <f>IF('Set up ~ Config'!$G62="Disponible ~ Available",IF($P$1=2,"Disponible","Available"),'Set up ~ Config'!$G62)</f>
        <v>Available</v>
      </c>
      <c r="G25" s="1722"/>
      <c r="H25" s="1722"/>
      <c r="I25" s="1722"/>
      <c r="J25" s="1722"/>
      <c r="K25" s="1722"/>
      <c r="L25" s="304">
        <f>Reconciliation!G244</f>
        <v>0</v>
      </c>
      <c r="M25" s="301">
        <f>Reconciliation!G249</f>
        <v>0</v>
      </c>
      <c r="N25" s="302"/>
      <c r="Q25" s="308"/>
      <c r="R25" s="308"/>
      <c r="S25" s="308"/>
      <c r="W25" s="20"/>
      <c r="X25" s="188"/>
    </row>
    <row r="26" spans="1:24" s="12" customFormat="1" ht="16.5" customHeight="1" x14ac:dyDescent="0.15">
      <c r="A26" s="244"/>
      <c r="B26" s="311"/>
      <c r="C26" s="312"/>
      <c r="D26" s="241"/>
      <c r="E26" s="313">
        <v>1100</v>
      </c>
      <c r="F26" s="1816" t="str">
        <f>IF(P1=2,"Total Actifs à court terme:","Total Current Assets:")</f>
        <v>Total Current Assets:</v>
      </c>
      <c r="G26" s="1816"/>
      <c r="H26" s="1816"/>
      <c r="I26" s="1816"/>
      <c r="J26" s="1816"/>
      <c r="K26" s="1816"/>
      <c r="L26" s="314">
        <f>+SUM(L8:L25)</f>
        <v>0</v>
      </c>
      <c r="M26" s="315"/>
      <c r="N26" s="316">
        <f>SUM(M8:M25)</f>
        <v>0</v>
      </c>
      <c r="Q26" s="310"/>
      <c r="R26" s="79"/>
      <c r="S26" s="79"/>
    </row>
    <row r="27" spans="1:24" s="12" customFormat="1" ht="16.5" customHeight="1" x14ac:dyDescent="0.15">
      <c r="A27" s="244"/>
      <c r="B27" s="317"/>
      <c r="C27" s="1803" t="str">
        <f>IF(P1=2,"1200 - Actifs à long terme:","1200 - Long-Term Assets:")</f>
        <v>1200 - Long-Term Assets:</v>
      </c>
      <c r="D27" s="1803"/>
      <c r="E27" s="1803"/>
      <c r="F27" s="1803"/>
      <c r="G27" s="1803"/>
      <c r="H27" s="1803"/>
      <c r="I27" s="1803"/>
      <c r="J27" s="1803"/>
      <c r="K27" s="1803"/>
      <c r="L27" s="226" t="str">
        <f>IF(P1=2,"L'an passé","Last year")</f>
        <v>Last year</v>
      </c>
      <c r="M27" s="226" t="str">
        <f>IF(P1=2,"Cette année","Current year")</f>
        <v>Current year</v>
      </c>
      <c r="N27" s="302"/>
      <c r="Q27" s="310"/>
      <c r="R27" s="79"/>
      <c r="S27" s="79"/>
    </row>
    <row r="28" spans="1:24" s="12" customFormat="1" ht="17.25" customHeight="1" x14ac:dyDescent="0.15">
      <c r="A28" s="244"/>
      <c r="B28" s="309"/>
      <c r="C28" s="1807">
        <v>2</v>
      </c>
      <c r="D28" s="318" t="s">
        <v>36</v>
      </c>
      <c r="E28" s="246" t="str">
        <f>LEFT('Set up ~ Config'!F64,4)</f>
        <v>1210</v>
      </c>
      <c r="F28" s="1746" t="str">
        <f>'Set up ~ Config'!G64</f>
        <v>Investments GICs</v>
      </c>
      <c r="G28" s="1746"/>
      <c r="H28" s="1746"/>
      <c r="I28" s="1746"/>
      <c r="J28" s="1746"/>
      <c r="K28" s="1746"/>
      <c r="L28" s="304">
        <f>Reconciliation!G257</f>
        <v>0</v>
      </c>
      <c r="M28" s="301">
        <f>Reconciliation!$G262</f>
        <v>0</v>
      </c>
      <c r="N28" s="302"/>
      <c r="Q28" s="310"/>
      <c r="R28" s="319"/>
      <c r="S28" s="319"/>
      <c r="T28" s="18"/>
      <c r="U28" s="18"/>
      <c r="V28" s="18"/>
      <c r="W28" s="18"/>
    </row>
    <row r="29" spans="1:24" s="12" customFormat="1" ht="18" customHeight="1" x14ac:dyDescent="0.15">
      <c r="A29" s="244"/>
      <c r="B29" s="309"/>
      <c r="C29" s="1807"/>
      <c r="D29" s="245" t="s">
        <v>37</v>
      </c>
      <c r="E29" s="246" t="str">
        <f>LEFT('Set up ~ Config'!F65,4)</f>
        <v>1220</v>
      </c>
      <c r="F29" s="1746" t="str">
        <f>'Set up ~ Config'!G65</f>
        <v>Investments (Mutual Funds and such)</v>
      </c>
      <c r="G29" s="1746"/>
      <c r="H29" s="1746"/>
      <c r="I29" s="1746"/>
      <c r="J29" s="1746"/>
      <c r="K29" s="1746"/>
      <c r="L29" s="304">
        <f>Reconciliation!G270</f>
        <v>0</v>
      </c>
      <c r="M29" s="301">
        <f>Reconciliation!$G275</f>
        <v>0</v>
      </c>
      <c r="N29" s="302"/>
      <c r="O29" s="194"/>
      <c r="Q29" s="310"/>
      <c r="R29" s="319"/>
      <c r="S29" s="308"/>
      <c r="T29" s="18"/>
      <c r="U29" s="18"/>
      <c r="V29" s="18"/>
      <c r="W29" s="18"/>
    </row>
    <row r="30" spans="1:24" s="12" customFormat="1" ht="20.25" customHeight="1" x14ac:dyDescent="0.15">
      <c r="A30" s="244"/>
      <c r="B30" s="320"/>
      <c r="C30" s="1807"/>
      <c r="D30" s="241" t="s">
        <v>150</v>
      </c>
      <c r="E30" s="246" t="str">
        <f>LEFT('Set up ~ Config'!F66,4)</f>
        <v>1230</v>
      </c>
      <c r="F30" s="1722" t="str">
        <f>IF('Set up ~ Config'!$G66="Disponible ~ Available",IF($P$1=2,"Disponible","Available"),'Set up ~ Config'!$G66)</f>
        <v>Available</v>
      </c>
      <c r="G30" s="1722"/>
      <c r="H30" s="1722"/>
      <c r="I30" s="1722"/>
      <c r="J30" s="1722"/>
      <c r="K30" s="1722"/>
      <c r="L30" s="304">
        <f>Reconciliation!G283</f>
        <v>0</v>
      </c>
      <c r="M30" s="301">
        <f>Reconciliation!$G288</f>
        <v>0</v>
      </c>
      <c r="N30" s="302"/>
      <c r="O30" s="194"/>
      <c r="P30" s="307"/>
      <c r="Q30" s="310"/>
      <c r="R30" s="79"/>
      <c r="S30" s="79"/>
      <c r="T30" s="321"/>
      <c r="U30" s="321"/>
      <c r="V30" s="321"/>
      <c r="W30" s="321"/>
      <c r="X30" s="321"/>
    </row>
    <row r="31" spans="1:24" s="12" customFormat="1" ht="20.25" customHeight="1" x14ac:dyDescent="0.15">
      <c r="A31" s="244"/>
      <c r="B31" s="320"/>
      <c r="C31" s="1807"/>
      <c r="D31" s="241" t="s">
        <v>151</v>
      </c>
      <c r="E31" s="246" t="str">
        <f>LEFT('Set up ~ Config'!F67,4)</f>
        <v>1240</v>
      </c>
      <c r="F31" s="1722" t="str">
        <f>IF('Set up ~ Config'!$G67="Disponible ~ Available",IF($P$1=2,"Disponible","Available"),'Set up ~ Config'!$G67)</f>
        <v>Available</v>
      </c>
      <c r="G31" s="1722"/>
      <c r="H31" s="1722"/>
      <c r="I31" s="1722"/>
      <c r="J31" s="1722"/>
      <c r="K31" s="1722"/>
      <c r="L31" s="304">
        <f>Reconciliation!G296</f>
        <v>0</v>
      </c>
      <c r="M31" s="301">
        <f>Reconciliation!$G301</f>
        <v>0</v>
      </c>
      <c r="N31" s="302"/>
      <c r="O31" s="194"/>
      <c r="P31" s="307"/>
      <c r="Q31" s="310"/>
      <c r="R31" s="79"/>
      <c r="S31" s="79"/>
      <c r="T31" s="321"/>
      <c r="U31" s="321"/>
      <c r="V31" s="321"/>
      <c r="W31" s="321"/>
      <c r="X31" s="321"/>
    </row>
    <row r="32" spans="1:24" s="12" customFormat="1" ht="20.25" customHeight="1" x14ac:dyDescent="0.15">
      <c r="A32" s="244"/>
      <c r="B32" s="320"/>
      <c r="C32" s="1807"/>
      <c r="D32" s="241" t="s">
        <v>152</v>
      </c>
      <c r="E32" s="246" t="str">
        <f>LEFT('Set up ~ Config'!F68,4)</f>
        <v>1250</v>
      </c>
      <c r="F32" s="1722" t="str">
        <f>IF('Set up ~ Config'!$G68="Disponible ~ Available",IF($P$1=2,"Disponible","Available"),'Set up ~ Config'!$G68)</f>
        <v>Available</v>
      </c>
      <c r="G32" s="1722"/>
      <c r="H32" s="1722"/>
      <c r="I32" s="1722"/>
      <c r="J32" s="1722"/>
      <c r="K32" s="1722"/>
      <c r="L32" s="304">
        <f>Reconciliation!G309</f>
        <v>0</v>
      </c>
      <c r="M32" s="301">
        <f>Reconciliation!$G314</f>
        <v>0</v>
      </c>
      <c r="N32" s="302"/>
      <c r="O32" s="194"/>
      <c r="P32" s="307"/>
      <c r="Q32" s="310"/>
      <c r="R32" s="79"/>
      <c r="S32" s="79"/>
      <c r="T32" s="321"/>
      <c r="U32" s="321"/>
      <c r="V32" s="321"/>
      <c r="W32" s="321"/>
      <c r="X32" s="321"/>
    </row>
    <row r="33" spans="1:24" s="12" customFormat="1" ht="20.25" customHeight="1" x14ac:dyDescent="0.15">
      <c r="A33" s="244"/>
      <c r="B33" s="320"/>
      <c r="C33" s="1807"/>
      <c r="D33" s="241" t="s">
        <v>153</v>
      </c>
      <c r="E33" s="246" t="str">
        <f>LEFT('Set up ~ Config'!F69,4)</f>
        <v>1260</v>
      </c>
      <c r="F33" s="1722" t="str">
        <f>IF('Set up ~ Config'!$G69="Disponible ~ Available",IF($P$1=2,"Disponible","Available"),'Set up ~ Config'!$G69)</f>
        <v>Available</v>
      </c>
      <c r="G33" s="1722"/>
      <c r="H33" s="1722"/>
      <c r="I33" s="1722"/>
      <c r="J33" s="1722"/>
      <c r="K33" s="1722"/>
      <c r="L33" s="304">
        <f>Reconciliation!G322</f>
        <v>0</v>
      </c>
      <c r="M33" s="301">
        <f>Reconciliation!$G327</f>
        <v>0</v>
      </c>
      <c r="N33" s="302"/>
      <c r="O33" s="194"/>
      <c r="P33" s="307"/>
      <c r="Q33" s="310"/>
      <c r="R33" s="79"/>
      <c r="S33" s="79"/>
      <c r="T33" s="321"/>
      <c r="U33" s="321"/>
      <c r="V33" s="321"/>
      <c r="W33" s="321"/>
      <c r="X33" s="321"/>
    </row>
    <row r="34" spans="1:24" s="12" customFormat="1" ht="20.25" customHeight="1" x14ac:dyDescent="0.15">
      <c r="A34" s="244"/>
      <c r="B34" s="320"/>
      <c r="C34" s="1807"/>
      <c r="D34" s="241" t="s">
        <v>154</v>
      </c>
      <c r="E34" s="246" t="str">
        <f>LEFT('Set up ~ Config'!F70,4)</f>
        <v>1270</v>
      </c>
      <c r="F34" s="1722" t="str">
        <f>IF('Set up ~ Config'!$G70="Disponible ~ Available",IF($P$1=2,"Disponible","Available"),'Set up ~ Config'!$G70)</f>
        <v>Available</v>
      </c>
      <c r="G34" s="1722"/>
      <c r="H34" s="1722"/>
      <c r="I34" s="1722"/>
      <c r="J34" s="1722"/>
      <c r="K34" s="1722"/>
      <c r="L34" s="304">
        <f>Reconciliation!G335</f>
        <v>0</v>
      </c>
      <c r="M34" s="301">
        <f>Reconciliation!$G340</f>
        <v>0</v>
      </c>
      <c r="N34" s="302"/>
      <c r="O34" s="194"/>
      <c r="P34" s="307"/>
      <c r="Q34" s="310"/>
      <c r="R34" s="79"/>
      <c r="S34" s="79"/>
      <c r="T34" s="321"/>
      <c r="U34" s="321"/>
      <c r="V34" s="321"/>
      <c r="W34" s="321"/>
      <c r="X34" s="321"/>
    </row>
    <row r="35" spans="1:24" s="12" customFormat="1" ht="20.25" customHeight="1" x14ac:dyDescent="0.15">
      <c r="A35" s="244"/>
      <c r="B35" s="320"/>
      <c r="C35" s="1807"/>
      <c r="D35" s="241" t="s">
        <v>155</v>
      </c>
      <c r="E35" s="246" t="str">
        <f>LEFT('Set up ~ Config'!F71,4)</f>
        <v>1280</v>
      </c>
      <c r="F35" s="1722" t="str">
        <f>IF('Set up ~ Config'!$G71="Disponible ~ Available",IF($P$1=2,"Disponible","Available"),'Set up ~ Config'!$G71)</f>
        <v>Available</v>
      </c>
      <c r="G35" s="1722"/>
      <c r="H35" s="1722"/>
      <c r="I35" s="1722"/>
      <c r="J35" s="1722"/>
      <c r="K35" s="1722"/>
      <c r="L35" s="304">
        <f>Reconciliation!G348</f>
        <v>0</v>
      </c>
      <c r="M35" s="301">
        <f>Reconciliation!$G353</f>
        <v>0</v>
      </c>
      <c r="N35" s="302"/>
      <c r="O35" s="194"/>
      <c r="P35" s="307"/>
      <c r="Q35" s="310"/>
      <c r="R35" s="79"/>
      <c r="S35" s="79"/>
      <c r="T35" s="321"/>
      <c r="U35" s="321"/>
      <c r="V35" s="321"/>
      <c r="W35" s="321"/>
      <c r="X35" s="321"/>
    </row>
    <row r="36" spans="1:24" s="12" customFormat="1" ht="20.25" customHeight="1" x14ac:dyDescent="0.15">
      <c r="A36" s="244"/>
      <c r="B36" s="320"/>
      <c r="C36" s="1807"/>
      <c r="D36" s="241" t="s">
        <v>156</v>
      </c>
      <c r="E36" s="246" t="str">
        <f>LEFT('Set up ~ Config'!F72,4)</f>
        <v>1290</v>
      </c>
      <c r="F36" s="1722" t="str">
        <f>IF('Set up ~ Config'!$G72="Disponible ~ Available",IF($P$1=2,"Disponible","Available"),'Set up ~ Config'!$G72)</f>
        <v>Available</v>
      </c>
      <c r="G36" s="1722"/>
      <c r="H36" s="1722"/>
      <c r="I36" s="1722"/>
      <c r="J36" s="1722"/>
      <c r="K36" s="1722"/>
      <c r="L36" s="304">
        <f>Reconciliation!G361</f>
        <v>0</v>
      </c>
      <c r="M36" s="301">
        <f>Reconciliation!$G366</f>
        <v>0</v>
      </c>
      <c r="N36" s="302"/>
      <c r="O36" s="194"/>
      <c r="P36" s="307"/>
      <c r="Q36" s="310"/>
      <c r="R36" s="79"/>
      <c r="S36" s="79"/>
      <c r="T36" s="321"/>
      <c r="U36" s="321"/>
      <c r="V36" s="321"/>
      <c r="W36" s="321"/>
      <c r="X36" s="321"/>
    </row>
    <row r="37" spans="1:24" s="9" customFormat="1" ht="17.25" customHeight="1" x14ac:dyDescent="0.15">
      <c r="A37" s="17"/>
      <c r="B37" s="311"/>
      <c r="C37" s="312"/>
      <c r="D37" s="241"/>
      <c r="E37" s="313">
        <v>1300</v>
      </c>
      <c r="F37" s="1816" t="str">
        <f>IF(P1=2,"Total Actifs à long terme:","Total Long-Term Assets:")</f>
        <v>Total Long-Term Assets:</v>
      </c>
      <c r="G37" s="1816"/>
      <c r="H37" s="1816"/>
      <c r="I37" s="1816"/>
      <c r="J37" s="1816"/>
      <c r="K37" s="1816"/>
      <c r="L37" s="314">
        <f>+SUM(L28:L36)</f>
        <v>0</v>
      </c>
      <c r="M37" s="315"/>
      <c r="N37" s="316">
        <f>SUM(M28:M36)</f>
        <v>0</v>
      </c>
      <c r="Q37" s="322"/>
      <c r="R37" s="322"/>
    </row>
    <row r="38" spans="1:24" s="9" customFormat="1" ht="7.5" customHeight="1" x14ac:dyDescent="0.15">
      <c r="B38" s="323"/>
      <c r="C38" s="1817"/>
      <c r="D38" s="1817"/>
      <c r="E38" s="1817"/>
      <c r="F38" s="1817"/>
      <c r="G38" s="1817"/>
      <c r="H38" s="1817"/>
      <c r="I38" s="1817"/>
      <c r="J38" s="1817"/>
      <c r="K38" s="1817"/>
      <c r="L38" s="1817"/>
      <c r="M38" s="1817"/>
      <c r="N38" s="324"/>
      <c r="Q38" s="325"/>
    </row>
    <row r="39" spans="1:24" s="9" customFormat="1" ht="14.25" customHeight="1" x14ac:dyDescent="0.15">
      <c r="B39" s="326"/>
      <c r="C39" s="1803" t="str">
        <f>IF(P1=2,"1500 - Immobilisations:","1500 - Fixed Assets:")</f>
        <v>1500 - Fixed Assets:</v>
      </c>
      <c r="D39" s="1803"/>
      <c r="E39" s="1803"/>
      <c r="F39" s="1803"/>
      <c r="G39" s="1803"/>
      <c r="H39" s="1803"/>
      <c r="I39" s="1803"/>
      <c r="J39" s="1803"/>
      <c r="K39" s="1803"/>
      <c r="L39" s="131" t="str">
        <f>IF($P$1=2,"Valeur à","Purchase")</f>
        <v>Purchase</v>
      </c>
      <c r="M39" s="131" t="str">
        <f>IF($P$1=2,"A valeur","At Nominal")</f>
        <v>At Nominal</v>
      </c>
      <c r="N39" s="1811"/>
      <c r="Q39" s="325"/>
    </row>
    <row r="40" spans="1:24" s="9" customFormat="1" ht="12" customHeight="1" x14ac:dyDescent="0.15">
      <c r="B40" s="327"/>
      <c r="C40" s="1803"/>
      <c r="D40" s="1803"/>
      <c r="E40" s="1803"/>
      <c r="F40" s="1803"/>
      <c r="G40" s="1803"/>
      <c r="H40" s="1803"/>
      <c r="I40" s="1803"/>
      <c r="J40" s="1803"/>
      <c r="K40" s="1803"/>
      <c r="L40" s="328" t="str">
        <f>IF($P$1=2,"l'achat","Cost")</f>
        <v>Cost</v>
      </c>
      <c r="M40" s="328" t="str">
        <f>IF($P$1=2,"nominale de $1","Value of $1")</f>
        <v>Value of $1</v>
      </c>
      <c r="N40" s="1811"/>
    </row>
    <row r="41" spans="1:24" s="12" customFormat="1" ht="16.5" customHeight="1" x14ac:dyDescent="0.15">
      <c r="B41" s="329"/>
      <c r="C41" s="1807">
        <v>3</v>
      </c>
      <c r="D41" s="241" t="s">
        <v>36</v>
      </c>
      <c r="E41" s="246" t="str">
        <f>LEFT('ACC9 (Pages 9-11) Assets~Immo'!B8,4)</f>
        <v>1510</v>
      </c>
      <c r="F41" s="1812" t="str">
        <f>'ACC9 (Pages 9-11) Assets~Immo'!C8</f>
        <v>Aircrafts</v>
      </c>
      <c r="G41" s="1812"/>
      <c r="H41" s="1812"/>
      <c r="I41" s="1812"/>
      <c r="J41" s="1812"/>
      <c r="K41" s="1812"/>
      <c r="L41" s="304">
        <f>'ACC9 (Pages 9-11) Assets~Immo'!I17</f>
        <v>0</v>
      </c>
      <c r="M41" s="301">
        <f t="shared" ref="M41:M52" si="0">IF(L41&gt;0,1,0)</f>
        <v>0</v>
      </c>
      <c r="N41" s="1811"/>
      <c r="Q41" s="330"/>
    </row>
    <row r="42" spans="1:24" s="12" customFormat="1" ht="16.5" customHeight="1" x14ac:dyDescent="0.15">
      <c r="B42" s="331"/>
      <c r="C42" s="1807"/>
      <c r="D42" s="241" t="s">
        <v>37</v>
      </c>
      <c r="E42" s="246" t="str">
        <f>LEFT('ACC9 (Pages 9-11) Assets~Immo'!B19,4)</f>
        <v>1520</v>
      </c>
      <c r="F42" s="1812" t="str">
        <f>'ACC9 (Pages 9-11) Assets~Immo'!C19</f>
        <v>Land &amp; Properties</v>
      </c>
      <c r="G42" s="1812"/>
      <c r="H42" s="1812"/>
      <c r="I42" s="1812"/>
      <c r="J42" s="1812"/>
      <c r="K42" s="1812"/>
      <c r="L42" s="304">
        <f>'ACC9 (Pages 9-11) Assets~Immo'!I28</f>
        <v>0</v>
      </c>
      <c r="M42" s="301">
        <f t="shared" si="0"/>
        <v>0</v>
      </c>
      <c r="N42" s="1811"/>
      <c r="Q42" s="1"/>
    </row>
    <row r="43" spans="1:24" s="12" customFormat="1" ht="16.5" customHeight="1" x14ac:dyDescent="0.15">
      <c r="B43" s="331"/>
      <c r="C43" s="1807"/>
      <c r="D43" s="241" t="s">
        <v>150</v>
      </c>
      <c r="E43" s="246" t="str">
        <f>LEFT('ACC9 (Pages 9-11) Assets~Immo'!B30,4)</f>
        <v>1530</v>
      </c>
      <c r="F43" s="1812" t="str">
        <f>'ACC9 (Pages 9-11) Assets~Immo'!C30</f>
        <v>Buildings</v>
      </c>
      <c r="G43" s="1812"/>
      <c r="H43" s="1812"/>
      <c r="I43" s="1812"/>
      <c r="J43" s="1812"/>
      <c r="K43" s="1812"/>
      <c r="L43" s="304">
        <f>'ACC9 (Pages 9-11) Assets~Immo'!I39</f>
        <v>0</v>
      </c>
      <c r="M43" s="301">
        <f t="shared" si="0"/>
        <v>0</v>
      </c>
      <c r="N43" s="1811"/>
      <c r="Q43" s="1"/>
    </row>
    <row r="44" spans="1:24" s="12" customFormat="1" ht="16.5" customHeight="1" x14ac:dyDescent="0.15">
      <c r="B44" s="331"/>
      <c r="C44" s="1807"/>
      <c r="D44" s="241" t="s">
        <v>151</v>
      </c>
      <c r="E44" s="246" t="str">
        <f>LEFT('ACC9 (Pages 9-11) Assets~Immo'!B41,4)</f>
        <v>1540</v>
      </c>
      <c r="F44" s="1812" t="str">
        <f>'ACC9 (Pages 9-11) Assets~Immo'!C41</f>
        <v>Vehicles</v>
      </c>
      <c r="G44" s="1812"/>
      <c r="H44" s="1812"/>
      <c r="I44" s="1812"/>
      <c r="J44" s="1812"/>
      <c r="K44" s="1812"/>
      <c r="L44" s="304">
        <f>'ACC9 (Pages 9-11) Assets~Immo'!I50</f>
        <v>0</v>
      </c>
      <c r="M44" s="301">
        <f t="shared" si="0"/>
        <v>0</v>
      </c>
      <c r="N44" s="1811"/>
      <c r="Q44" s="1"/>
    </row>
    <row r="45" spans="1:24" s="12" customFormat="1" ht="16.5" customHeight="1" x14ac:dyDescent="0.15">
      <c r="B45" s="331"/>
      <c r="C45" s="1807"/>
      <c r="D45" s="241" t="s">
        <v>152</v>
      </c>
      <c r="E45" s="246" t="str">
        <f>LEFT('ACC9 (Pages 9-11) Assets~Immo'!B52,4)</f>
        <v>1550</v>
      </c>
      <c r="F45" s="1812" t="str">
        <f>'ACC9 (Pages 9-11) Assets~Immo'!C52</f>
        <v>Office Equipment</v>
      </c>
      <c r="G45" s="1812"/>
      <c r="H45" s="1812"/>
      <c r="I45" s="1812"/>
      <c r="J45" s="1812"/>
      <c r="K45" s="1812"/>
      <c r="L45" s="304">
        <f>'ACC9 (Pages 9-11) Assets~Immo'!I61</f>
        <v>0</v>
      </c>
      <c r="M45" s="301">
        <f t="shared" si="0"/>
        <v>0</v>
      </c>
      <c r="N45" s="1811"/>
      <c r="Q45" s="1"/>
    </row>
    <row r="46" spans="1:24" s="12" customFormat="1" ht="16.5" customHeight="1" x14ac:dyDescent="0.15">
      <c r="B46" s="331"/>
      <c r="C46" s="1807"/>
      <c r="D46" s="241" t="s">
        <v>153</v>
      </c>
      <c r="E46" s="246" t="str">
        <f>LEFT('ACC9 (Pages 9-11) Assets~Immo'!B63,4)</f>
        <v>1560</v>
      </c>
      <c r="F46" s="1812" t="str">
        <f>'ACC9 (Pages 9-11) Assets~Immo'!C63</f>
        <v>Sport Equipment</v>
      </c>
      <c r="G46" s="1812"/>
      <c r="H46" s="1812"/>
      <c r="I46" s="1812"/>
      <c r="J46" s="1812"/>
      <c r="K46" s="1812"/>
      <c r="L46" s="304">
        <f>'ACC9 (Pages 9-11) Assets~Immo'!I72</f>
        <v>0</v>
      </c>
      <c r="M46" s="301">
        <f t="shared" si="0"/>
        <v>0</v>
      </c>
      <c r="N46" s="1811"/>
      <c r="Q46" s="1"/>
      <c r="T46" s="332"/>
    </row>
    <row r="47" spans="1:24" s="12" customFormat="1" ht="16.5" customHeight="1" x14ac:dyDescent="0.15">
      <c r="B47" s="331"/>
      <c r="C47" s="1807"/>
      <c r="D47" s="241" t="s">
        <v>154</v>
      </c>
      <c r="E47" s="246" t="str">
        <f>LEFT('ACC9 (Pages 9-11) Assets~Immo'!B74,4)</f>
        <v>1570</v>
      </c>
      <c r="F47" s="1812" t="str">
        <f>'ACC9 (Pages 9-11) Assets~Immo'!C74</f>
        <v>Photography Equipment</v>
      </c>
      <c r="G47" s="1812"/>
      <c r="H47" s="1812"/>
      <c r="I47" s="1812"/>
      <c r="J47" s="1812"/>
      <c r="K47" s="1812"/>
      <c r="L47" s="304">
        <f>'ACC9 (Pages 9-11) Assets~Immo'!I83</f>
        <v>0</v>
      </c>
      <c r="M47" s="301">
        <f t="shared" si="0"/>
        <v>0</v>
      </c>
      <c r="N47" s="1811"/>
      <c r="Q47" s="1"/>
    </row>
    <row r="48" spans="1:24" s="12" customFormat="1" ht="16.5" customHeight="1" x14ac:dyDescent="0.15">
      <c r="B48" s="331"/>
      <c r="C48" s="1807"/>
      <c r="D48" s="241" t="s">
        <v>155</v>
      </c>
      <c r="E48" s="246" t="str">
        <f>LEFT('ACC9 (Pages 9-11) Assets~Immo'!B85,4)</f>
        <v>1580</v>
      </c>
      <c r="F48" s="1812" t="str">
        <f>'ACC9 (Pages 9-11) Assets~Immo'!C85</f>
        <v>Field Equipment</v>
      </c>
      <c r="G48" s="1812"/>
      <c r="H48" s="1812"/>
      <c r="I48" s="1812"/>
      <c r="J48" s="1812"/>
      <c r="K48" s="1812"/>
      <c r="L48" s="304">
        <f>'ACC9 (Pages 9-11) Assets~Immo'!I94</f>
        <v>0</v>
      </c>
      <c r="M48" s="301">
        <f t="shared" si="0"/>
        <v>0</v>
      </c>
      <c r="N48" s="1811"/>
      <c r="Q48" s="1"/>
    </row>
    <row r="49" spans="2:19" s="12" customFormat="1" ht="16.5" customHeight="1" x14ac:dyDescent="0.15">
      <c r="B49" s="331"/>
      <c r="C49" s="1807"/>
      <c r="D49" s="241" t="s">
        <v>156</v>
      </c>
      <c r="E49" s="246" t="str">
        <f>LEFT('ACC9 (Pages 9-11) Assets~Immo'!B96,4)</f>
        <v>1590</v>
      </c>
      <c r="F49" s="1812" t="str">
        <f>'ACC9 (Pages 9-11) Assets~Immo'!C96</f>
        <v>Electronic Equipment</v>
      </c>
      <c r="G49" s="1812"/>
      <c r="H49" s="1812"/>
      <c r="I49" s="1812"/>
      <c r="J49" s="1812"/>
      <c r="K49" s="1812"/>
      <c r="L49" s="304">
        <f>'ACC9 (Pages 9-11) Assets~Immo'!I105</f>
        <v>0</v>
      </c>
      <c r="M49" s="301">
        <f t="shared" si="0"/>
        <v>0</v>
      </c>
      <c r="N49" s="1811"/>
      <c r="Q49" s="1"/>
    </row>
    <row r="50" spans="2:19" s="12" customFormat="1" ht="16.5" customHeight="1" x14ac:dyDescent="0.15">
      <c r="B50" s="331"/>
      <c r="C50" s="1807"/>
      <c r="D50" s="241" t="s">
        <v>157</v>
      </c>
      <c r="E50" s="246" t="str">
        <f>LEFT('ACC9 (Pages 9-11) Assets~Immo'!B107,4)</f>
        <v>1600</v>
      </c>
      <c r="F50" s="1812" t="str">
        <f>'ACC9 (Pages 9-11) Assets~Immo'!C107</f>
        <v>Music Instruments &amp; Accessories</v>
      </c>
      <c r="G50" s="1812"/>
      <c r="H50" s="1812"/>
      <c r="I50" s="1812"/>
      <c r="J50" s="1812"/>
      <c r="K50" s="1812"/>
      <c r="L50" s="304">
        <f>'ACC9 (Pages 9-11) Assets~Immo'!I124</f>
        <v>0</v>
      </c>
      <c r="M50" s="301">
        <f t="shared" si="0"/>
        <v>0</v>
      </c>
      <c r="N50" s="1811"/>
      <c r="Q50" s="1"/>
    </row>
    <row r="51" spans="2:19" s="12" customFormat="1" ht="16.5" customHeight="1" x14ac:dyDescent="0.15">
      <c r="B51" s="331"/>
      <c r="C51" s="1807"/>
      <c r="D51" s="241" t="s">
        <v>158</v>
      </c>
      <c r="E51" s="246" t="str">
        <f>LEFT('ACC9 (Pages 9-11) Assets~Immo'!B126,4)</f>
        <v>1610</v>
      </c>
      <c r="F51" s="1812" t="str">
        <f>'ACC9 (Pages 9-11) Assets~Immo'!C126</f>
        <v>Trophies &amp; Awards</v>
      </c>
      <c r="G51" s="1812"/>
      <c r="H51" s="1812"/>
      <c r="I51" s="1812"/>
      <c r="J51" s="1812"/>
      <c r="K51" s="1812"/>
      <c r="L51" s="304">
        <f>'ACC9 (Pages 9-11) Assets~Immo'!I135</f>
        <v>0</v>
      </c>
      <c r="M51" s="301">
        <f t="shared" si="0"/>
        <v>0</v>
      </c>
      <c r="N51" s="1811"/>
      <c r="Q51" s="1"/>
    </row>
    <row r="52" spans="2:19" s="12" customFormat="1" ht="16.5" customHeight="1" x14ac:dyDescent="0.15">
      <c r="B52" s="333"/>
      <c r="C52" s="1807"/>
      <c r="D52" s="241" t="s">
        <v>159</v>
      </c>
      <c r="E52" s="246" t="str">
        <f>LEFT('ACC9 (Pages 9-11) Assets~Immo'!B137,4)</f>
        <v>1620</v>
      </c>
      <c r="F52" s="1812" t="str">
        <f>'ACC9 (Pages 9-11) Assets~Immo'!C137</f>
        <v>Miscellaneous</v>
      </c>
      <c r="G52" s="1812"/>
      <c r="H52" s="1812"/>
      <c r="I52" s="1812"/>
      <c r="J52" s="1812"/>
      <c r="K52" s="1812"/>
      <c r="L52" s="304">
        <f>'ACC9 (Pages 9-11) Assets~Immo'!I146</f>
        <v>0</v>
      </c>
      <c r="M52" s="301">
        <f t="shared" si="0"/>
        <v>0</v>
      </c>
      <c r="N52" s="1811"/>
      <c r="Q52" s="1"/>
    </row>
    <row r="53" spans="2:19" s="12" customFormat="1" ht="18.75" customHeight="1" x14ac:dyDescent="0.15">
      <c r="B53" s="244"/>
      <c r="C53" s="82"/>
      <c r="D53" s="1813"/>
      <c r="E53" s="313">
        <v>1700</v>
      </c>
      <c r="F53" s="1814" t="str">
        <f>IF(P1=2,"Total Immobilisations - Valeurs de remplacement par catégorie:","Total Fixed Assets - At Replacement Value per category:")</f>
        <v>Total Fixed Assets - At Replacement Value per category:</v>
      </c>
      <c r="G53" s="1814"/>
      <c r="H53" s="1814"/>
      <c r="I53" s="1814"/>
      <c r="J53" s="1814"/>
      <c r="K53" s="1814"/>
      <c r="L53" s="334">
        <f>SUM(L41:L52)</f>
        <v>0</v>
      </c>
      <c r="M53" s="335"/>
      <c r="N53" s="1811"/>
    </row>
    <row r="54" spans="2:19" s="1" customFormat="1" ht="16.5" customHeight="1" x14ac:dyDescent="0.2">
      <c r="D54" s="1813"/>
      <c r="E54" s="336">
        <v>1800</v>
      </c>
      <c r="F54" s="1815" t="str">
        <f>IF(P1=2,"Total Immobilisations - Valeurs nominales de 1$ par catégorie:","Total Fixed Assets - At Nominal $1 Value per category:")</f>
        <v>Total Fixed Assets - At Nominal $1 Value per category:</v>
      </c>
      <c r="G54" s="1815"/>
      <c r="H54" s="1815"/>
      <c r="I54" s="1815"/>
      <c r="J54" s="1815"/>
      <c r="K54" s="1815"/>
      <c r="L54" s="1815"/>
      <c r="M54" s="1815"/>
      <c r="N54" s="316">
        <f>SUM(M41:M52)</f>
        <v>0</v>
      </c>
    </row>
    <row r="55" spans="2:19" s="9" customFormat="1" ht="10.5" customHeight="1" x14ac:dyDescent="0.15">
      <c r="B55" s="196"/>
      <c r="C55" s="196"/>
      <c r="D55" s="196"/>
      <c r="E55" s="196"/>
      <c r="F55" s="196"/>
      <c r="G55" s="196"/>
      <c r="H55" s="196"/>
      <c r="I55" s="196"/>
      <c r="J55" s="196"/>
      <c r="K55" s="196"/>
      <c r="L55" s="196"/>
      <c r="M55" s="196"/>
      <c r="N55" s="196"/>
    </row>
    <row r="56" spans="2:19" s="9" customFormat="1" ht="17.25" customHeight="1" x14ac:dyDescent="0.15">
      <c r="B56" s="1796" t="str">
        <f>IF(P1=2,"1900  - Total de l'actif (Lignes 1100 + 1300 + 1800):","1900 - Total Assets (Line 1100 + 1300 + 1800)")</f>
        <v>1900 - Total Assets (Line 1100 + 1300 + 1800)</v>
      </c>
      <c r="C56" s="1796"/>
      <c r="D56" s="1796"/>
      <c r="E56" s="1796"/>
      <c r="F56" s="1796"/>
      <c r="G56" s="1796"/>
      <c r="H56" s="1796"/>
      <c r="I56" s="1796"/>
      <c r="J56" s="1796"/>
      <c r="K56" s="1796"/>
      <c r="L56" s="1796"/>
      <c r="M56" s="1796"/>
      <c r="N56" s="337">
        <f>N26+N37+N54</f>
        <v>0</v>
      </c>
      <c r="O56" s="338"/>
      <c r="P56" s="1804" t="str">
        <f>IF(P1=2,"Lignes 1900 et 3700 doivent être égales","Lines 1900 and 3700 must be equal")</f>
        <v>Lines 1900 and 3700 must be equal</v>
      </c>
      <c r="Q56" s="339">
        <f>+N56</f>
        <v>0</v>
      </c>
      <c r="S56" s="340"/>
    </row>
    <row r="57" spans="2:19" s="9" customFormat="1" ht="15" customHeight="1" x14ac:dyDescent="0.15">
      <c r="B57" s="323"/>
      <c r="N57" s="371" t="s">
        <v>459</v>
      </c>
      <c r="P57" s="1804"/>
    </row>
    <row r="58" spans="2:19" s="341" customFormat="1" ht="15" customHeight="1" x14ac:dyDescent="0.15">
      <c r="B58" s="1802" t="str">
        <f>IF(P1=2,"PASSIF","LIABILITIES")</f>
        <v>LIABILITIES</v>
      </c>
      <c r="C58" s="1802"/>
      <c r="D58" s="1802"/>
      <c r="E58" s="1802"/>
      <c r="F58" s="1802"/>
      <c r="G58" s="1802"/>
      <c r="H58" s="1802"/>
      <c r="I58" s="1802"/>
      <c r="J58" s="1802"/>
      <c r="K58" s="1802"/>
      <c r="L58" s="1802"/>
      <c r="M58" s="1802"/>
      <c r="N58" s="1802"/>
      <c r="P58" s="1804"/>
    </row>
    <row r="59" spans="2:19" s="9" customFormat="1" ht="16" x14ac:dyDescent="0.15">
      <c r="B59" s="326"/>
      <c r="C59" s="1805" t="str">
        <f>IF(P1=2,"2000 - Passifs à court-terme:","2000 - Current Liabilities:")</f>
        <v>2000 - Current Liabilities:</v>
      </c>
      <c r="D59" s="1805"/>
      <c r="E59" s="1805"/>
      <c r="F59" s="1805"/>
      <c r="G59" s="1805"/>
      <c r="H59" s="1805"/>
      <c r="I59" s="1805"/>
      <c r="J59" s="1805"/>
      <c r="K59" s="1805"/>
      <c r="L59" s="226" t="str">
        <f>IF(P1=2,"L'an passé","Last year")</f>
        <v>Last year</v>
      </c>
      <c r="M59" s="226" t="str">
        <f>IF(P1=2,"Cette année","Current year")</f>
        <v>Current year</v>
      </c>
      <c r="N59" s="1806"/>
      <c r="P59" s="1804"/>
    </row>
    <row r="60" spans="2:19" s="12" customFormat="1" ht="16.5" customHeight="1" x14ac:dyDescent="0.15">
      <c r="B60" s="342"/>
      <c r="C60" s="1807">
        <v>4</v>
      </c>
      <c r="D60" s="241" t="s">
        <v>36</v>
      </c>
      <c r="E60" s="246" t="str">
        <f>LEFT('Set up ~ Config'!F76,4)</f>
        <v>2010</v>
      </c>
      <c r="F60" s="1746" t="str">
        <f>'Set up ~ Config'!G76</f>
        <v>Credit Card</v>
      </c>
      <c r="G60" s="1746"/>
      <c r="H60" s="1746"/>
      <c r="I60" s="1746"/>
      <c r="J60" s="1746"/>
      <c r="K60" s="1746"/>
      <c r="L60" s="304">
        <f>Reconciliation!$G374</f>
        <v>0</v>
      </c>
      <c r="M60" s="301">
        <f>Reconciliation!$G379</f>
        <v>0</v>
      </c>
      <c r="N60" s="1806"/>
      <c r="P60" s="1804"/>
    </row>
    <row r="61" spans="2:19" s="12" customFormat="1" ht="16.5" customHeight="1" x14ac:dyDescent="0.15">
      <c r="B61" s="303"/>
      <c r="C61" s="1807"/>
      <c r="D61" s="241" t="s">
        <v>37</v>
      </c>
      <c r="E61" s="246" t="str">
        <f>LEFT('Set up ~ Config'!F77,4)</f>
        <v>2020</v>
      </c>
      <c r="F61" s="1746" t="str">
        <f>'Set up ~ Config'!G77</f>
        <v>Payables - Short Terms</v>
      </c>
      <c r="G61" s="1746"/>
      <c r="H61" s="1746"/>
      <c r="I61" s="1746"/>
      <c r="J61" s="1746"/>
      <c r="K61" s="1746"/>
      <c r="L61" s="304">
        <f>Reconciliation!$G387</f>
        <v>0</v>
      </c>
      <c r="M61" s="301">
        <f>Reconciliation!$G392</f>
        <v>0</v>
      </c>
      <c r="N61" s="1806"/>
      <c r="P61" s="1804"/>
    </row>
    <row r="62" spans="2:19" s="12" customFormat="1" ht="16.5" customHeight="1" x14ac:dyDescent="0.15">
      <c r="B62" s="303"/>
      <c r="C62" s="1807"/>
      <c r="D62" s="241" t="s">
        <v>150</v>
      </c>
      <c r="E62" s="246" t="str">
        <f>LEFT('Set up ~ Config'!F78,4)</f>
        <v>2030</v>
      </c>
      <c r="F62" s="1722" t="str">
        <f>IF('Set up ~ Config'!$G78="Disponible ~ Available",IF($P$1=2,"Disponible","Available"),'Set up ~ Config'!$G78)</f>
        <v>Available</v>
      </c>
      <c r="G62" s="1722"/>
      <c r="H62" s="1722"/>
      <c r="I62" s="1722"/>
      <c r="J62" s="1722"/>
      <c r="K62" s="1722"/>
      <c r="L62" s="304">
        <f>Reconciliation!$G400</f>
        <v>0</v>
      </c>
      <c r="M62" s="301">
        <f>Reconciliation!$G405</f>
        <v>0</v>
      </c>
      <c r="N62" s="1806"/>
      <c r="P62" s="1804"/>
    </row>
    <row r="63" spans="2:19" s="12" customFormat="1" ht="16.5" customHeight="1" x14ac:dyDescent="0.15">
      <c r="B63" s="303"/>
      <c r="C63" s="1807"/>
      <c r="D63" s="241" t="s">
        <v>151</v>
      </c>
      <c r="E63" s="246" t="str">
        <f>LEFT('Set up ~ Config'!F79,4)</f>
        <v>2040</v>
      </c>
      <c r="F63" s="1722" t="str">
        <f>IF('Set up ~ Config'!$G79="Disponible ~ Available",IF($P$1=2,"Disponible","Available"),'Set up ~ Config'!$G79)</f>
        <v>Available</v>
      </c>
      <c r="G63" s="1722"/>
      <c r="H63" s="1722"/>
      <c r="I63" s="1722"/>
      <c r="J63" s="1722"/>
      <c r="K63" s="1722"/>
      <c r="L63" s="304">
        <f>Reconciliation!$G413</f>
        <v>0</v>
      </c>
      <c r="M63" s="301">
        <f>Reconciliation!$G418</f>
        <v>0</v>
      </c>
      <c r="N63" s="1806"/>
      <c r="P63" s="1804"/>
    </row>
    <row r="64" spans="2:19" s="12" customFormat="1" ht="16.5" customHeight="1" x14ac:dyDescent="0.15">
      <c r="B64" s="303"/>
      <c r="C64" s="1807"/>
      <c r="D64" s="241" t="s">
        <v>152</v>
      </c>
      <c r="E64" s="246" t="str">
        <f>LEFT('Set up ~ Config'!F80,4)</f>
        <v>2050</v>
      </c>
      <c r="F64" s="1722" t="str">
        <f>IF('Set up ~ Config'!$G80="Disponible ~ Available",IF($P$1=2,"Disponible","Available"),'Set up ~ Config'!$G80)</f>
        <v>Available</v>
      </c>
      <c r="G64" s="1722"/>
      <c r="H64" s="1722"/>
      <c r="I64" s="1722"/>
      <c r="J64" s="1722"/>
      <c r="K64" s="1722"/>
      <c r="L64" s="304">
        <f>Reconciliation!$G426</f>
        <v>0</v>
      </c>
      <c r="M64" s="301">
        <f>Reconciliation!$G431</f>
        <v>0</v>
      </c>
      <c r="N64" s="1806"/>
      <c r="P64" s="1804"/>
    </row>
    <row r="65" spans="2:20" s="12" customFormat="1" ht="16.5" customHeight="1" x14ac:dyDescent="0.15">
      <c r="B65" s="303"/>
      <c r="C65" s="1807"/>
      <c r="D65" s="241" t="s">
        <v>153</v>
      </c>
      <c r="E65" s="246" t="str">
        <f>LEFT('Set up ~ Config'!F81,4)</f>
        <v>2060</v>
      </c>
      <c r="F65" s="1722" t="str">
        <f>IF('Set up ~ Config'!$G81="Disponible ~ Available",IF($P$1=2,"Disponible","Available"),'Set up ~ Config'!$G81)</f>
        <v>Available</v>
      </c>
      <c r="G65" s="1722"/>
      <c r="H65" s="1722"/>
      <c r="I65" s="1722"/>
      <c r="J65" s="1722"/>
      <c r="K65" s="1722"/>
      <c r="L65" s="304">
        <f>Reconciliation!$G439</f>
        <v>0</v>
      </c>
      <c r="M65" s="301">
        <f>Reconciliation!$G444</f>
        <v>0</v>
      </c>
      <c r="N65" s="1806"/>
      <c r="P65" s="1804"/>
    </row>
    <row r="66" spans="2:20" s="12" customFormat="1" ht="16.5" customHeight="1" x14ac:dyDescent="0.15">
      <c r="B66" s="303"/>
      <c r="C66" s="1807"/>
      <c r="D66" s="241" t="s">
        <v>154</v>
      </c>
      <c r="E66" s="246" t="str">
        <f>LEFT('Set up ~ Config'!F82,4)</f>
        <v>2070</v>
      </c>
      <c r="F66" s="1722" t="str">
        <f>IF('Set up ~ Config'!$G82="Disponible ~ Available",IF($P$1=2,"Disponible","Available"),'Set up ~ Config'!$G82)</f>
        <v>Available</v>
      </c>
      <c r="G66" s="1722"/>
      <c r="H66" s="1722"/>
      <c r="I66" s="1722"/>
      <c r="J66" s="1722"/>
      <c r="K66" s="1722"/>
      <c r="L66" s="304">
        <f>Reconciliation!$G452</f>
        <v>0</v>
      </c>
      <c r="M66" s="301">
        <f>Reconciliation!$G457</f>
        <v>0</v>
      </c>
      <c r="N66" s="1806"/>
      <c r="P66" s="1804"/>
    </row>
    <row r="67" spans="2:20" s="12" customFormat="1" ht="16.5" customHeight="1" x14ac:dyDescent="0.15">
      <c r="B67" s="303"/>
      <c r="C67" s="1807"/>
      <c r="D67" s="241" t="s">
        <v>155</v>
      </c>
      <c r="E67" s="246" t="str">
        <f>LEFT('Set up ~ Config'!F83,4)</f>
        <v>2080</v>
      </c>
      <c r="F67" s="1722" t="str">
        <f>IF('Set up ~ Config'!$G83="Disponible ~ Available",IF($P$1=2,"Disponible","Available"),'Set up ~ Config'!$G83)</f>
        <v>Available</v>
      </c>
      <c r="G67" s="1722"/>
      <c r="H67" s="1722"/>
      <c r="I67" s="1722"/>
      <c r="J67" s="1722"/>
      <c r="K67" s="1722"/>
      <c r="L67" s="304">
        <f>Reconciliation!$G465</f>
        <v>0</v>
      </c>
      <c r="M67" s="301">
        <f>Reconciliation!$G470</f>
        <v>0</v>
      </c>
      <c r="N67" s="1806"/>
      <c r="P67" s="1804"/>
    </row>
    <row r="68" spans="2:20" s="12" customFormat="1" ht="16.5" customHeight="1" x14ac:dyDescent="0.15">
      <c r="B68" s="303"/>
      <c r="C68" s="1807"/>
      <c r="D68" s="241" t="s">
        <v>156</v>
      </c>
      <c r="E68" s="246" t="str">
        <f>LEFT('Set up ~ Config'!F84,4)</f>
        <v>2090</v>
      </c>
      <c r="F68" s="1722" t="str">
        <f>IF('Set up ~ Config'!$G84="Disponible ~ Available",IF($P$1=2,"Disponible","Available"),'Set up ~ Config'!$G84)</f>
        <v>Available</v>
      </c>
      <c r="G68" s="1722"/>
      <c r="H68" s="1722"/>
      <c r="I68" s="1722"/>
      <c r="J68" s="1722"/>
      <c r="K68" s="1722"/>
      <c r="L68" s="304">
        <f>Reconciliation!$G478</f>
        <v>0</v>
      </c>
      <c r="M68" s="301">
        <f>Reconciliation!$G483</f>
        <v>0</v>
      </c>
      <c r="N68" s="1806"/>
      <c r="P68" s="1804"/>
    </row>
    <row r="69" spans="2:20" s="12" customFormat="1" ht="16.5" customHeight="1" x14ac:dyDescent="0.15">
      <c r="B69" s="344"/>
      <c r="C69" s="345"/>
      <c r="D69" s="346"/>
      <c r="E69" s="347">
        <v>2100</v>
      </c>
      <c r="F69" s="1808" t="str">
        <f>IF(P1=2,"Total du Passif à court-terme:","Total Current Liabilities:")</f>
        <v>Total Current Liabilities:</v>
      </c>
      <c r="G69" s="1808"/>
      <c r="H69" s="1808"/>
      <c r="I69" s="1808"/>
      <c r="J69" s="1808"/>
      <c r="K69" s="1808"/>
      <c r="L69" s="1808"/>
      <c r="M69" s="1808"/>
      <c r="N69" s="316">
        <f>SUM(M60:M68)</f>
        <v>0</v>
      </c>
      <c r="P69" s="1804"/>
    </row>
    <row r="70" spans="2:20" s="12" customFormat="1" ht="14.25" customHeight="1" x14ac:dyDescent="0.15">
      <c r="B70" s="348"/>
      <c r="C70" s="1803" t="str">
        <f>IF(P1=2,"2200 - Passifs à long-terme:","2200 - Long-Term Debts:")</f>
        <v>2200 - Long-Term Debts:</v>
      </c>
      <c r="D70" s="1803"/>
      <c r="E70" s="1803"/>
      <c r="F70" s="1803"/>
      <c r="G70" s="1803"/>
      <c r="H70" s="1803"/>
      <c r="I70" s="1803"/>
      <c r="J70" s="1803"/>
      <c r="K70" s="1803"/>
      <c r="L70" s="226" t="str">
        <f>IF(P1=2,"L'an passé","Last year")</f>
        <v>Last year</v>
      </c>
      <c r="M70" s="226" t="str">
        <f>IF(P1=2,"Cette année","Current year")</f>
        <v>Current year</v>
      </c>
      <c r="N70" s="349"/>
      <c r="P70" s="1804"/>
    </row>
    <row r="71" spans="2:20" s="12" customFormat="1" ht="16.5" customHeight="1" x14ac:dyDescent="0.15">
      <c r="B71" s="299"/>
      <c r="C71" s="1807">
        <v>5</v>
      </c>
      <c r="D71" s="350" t="s">
        <v>36</v>
      </c>
      <c r="E71" s="242" t="str">
        <f>LEFT('Set up ~ Config'!F86,4)</f>
        <v>2210</v>
      </c>
      <c r="F71" s="1809" t="str">
        <f>'Set up ~ Config'!G86</f>
        <v>Mortgage</v>
      </c>
      <c r="G71" s="1809"/>
      <c r="H71" s="1809"/>
      <c r="I71" s="1809"/>
      <c r="J71" s="1809"/>
      <c r="K71" s="1809"/>
      <c r="L71" s="304">
        <f>Reconciliation!$G491</f>
        <v>0</v>
      </c>
      <c r="M71" s="351">
        <f>Reconciliation!$G496</f>
        <v>0</v>
      </c>
      <c r="N71" s="1810"/>
      <c r="P71" s="1804"/>
    </row>
    <row r="72" spans="2:20" s="12" customFormat="1" ht="16.5" customHeight="1" x14ac:dyDescent="0.15">
      <c r="B72" s="303"/>
      <c r="C72" s="1807"/>
      <c r="D72" s="350" t="s">
        <v>36</v>
      </c>
      <c r="E72" s="242" t="str">
        <f>LEFT('Set up ~ Config'!F87,4)</f>
        <v>2220</v>
      </c>
      <c r="F72" s="1809" t="str">
        <f>'Set up ~ Config'!G87</f>
        <v>Bank Loan</v>
      </c>
      <c r="G72" s="1809"/>
      <c r="H72" s="1809"/>
      <c r="I72" s="1809"/>
      <c r="J72" s="1809"/>
      <c r="K72" s="1809"/>
      <c r="L72" s="304">
        <f>Reconciliation!$G504</f>
        <v>0</v>
      </c>
      <c r="M72" s="351">
        <f>Reconciliation!$G509</f>
        <v>0</v>
      </c>
      <c r="N72" s="1810"/>
      <c r="P72" s="1804"/>
    </row>
    <row r="73" spans="2:20" s="12" customFormat="1" ht="16.5" customHeight="1" x14ac:dyDescent="0.15">
      <c r="B73" s="303"/>
      <c r="C73" s="1807"/>
      <c r="D73" s="350" t="s">
        <v>36</v>
      </c>
      <c r="E73" s="242" t="str">
        <f>LEFT('Set up ~ Config'!F88,4)</f>
        <v>2230</v>
      </c>
      <c r="F73" s="1722" t="str">
        <f>IF('Set up ~ Config'!$G88="Disponible ~ Available",IF($P$1=2,"Disponible","Available"),'Set up ~ Config'!$G88)</f>
        <v>Available</v>
      </c>
      <c r="G73" s="1722"/>
      <c r="H73" s="1722"/>
      <c r="I73" s="1722"/>
      <c r="J73" s="1722"/>
      <c r="K73" s="1722"/>
      <c r="L73" s="304">
        <f>Reconciliation!$G517</f>
        <v>0</v>
      </c>
      <c r="M73" s="351">
        <f>Reconciliation!$G522</f>
        <v>0</v>
      </c>
      <c r="N73" s="1810"/>
      <c r="P73" s="1804"/>
    </row>
    <row r="74" spans="2:20" s="12" customFormat="1" ht="16.5" customHeight="1" x14ac:dyDescent="0.15">
      <c r="B74" s="303"/>
      <c r="C74" s="1807"/>
      <c r="D74" s="350" t="s">
        <v>36</v>
      </c>
      <c r="E74" s="242" t="str">
        <f>LEFT('Set up ~ Config'!F89,4)</f>
        <v>2240</v>
      </c>
      <c r="F74" s="1722" t="str">
        <f>IF('Set up ~ Config'!$G89="Disponible ~ Available",IF($P$1=2,"Disponible","Available"),'Set up ~ Config'!$G89)</f>
        <v>Available</v>
      </c>
      <c r="G74" s="1722"/>
      <c r="H74" s="1722"/>
      <c r="I74" s="1722"/>
      <c r="J74" s="1722"/>
      <c r="K74" s="1722"/>
      <c r="L74" s="304">
        <f>Reconciliation!$G530</f>
        <v>0</v>
      </c>
      <c r="M74" s="351">
        <f>Reconciliation!$G535</f>
        <v>0</v>
      </c>
      <c r="N74" s="1810"/>
      <c r="P74" s="1804"/>
    </row>
    <row r="75" spans="2:20" s="12" customFormat="1" ht="16.5" customHeight="1" x14ac:dyDescent="0.15">
      <c r="B75" s="303"/>
      <c r="C75" s="1807"/>
      <c r="D75" s="350" t="s">
        <v>36</v>
      </c>
      <c r="E75" s="242" t="str">
        <f>LEFT('Set up ~ Config'!F90,4)</f>
        <v>2250</v>
      </c>
      <c r="F75" s="1722" t="str">
        <f>IF('Set up ~ Config'!$G90="Disponible ~ Available",IF($P$1=2,"Disponible","Available"),'Set up ~ Config'!$G90)</f>
        <v>Available</v>
      </c>
      <c r="G75" s="1722"/>
      <c r="H75" s="1722"/>
      <c r="I75" s="1722"/>
      <c r="J75" s="1722"/>
      <c r="K75" s="1722"/>
      <c r="L75" s="304">
        <f>Reconciliation!$G543</f>
        <v>0</v>
      </c>
      <c r="M75" s="351">
        <f>Reconciliation!$G548</f>
        <v>0</v>
      </c>
      <c r="N75" s="1810"/>
      <c r="P75" s="1804"/>
    </row>
    <row r="76" spans="2:20" s="12" customFormat="1" ht="16.5" customHeight="1" x14ac:dyDescent="0.15">
      <c r="B76" s="303"/>
      <c r="C76" s="1807"/>
      <c r="D76" s="350" t="s">
        <v>36</v>
      </c>
      <c r="E76" s="242" t="str">
        <f>LEFT('Set up ~ Config'!F91,4)</f>
        <v>2260</v>
      </c>
      <c r="F76" s="1722" t="str">
        <f>IF('Set up ~ Config'!$G91="Disponible ~ Available",IF($P$1=2,"Disponible","Available"),'Set up ~ Config'!$G91)</f>
        <v>Available</v>
      </c>
      <c r="G76" s="1722"/>
      <c r="H76" s="1722"/>
      <c r="I76" s="1722"/>
      <c r="J76" s="1722"/>
      <c r="K76" s="1722"/>
      <c r="L76" s="304">
        <f>Reconciliation!$G556</f>
        <v>0</v>
      </c>
      <c r="M76" s="351">
        <f>Reconciliation!$G561</f>
        <v>0</v>
      </c>
      <c r="N76" s="1810"/>
      <c r="P76" s="1804"/>
    </row>
    <row r="77" spans="2:20" s="12" customFormat="1" ht="16.5" customHeight="1" x14ac:dyDescent="0.15">
      <c r="B77" s="303"/>
      <c r="C77" s="1807"/>
      <c r="D77" s="350" t="s">
        <v>36</v>
      </c>
      <c r="E77" s="242" t="str">
        <f>LEFT('Set up ~ Config'!F92,4)</f>
        <v>2270</v>
      </c>
      <c r="F77" s="1722" t="str">
        <f>IF('Set up ~ Config'!$G92="Disponible ~ Available",IF($P$1=2,"Disponible","Available"),'Set up ~ Config'!$G92)</f>
        <v>Available</v>
      </c>
      <c r="G77" s="1722"/>
      <c r="H77" s="1722"/>
      <c r="I77" s="1722"/>
      <c r="J77" s="1722"/>
      <c r="K77" s="1722"/>
      <c r="L77" s="304">
        <f>Reconciliation!$G569</f>
        <v>0</v>
      </c>
      <c r="M77" s="351">
        <f>Reconciliation!$G574</f>
        <v>0</v>
      </c>
      <c r="N77" s="1810"/>
      <c r="P77" s="1804"/>
    </row>
    <row r="78" spans="2:20" s="12" customFormat="1" ht="16.5" customHeight="1" x14ac:dyDescent="0.15">
      <c r="B78" s="303"/>
      <c r="C78" s="1807"/>
      <c r="D78" s="352" t="s">
        <v>37</v>
      </c>
      <c r="E78" s="242" t="str">
        <f>LEFT('Set up ~ Config'!F93,4)</f>
        <v>2280</v>
      </c>
      <c r="F78" s="1722" t="str">
        <f>IF('Set up ~ Config'!$G93="Disponible ~ Available",IF($P$1=2,"Disponible","Available"),'Set up ~ Config'!$G93)</f>
        <v>Available</v>
      </c>
      <c r="G78" s="1722"/>
      <c r="H78" s="1722"/>
      <c r="I78" s="1722"/>
      <c r="J78" s="1722"/>
      <c r="K78" s="1722"/>
      <c r="L78" s="304">
        <f>Reconciliation!$G582</f>
        <v>0</v>
      </c>
      <c r="M78" s="351">
        <f>Reconciliation!$G587</f>
        <v>0</v>
      </c>
      <c r="N78" s="1810"/>
      <c r="P78" s="1804"/>
      <c r="Q78" s="1797" t="str">
        <f>IF($P$1=2,"Différence","Difference")</f>
        <v>Difference</v>
      </c>
      <c r="R78" s="1798" t="str">
        <f>IF($P$1=2,IF($Q$80=0,"&lt;--- L'ACC9 est équilibré","&lt;--- L'ACC9 n'est pas équilibré"),IF($Q$80=0,"&lt;--- ACC9 is balanced","&lt;--- ACC9 is not balanced"))</f>
        <v>&lt;--- ACC9 is balanced</v>
      </c>
      <c r="S78" s="1798"/>
      <c r="T78" s="1798"/>
    </row>
    <row r="79" spans="2:20" s="12" customFormat="1" ht="16.5" customHeight="1" x14ac:dyDescent="0.15">
      <c r="B79" s="343"/>
      <c r="C79" s="1807"/>
      <c r="D79" s="352" t="s">
        <v>150</v>
      </c>
      <c r="E79" s="242" t="str">
        <f>LEFT('Set up ~ Config'!F94,4)</f>
        <v>2290</v>
      </c>
      <c r="F79" s="1722" t="str">
        <f>IF('Set up ~ Config'!$G94="Disponible ~ Available",IF($P$1=2,"Disponible","Available"),'Set up ~ Config'!$G94)</f>
        <v>Available</v>
      </c>
      <c r="G79" s="1722"/>
      <c r="H79" s="1722"/>
      <c r="I79" s="1722"/>
      <c r="J79" s="1722"/>
      <c r="K79" s="1722"/>
      <c r="L79" s="304">
        <f>Reconciliation!$G595</f>
        <v>0</v>
      </c>
      <c r="M79" s="351">
        <f>Reconciliation!$G600</f>
        <v>0</v>
      </c>
      <c r="N79" s="1810"/>
      <c r="P79" s="1804"/>
      <c r="Q79" s="1797"/>
      <c r="R79" s="1798"/>
      <c r="S79" s="1798"/>
      <c r="T79" s="1798"/>
    </row>
    <row r="80" spans="2:20" s="12" customFormat="1" ht="16.5" customHeight="1" x14ac:dyDescent="0.15">
      <c r="B80" s="25"/>
      <c r="D80" s="241"/>
      <c r="E80" s="313">
        <v>2300</v>
      </c>
      <c r="F80" s="1799" t="str">
        <f>IF(P1=2,"Total du Passif à long-terme:","Total Long-Term Debts:")</f>
        <v>Total Long-Term Debts:</v>
      </c>
      <c r="G80" s="1799"/>
      <c r="H80" s="1799"/>
      <c r="I80" s="1799"/>
      <c r="J80" s="1799"/>
      <c r="K80" s="1799"/>
      <c r="L80" s="1799"/>
      <c r="M80" s="1799"/>
      <c r="N80" s="316">
        <f>+SUM(M71:M79)</f>
        <v>0</v>
      </c>
      <c r="P80" s="1804"/>
      <c r="Q80" s="1800">
        <f>+Q56-Q91</f>
        <v>0</v>
      </c>
      <c r="R80" s="1798"/>
      <c r="S80" s="1798"/>
      <c r="T80" s="1798"/>
    </row>
    <row r="81" spans="2:35" s="12" customFormat="1" ht="17.25" customHeight="1" x14ac:dyDescent="0.15">
      <c r="B81" s="1795" t="str">
        <f>IF(P1=2,"2400 - Total du passif","2400 - Total Liabilities")</f>
        <v>2400 - Total Liabilities</v>
      </c>
      <c r="C81" s="1795"/>
      <c r="D81" s="1795"/>
      <c r="E81" s="1795"/>
      <c r="F81" s="1795"/>
      <c r="G81" s="1795"/>
      <c r="H81" s="1795"/>
      <c r="I81" s="1795"/>
      <c r="J81" s="1795"/>
      <c r="K81" s="1795"/>
      <c r="L81" s="1795"/>
      <c r="M81" s="1795"/>
      <c r="N81" s="269">
        <f>N80+N69</f>
        <v>0</v>
      </c>
      <c r="P81" s="1804"/>
      <c r="Q81" s="1800"/>
      <c r="R81" s="1798"/>
      <c r="S81" s="1798"/>
      <c r="T81" s="1798"/>
      <c r="U81" s="188"/>
      <c r="W81" s="191">
        <f>'Set up ~ Config'!I20</f>
        <v>0</v>
      </c>
    </row>
    <row r="82" spans="2:35" s="12" customFormat="1" ht="15" customHeight="1" x14ac:dyDescent="0.15">
      <c r="B82" s="353"/>
      <c r="C82" s="353"/>
      <c r="D82" s="353"/>
      <c r="E82" s="353"/>
      <c r="F82" s="353"/>
      <c r="G82" s="353"/>
      <c r="H82" s="353"/>
      <c r="I82" s="353"/>
      <c r="J82" s="353"/>
      <c r="K82" s="353"/>
      <c r="L82" s="353"/>
      <c r="M82" s="353"/>
      <c r="N82" s="354"/>
      <c r="P82" s="1804"/>
      <c r="R82" s="1801"/>
      <c r="S82" s="1801"/>
      <c r="T82" s="1801"/>
    </row>
    <row r="83" spans="2:35" s="7" customFormat="1" ht="15" customHeight="1" x14ac:dyDescent="0.15">
      <c r="B83" s="1802" t="str">
        <f>IF(P1=2,"AVOIR","EQUITY")</f>
        <v>EQUITY</v>
      </c>
      <c r="C83" s="1802"/>
      <c r="D83" s="1802"/>
      <c r="E83" s="1802"/>
      <c r="F83" s="1802"/>
      <c r="G83" s="1802"/>
      <c r="H83" s="1802"/>
      <c r="I83" s="1802"/>
      <c r="J83" s="1802"/>
      <c r="K83" s="1802"/>
      <c r="L83" s="1802"/>
      <c r="M83" s="1802"/>
      <c r="N83" s="1802"/>
      <c r="P83" s="1804"/>
      <c r="R83" s="1801"/>
      <c r="S83" s="1801"/>
      <c r="T83" s="1801"/>
    </row>
    <row r="84" spans="2:35" s="9" customFormat="1" ht="17.25" customHeight="1" x14ac:dyDescent="0.15">
      <c r="B84" s="355"/>
      <c r="C84" s="1803" t="str">
        <f>IF(P1=2,"3000 - Avoir","3000 - Equity")</f>
        <v>3000 - Equity</v>
      </c>
      <c r="D84" s="1803"/>
      <c r="E84" s="1803"/>
      <c r="F84" s="1803"/>
      <c r="G84" s="1803"/>
      <c r="H84" s="1803"/>
      <c r="I84" s="1803"/>
      <c r="J84" s="1803"/>
      <c r="K84" s="1803"/>
      <c r="L84" s="226" t="str">
        <f>IF(P1=2,"L'an passé","Last year")</f>
        <v>Last year</v>
      </c>
      <c r="M84" s="226" t="str">
        <f>IF(P1=2,"Cette année","Current year")</f>
        <v>Current year</v>
      </c>
      <c r="N84" s="188"/>
      <c r="P84" s="1804"/>
      <c r="R84" s="1801"/>
      <c r="S84" s="1801"/>
      <c r="T84" s="1801"/>
      <c r="W84" s="1790" t="str">
        <f>IF(P1="EN",W93&amp;" "&amp;'Set up ~ Config'!G20&amp;" "&amp;W94&amp;" "&amp;W91&amp;" ","")</f>
        <v/>
      </c>
      <c r="X84" s="1790"/>
      <c r="Y84" s="1790"/>
      <c r="Z84" s="1790"/>
      <c r="AA84" s="1790"/>
      <c r="AB84" s="1790"/>
      <c r="AC84" s="1790"/>
      <c r="AD84" s="1790"/>
      <c r="AE84" s="1790"/>
      <c r="AF84" s="1790"/>
      <c r="AG84" s="1790"/>
      <c r="AH84" s="1790"/>
      <c r="AI84" s="1790"/>
    </row>
    <row r="85" spans="2:35" s="9" customFormat="1" ht="22.5" customHeight="1" x14ac:dyDescent="0.15">
      <c r="B85" s="356"/>
      <c r="C85" s="1666">
        <v>6</v>
      </c>
      <c r="D85" s="241" t="s">
        <v>36</v>
      </c>
      <c r="E85" s="246">
        <v>3100</v>
      </c>
      <c r="F85" s="1729" t="str">
        <f>IF(P1=2,"Gains non répartis","Retained Earnings")</f>
        <v>Retained Earnings</v>
      </c>
      <c r="G85" s="1729"/>
      <c r="H85" s="1729"/>
      <c r="I85" s="1729"/>
      <c r="J85" s="1729"/>
      <c r="K85" s="1729"/>
      <c r="L85" s="357">
        <f>'Set up ~ Config'!G99</f>
        <v>0</v>
      </c>
      <c r="M85" s="358">
        <f>+L88</f>
        <v>0</v>
      </c>
      <c r="N85" s="1791"/>
      <c r="P85" s="1804"/>
      <c r="R85" s="1801"/>
      <c r="S85" s="1801"/>
      <c r="T85" s="1801"/>
      <c r="W85" s="1790"/>
      <c r="X85" s="1790"/>
      <c r="Y85" s="1790"/>
      <c r="Z85" s="1790"/>
      <c r="AA85" s="1790"/>
      <c r="AB85" s="1790"/>
      <c r="AC85" s="1790"/>
      <c r="AD85" s="1790"/>
      <c r="AE85" s="1790"/>
      <c r="AF85" s="1790"/>
      <c r="AG85" s="1790"/>
      <c r="AH85" s="1790"/>
      <c r="AI85" s="1790"/>
    </row>
    <row r="86" spans="2:35" s="9" customFormat="1" ht="22.5" customHeight="1" x14ac:dyDescent="0.15">
      <c r="B86" s="360"/>
      <c r="C86" s="1666"/>
      <c r="D86" s="241" t="s">
        <v>37</v>
      </c>
      <c r="E86" s="246">
        <v>3110</v>
      </c>
      <c r="F86" s="1792" t="str">
        <f>IF(P1=2,"Surplus nets / (Déficit net)","Net Surplus / Net Deficit)")</f>
        <v>Net Surplus / Net Deficit)</v>
      </c>
      <c r="G86" s="1792"/>
      <c r="H86" s="1792"/>
      <c r="I86" s="1792"/>
      <c r="J86" s="1792"/>
      <c r="K86" s="1792"/>
      <c r="L86" s="361">
        <f>'Set up ~ Config'!G100</f>
        <v>0</v>
      </c>
      <c r="M86" s="358">
        <f>+'ACC9 (Pages 4-5-6) Exp~Dép'!K120</f>
        <v>0</v>
      </c>
      <c r="N86" s="1791"/>
      <c r="P86" s="1804"/>
      <c r="R86" s="1801"/>
      <c r="S86" s="1801"/>
      <c r="T86" s="1801"/>
      <c r="W86" s="1790"/>
      <c r="X86" s="1790"/>
      <c r="Y86" s="1790"/>
      <c r="Z86" s="1790"/>
      <c r="AA86" s="1790"/>
      <c r="AB86" s="1790"/>
      <c r="AC86" s="1790"/>
      <c r="AD86" s="1790"/>
      <c r="AE86" s="1790"/>
      <c r="AF86" s="1790"/>
      <c r="AG86" s="1790"/>
      <c r="AH86" s="1790"/>
      <c r="AI86" s="1790"/>
    </row>
    <row r="87" spans="2:35" s="9" customFormat="1" ht="22.5" customHeight="1" x14ac:dyDescent="0.15">
      <c r="B87" s="362"/>
      <c r="C87" s="1666"/>
      <c r="D87" s="241" t="s">
        <v>150</v>
      </c>
      <c r="E87" s="246" t="s">
        <v>160</v>
      </c>
      <c r="F87" s="1793" t="str">
        <f>IF(P1=2,"Ajustement","Adjustment")</f>
        <v>Adjustment</v>
      </c>
      <c r="G87" s="1793"/>
      <c r="H87" s="1793"/>
      <c r="I87" s="1793"/>
      <c r="J87" s="1793"/>
      <c r="K87" s="1793"/>
      <c r="L87" s="363">
        <f>'Set up ~ Config'!G102</f>
        <v>0</v>
      </c>
      <c r="M87" s="364"/>
      <c r="N87" s="359"/>
      <c r="P87" s="1804"/>
      <c r="R87" s="1801"/>
      <c r="S87" s="1801"/>
      <c r="T87" s="1801"/>
      <c r="W87" s="1790"/>
      <c r="X87" s="1790"/>
      <c r="Y87" s="1790"/>
      <c r="Z87" s="1790"/>
      <c r="AA87" s="1790"/>
      <c r="AB87" s="1790"/>
      <c r="AC87" s="1790"/>
      <c r="AD87" s="1790"/>
      <c r="AE87" s="1790"/>
      <c r="AF87" s="1790"/>
      <c r="AG87" s="1790"/>
      <c r="AH87" s="1790"/>
      <c r="AI87" s="1790"/>
    </row>
    <row r="88" spans="2:35" s="9" customFormat="1" ht="22.5" customHeight="1" x14ac:dyDescent="0.15">
      <c r="B88" s="323"/>
      <c r="C88" s="12"/>
      <c r="D88" s="246"/>
      <c r="E88" s="313">
        <v>3200</v>
      </c>
      <c r="F88" s="1794" t="str">
        <f>IF(P1=2,"Total de l'avoir (3100 + 3110+Ajustement)","Total Equity (3100 + 3110+Adjustment)")</f>
        <v>Total Equity (3100 + 3110+Adjustment)</v>
      </c>
      <c r="G88" s="1794"/>
      <c r="H88" s="1794"/>
      <c r="I88" s="1794"/>
      <c r="J88" s="1794"/>
      <c r="K88" s="1794"/>
      <c r="L88" s="365">
        <f>+SUM(L85:L87)</f>
        <v>0</v>
      </c>
      <c r="M88" s="366">
        <f>SUM(M85:M87)</f>
        <v>0</v>
      </c>
      <c r="N88" s="354"/>
      <c r="P88" s="1804"/>
      <c r="Q88" s="367"/>
      <c r="W88" s="1790"/>
      <c r="X88" s="1790"/>
      <c r="Y88" s="1790"/>
      <c r="Z88" s="1790"/>
      <c r="AA88" s="1790"/>
      <c r="AB88" s="1790"/>
      <c r="AC88" s="1790"/>
      <c r="AD88" s="1790"/>
      <c r="AE88" s="1790"/>
      <c r="AF88" s="1790"/>
      <c r="AG88" s="1790"/>
      <c r="AH88" s="1790"/>
      <c r="AI88" s="1790"/>
    </row>
    <row r="89" spans="2:35" s="9" customFormat="1" ht="15" customHeight="1" x14ac:dyDescent="0.15">
      <c r="B89" s="1795" t="str">
        <f>IF(P1=2,"3400 - Total de l'avoir","3400 - Total Equity")</f>
        <v>3400 - Total Equity</v>
      </c>
      <c r="C89" s="1795"/>
      <c r="D89" s="1795"/>
      <c r="E89" s="1795"/>
      <c r="F89" s="1795"/>
      <c r="G89" s="1795"/>
      <c r="H89" s="1795"/>
      <c r="I89" s="1795"/>
      <c r="J89" s="1795"/>
      <c r="K89" s="1795"/>
      <c r="L89" s="1795"/>
      <c r="M89" s="1795"/>
      <c r="N89" s="269">
        <f>M88</f>
        <v>0</v>
      </c>
      <c r="P89" s="1804"/>
      <c r="W89" s="368"/>
      <c r="X89" s="368"/>
      <c r="Y89" s="368"/>
      <c r="Z89" s="368"/>
      <c r="AA89" s="368"/>
      <c r="AB89" s="368"/>
      <c r="AC89" s="368"/>
      <c r="AD89" s="368"/>
      <c r="AE89" s="368"/>
      <c r="AF89" s="368"/>
      <c r="AG89" s="368"/>
      <c r="AH89" s="368"/>
      <c r="AI89" s="368"/>
    </row>
    <row r="90" spans="2:35" s="9" customFormat="1" ht="14.25" customHeight="1" x14ac:dyDescent="0.15">
      <c r="B90" s="323"/>
      <c r="N90" s="16"/>
      <c r="P90" s="1804"/>
      <c r="W90" s="368"/>
      <c r="X90" s="368"/>
      <c r="Y90" s="368"/>
      <c r="Z90" s="368"/>
      <c r="AA90" s="368"/>
      <c r="AB90" s="368"/>
      <c r="AC90" s="368"/>
      <c r="AD90" s="368"/>
      <c r="AE90" s="368"/>
      <c r="AF90" s="368"/>
      <c r="AG90" s="368"/>
      <c r="AH90" s="368"/>
      <c r="AI90" s="368"/>
    </row>
    <row r="91" spans="2:35" s="9" customFormat="1" ht="17.25" customHeight="1" x14ac:dyDescent="0.15">
      <c r="B91" s="1796" t="str">
        <f>IF(P1=2,"3700 - Total du passif et de l'avoir (Ligne 2400 + 3400)","3700 - Total Liabilities and Equity (Line 2400 + 3400)")</f>
        <v>3700 - Total Liabilities and Equity (Line 2400 + 3400)</v>
      </c>
      <c r="C91" s="1796"/>
      <c r="D91" s="1796"/>
      <c r="E91" s="1796"/>
      <c r="F91" s="1796"/>
      <c r="G91" s="1796"/>
      <c r="H91" s="1796"/>
      <c r="I91" s="1796"/>
      <c r="J91" s="1796"/>
      <c r="K91" s="1796"/>
      <c r="L91" s="1796"/>
      <c r="M91" s="1796"/>
      <c r="N91" s="337">
        <f>N81+N89</f>
        <v>0</v>
      </c>
      <c r="O91" s="338"/>
      <c r="P91" s="1804"/>
      <c r="Q91" s="339">
        <f>+N91</f>
        <v>0</v>
      </c>
      <c r="W91" s="1766" t="s">
        <v>161</v>
      </c>
      <c r="X91" s="1766"/>
      <c r="Y91" s="1766"/>
      <c r="Z91" s="1766"/>
      <c r="AA91" s="1766"/>
      <c r="AB91" s="1766"/>
      <c r="AC91" s="1766"/>
      <c r="AD91" s="1766"/>
      <c r="AE91" s="1766"/>
      <c r="AF91" s="1766"/>
      <c r="AG91" s="1766"/>
      <c r="AH91" s="1766"/>
      <c r="AI91" s="1766"/>
    </row>
    <row r="92" spans="2:35" s="9" customFormat="1" ht="11.25" customHeight="1" x14ac:dyDescent="0.15">
      <c r="B92" s="1782"/>
      <c r="C92" s="1782"/>
      <c r="D92" s="1782"/>
      <c r="E92" s="1782"/>
      <c r="F92" s="1782"/>
      <c r="G92" s="1782"/>
      <c r="H92" s="1782"/>
      <c r="I92" s="1782"/>
      <c r="J92" s="1782"/>
      <c r="K92" s="1782"/>
      <c r="L92" s="1782"/>
      <c r="M92" s="1782"/>
      <c r="N92" s="1782"/>
      <c r="Q92" s="1783"/>
      <c r="R92" s="1783"/>
      <c r="S92" s="1783"/>
      <c r="T92" s="1783"/>
      <c r="U92" s="1783"/>
      <c r="W92" s="368"/>
      <c r="X92" s="368"/>
      <c r="Y92" s="368"/>
      <c r="Z92" s="368"/>
      <c r="AA92" s="368"/>
      <c r="AB92" s="368"/>
      <c r="AC92" s="368"/>
      <c r="AD92" s="368"/>
      <c r="AE92" s="368"/>
      <c r="AF92" s="368"/>
      <c r="AG92" s="368"/>
      <c r="AH92" s="368"/>
      <c r="AI92" s="368"/>
    </row>
    <row r="93" spans="2:35" s="9" customFormat="1" ht="83.25" customHeight="1" x14ac:dyDescent="0.15">
      <c r="B93" s="1784" t="str">
        <f>W101</f>
        <v>This ACC9 has been prepared by 0. 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v>
      </c>
      <c r="C93" s="1784"/>
      <c r="D93" s="1784"/>
      <c r="E93" s="1784"/>
      <c r="F93" s="1784"/>
      <c r="G93" s="1784"/>
      <c r="H93" s="1784"/>
      <c r="I93" s="1784"/>
      <c r="J93" s="1784"/>
      <c r="K93" s="1784"/>
      <c r="L93" s="1784"/>
      <c r="M93" s="1784"/>
      <c r="N93" s="1784"/>
      <c r="Q93" s="1783"/>
      <c r="R93" s="1783"/>
      <c r="S93" s="1783"/>
      <c r="T93" s="1783"/>
      <c r="U93" s="1783"/>
      <c r="W93" s="1785" t="s">
        <v>162</v>
      </c>
      <c r="X93" s="1785"/>
      <c r="Y93" s="1785"/>
      <c r="Z93" s="1785"/>
      <c r="AA93" s="1785"/>
      <c r="AB93" s="1785"/>
      <c r="AC93" s="1785"/>
      <c r="AD93" s="1785"/>
      <c r="AE93" s="1785"/>
      <c r="AF93" s="1785"/>
      <c r="AG93" s="1785"/>
      <c r="AH93" s="1785"/>
      <c r="AI93" s="1785"/>
    </row>
    <row r="94" spans="2:35" s="198" customFormat="1" ht="15" customHeight="1" x14ac:dyDescent="0.15">
      <c r="B94" s="1786"/>
      <c r="C94" s="1786"/>
      <c r="D94" s="1786"/>
      <c r="E94" s="1787" t="str">
        <f>IF(P1=2,"Commandant","Commanding Officer")</f>
        <v>Commanding Officer</v>
      </c>
      <c r="F94" s="1787"/>
      <c r="G94" s="1787"/>
      <c r="H94" s="1787"/>
      <c r="I94" s="1787"/>
      <c r="J94" s="1788" t="str">
        <f>IF(P1=2,"Comité Répondant d'escadron (CRE)","Squadron Sponsoring Committee")</f>
        <v>Squadron Sponsoring Committee</v>
      </c>
      <c r="K94" s="1788"/>
      <c r="L94" s="1788"/>
      <c r="M94" s="1788"/>
      <c r="N94" s="1788"/>
      <c r="W94" s="369" t="s">
        <v>163</v>
      </c>
      <c r="X94" s="197"/>
      <c r="Y94" s="197"/>
      <c r="Z94" s="197"/>
      <c r="AA94" s="197"/>
      <c r="AB94" s="197"/>
      <c r="AC94" s="197"/>
      <c r="AD94" s="197"/>
      <c r="AE94" s="197"/>
      <c r="AF94" s="197"/>
      <c r="AG94" s="197"/>
      <c r="AH94" s="197"/>
      <c r="AI94" s="197"/>
    </row>
    <row r="95" spans="2:35" s="198" customFormat="1" ht="15.75" customHeight="1" x14ac:dyDescent="0.15">
      <c r="B95" s="1786"/>
      <c r="C95" s="1786"/>
      <c r="D95" s="1786"/>
      <c r="E95" s="1787"/>
      <c r="F95" s="1787"/>
      <c r="G95" s="1787"/>
      <c r="H95" s="1787"/>
      <c r="I95" s="1787"/>
      <c r="J95" s="1789" t="str">
        <f>IF(P1=2,"Président(e)","Chairperson")</f>
        <v>Chairperson</v>
      </c>
      <c r="K95" s="1789"/>
      <c r="L95" s="1777" t="str">
        <f>IF(P1=2,"Trésorier(ière)","Treasurer")</f>
        <v>Treasurer</v>
      </c>
      <c r="M95" s="1777"/>
      <c r="N95" s="1777"/>
      <c r="X95" s="370" t="s">
        <v>164</v>
      </c>
    </row>
    <row r="96" spans="2:35" s="9" customFormat="1" ht="67" customHeight="1" x14ac:dyDescent="0.15">
      <c r="B96" s="1770" t="s">
        <v>165</v>
      </c>
      <c r="C96" s="1770"/>
      <c r="D96" s="1770"/>
      <c r="E96" s="1771"/>
      <c r="F96" s="1771"/>
      <c r="G96" s="1771"/>
      <c r="H96" s="1771"/>
      <c r="I96" s="1771"/>
      <c r="J96" s="1772"/>
      <c r="K96" s="1772"/>
      <c r="L96" s="1773"/>
      <c r="M96" s="1773"/>
      <c r="N96" s="1773"/>
      <c r="X96" s="20" t="s">
        <v>166</v>
      </c>
    </row>
    <row r="97" spans="2:35" s="9" customFormat="1" ht="18" customHeight="1" x14ac:dyDescent="0.15">
      <c r="B97" s="1770" t="str">
        <f>IF(P1=2,"Nom imprimé:","Print Name:")</f>
        <v>Print Name:</v>
      </c>
      <c r="C97" s="1770"/>
      <c r="D97" s="1770"/>
      <c r="E97" s="1774">
        <f>'Set up ~ Config'!H14</f>
        <v>0</v>
      </c>
      <c r="F97" s="1774"/>
      <c r="G97" s="1774"/>
      <c r="H97" s="1774"/>
      <c r="I97" s="1774"/>
      <c r="J97" s="1775">
        <f>'Set up ~ Config'!C15</f>
        <v>0</v>
      </c>
      <c r="K97" s="1775"/>
      <c r="L97" s="1776">
        <f>'Set up ~ Config'!I20</f>
        <v>0</v>
      </c>
      <c r="M97" s="1777"/>
      <c r="N97" s="1777"/>
      <c r="X97" s="9" t="e">
        <f>IF(P1=2,"pour l'exercice terminée le "&amp;EndOfYear,"For Year End "&amp;EndOfYear)</f>
        <v>#REF!</v>
      </c>
    </row>
    <row r="98" spans="2:35" s="9" customFormat="1" ht="16.5" customHeight="1" x14ac:dyDescent="0.15">
      <c r="B98" s="1778" t="s">
        <v>136</v>
      </c>
      <c r="C98" s="1778"/>
      <c r="D98" s="1778"/>
      <c r="E98" s="1779">
        <f ca="1">TODAY()</f>
        <v>45882</v>
      </c>
      <c r="F98" s="1779"/>
      <c r="G98" s="1779"/>
      <c r="H98" s="1779"/>
      <c r="I98" s="1779"/>
      <c r="J98" s="1780">
        <f ca="1">TODAY()</f>
        <v>45882</v>
      </c>
      <c r="K98" s="1780"/>
      <c r="L98" s="1781">
        <f ca="1">TODAY()</f>
        <v>45882</v>
      </c>
      <c r="M98" s="1781"/>
      <c r="N98" s="1781"/>
      <c r="Q98" s="1765"/>
      <c r="R98" s="1765"/>
      <c r="S98" s="1765"/>
      <c r="T98" s="1765"/>
      <c r="U98" s="1765"/>
      <c r="W98" s="1766" t="s">
        <v>167</v>
      </c>
      <c r="X98" s="1766"/>
      <c r="Y98" s="1766"/>
      <c r="Z98" s="1766"/>
      <c r="AA98" s="1766"/>
      <c r="AB98" s="1766"/>
      <c r="AC98" s="1766"/>
      <c r="AD98" s="1766"/>
      <c r="AE98" s="1766"/>
      <c r="AF98" s="1766"/>
      <c r="AG98" s="1766"/>
      <c r="AH98" s="1766"/>
      <c r="AI98" s="1766"/>
    </row>
    <row r="99" spans="2:35" s="9" customFormat="1" ht="16.5" customHeight="1" x14ac:dyDescent="0.15">
      <c r="B99" s="1767"/>
      <c r="C99" s="1767"/>
      <c r="D99" s="1767"/>
      <c r="E99" s="1767"/>
      <c r="F99" s="1767"/>
      <c r="G99" s="1767"/>
      <c r="H99" s="1767"/>
      <c r="N99" s="371" t="s">
        <v>458</v>
      </c>
      <c r="Q99" s="1765"/>
      <c r="R99" s="1765"/>
      <c r="S99" s="1765"/>
      <c r="T99" s="1765"/>
      <c r="U99" s="1765"/>
      <c r="W99" s="1766" t="s">
        <v>168</v>
      </c>
      <c r="X99" s="1766"/>
      <c r="Y99" s="1766"/>
      <c r="Z99" s="1766"/>
      <c r="AA99" s="1766"/>
      <c r="AB99" s="1766"/>
      <c r="AC99" s="1766"/>
      <c r="AD99" s="1766"/>
      <c r="AE99" s="1766"/>
      <c r="AF99" s="1766"/>
      <c r="AG99" s="1766"/>
      <c r="AH99" s="1766"/>
      <c r="AI99" s="1766"/>
    </row>
    <row r="100" spans="2:35" s="9" customFormat="1" ht="15" customHeight="1" x14ac:dyDescent="0.15">
      <c r="B100" s="323"/>
      <c r="Q100" s="1768"/>
      <c r="R100" s="1768"/>
      <c r="S100" s="1768"/>
      <c r="T100" s="1768"/>
      <c r="U100" s="1768"/>
      <c r="W100" s="1766" t="s">
        <v>561</v>
      </c>
      <c r="X100" s="1766"/>
      <c r="Y100" s="1766"/>
      <c r="Z100" s="1766"/>
      <c r="AA100" s="1766"/>
      <c r="AB100" s="1766"/>
      <c r="AC100" s="1766"/>
      <c r="AD100" s="1766"/>
      <c r="AE100" s="1766"/>
      <c r="AF100" s="1766"/>
      <c r="AG100" s="1766"/>
      <c r="AH100" s="1766"/>
      <c r="AI100" s="1766"/>
    </row>
    <row r="101" spans="2:35" s="9" customFormat="1" ht="15" customHeight="1" x14ac:dyDescent="0.15">
      <c r="B101" s="323"/>
      <c r="Q101" s="1768"/>
      <c r="R101" s="1768"/>
      <c r="S101" s="1768"/>
      <c r="T101" s="1768"/>
      <c r="U101" s="1768"/>
      <c r="W101" s="1766" t="str">
        <f>IF(P1=2,W98&amp;" "&amp;W81&amp;" "&amp;W100&amp;W99,W93&amp;" "&amp;W81&amp;"."&amp;" "&amp;W91)</f>
        <v>This ACC9 has been prepared by 0. It accurately reports the Sponsoring Committee's Financial position on this statement's date.  We confirm due diligence has been exercised in maintaining appropriate accounting of revenues, expenses, and control of all monies in conformity to ACL rules and procedures. No audit was performed and consequently no auditor's opinion is expressed on these financial statements. Note that the CO signs as having been apprised of the contents of the ACC-9 and having on the surface no reservation about its content.</v>
      </c>
      <c r="X101" s="1766"/>
      <c r="Y101" s="1766"/>
      <c r="Z101" s="1766"/>
      <c r="AA101" s="1766"/>
      <c r="AB101" s="1766"/>
      <c r="AC101" s="1766"/>
      <c r="AD101" s="1766"/>
      <c r="AE101" s="1766"/>
      <c r="AF101" s="1766"/>
      <c r="AG101" s="1766"/>
      <c r="AH101" s="1766"/>
      <c r="AI101" s="1766"/>
    </row>
    <row r="102" spans="2:35" s="9" customFormat="1" ht="15" customHeight="1" x14ac:dyDescent="0.15">
      <c r="B102" s="323"/>
      <c r="G102" s="1769"/>
      <c r="H102" s="1769"/>
      <c r="I102" s="1769"/>
      <c r="J102" s="1769"/>
      <c r="K102" s="1769"/>
      <c r="L102" s="1769"/>
      <c r="M102" s="1769"/>
      <c r="Q102" s="1768"/>
      <c r="R102" s="1768"/>
      <c r="S102" s="1768"/>
      <c r="T102" s="1768"/>
      <c r="U102" s="1768"/>
      <c r="W102" s="1766"/>
      <c r="X102" s="1766"/>
      <c r="Y102" s="1766"/>
      <c r="Z102" s="1766"/>
      <c r="AA102" s="1766"/>
      <c r="AB102" s="1766"/>
      <c r="AC102" s="1766"/>
      <c r="AD102" s="1766"/>
      <c r="AE102" s="1766"/>
      <c r="AF102" s="1766"/>
      <c r="AG102" s="1766"/>
      <c r="AH102" s="1766"/>
      <c r="AI102" s="1766"/>
    </row>
    <row r="103" spans="2:35" s="9" customFormat="1" ht="40.5" customHeight="1" x14ac:dyDescent="0.15">
      <c r="B103" s="323"/>
      <c r="G103" s="1769"/>
      <c r="H103" s="1769"/>
      <c r="I103" s="1769"/>
      <c r="J103" s="1769"/>
      <c r="K103" s="1769"/>
      <c r="L103" s="1769"/>
      <c r="M103" s="1769"/>
      <c r="Q103" s="1768"/>
      <c r="R103" s="1768"/>
      <c r="S103" s="1768"/>
      <c r="T103" s="1768"/>
      <c r="U103" s="1768"/>
      <c r="W103" s="1766"/>
      <c r="X103" s="1766"/>
      <c r="Y103" s="1766"/>
      <c r="Z103" s="1766"/>
      <c r="AA103" s="1766"/>
      <c r="AB103" s="1766"/>
      <c r="AC103" s="1766"/>
      <c r="AD103" s="1766"/>
      <c r="AE103" s="1766"/>
      <c r="AF103" s="1766"/>
      <c r="AG103" s="1766"/>
      <c r="AH103" s="1766"/>
      <c r="AI103" s="1766"/>
    </row>
    <row r="104" spans="2:35" s="9" customFormat="1" ht="69.75" customHeight="1" x14ac:dyDescent="0.15">
      <c r="B104" s="323"/>
      <c r="G104" s="1769"/>
      <c r="H104" s="1769"/>
      <c r="I104" s="1769"/>
      <c r="J104" s="1769"/>
      <c r="K104" s="1769"/>
      <c r="L104" s="1769"/>
      <c r="M104" s="1769"/>
      <c r="Q104" s="1768"/>
      <c r="R104" s="1768"/>
      <c r="S104" s="1768"/>
      <c r="T104" s="1768"/>
      <c r="U104" s="1768"/>
      <c r="W104" s="1766"/>
      <c r="X104" s="1766"/>
      <c r="Y104" s="1766"/>
      <c r="Z104" s="1766"/>
      <c r="AA104" s="1766"/>
      <c r="AB104" s="1766"/>
      <c r="AC104" s="1766"/>
      <c r="AD104" s="1766"/>
      <c r="AE104" s="1766"/>
      <c r="AF104" s="1766"/>
      <c r="AG104" s="1766"/>
      <c r="AH104" s="1766"/>
      <c r="AI104" s="1766"/>
    </row>
    <row r="105" spans="2:35" s="9" customFormat="1" ht="15" customHeight="1" x14ac:dyDescent="0.15">
      <c r="B105" s="323"/>
      <c r="G105" s="368"/>
      <c r="H105" s="368"/>
      <c r="I105" s="368"/>
      <c r="J105" s="368"/>
      <c r="K105" s="368"/>
      <c r="L105" s="368"/>
      <c r="M105" s="368"/>
      <c r="W105" s="1766"/>
      <c r="X105" s="1766"/>
      <c r="Y105" s="1766"/>
      <c r="Z105" s="1766"/>
      <c r="AA105" s="1766"/>
      <c r="AB105" s="1766"/>
      <c r="AC105" s="1766"/>
      <c r="AD105" s="1766"/>
      <c r="AE105" s="1766"/>
      <c r="AF105" s="1766"/>
      <c r="AG105" s="1766"/>
      <c r="AH105" s="1766"/>
      <c r="AI105" s="1766"/>
    </row>
    <row r="106" spans="2:35" s="9" customFormat="1" ht="15" customHeight="1" x14ac:dyDescent="0.15">
      <c r="B106" s="323"/>
      <c r="G106" s="368"/>
      <c r="H106" s="368"/>
      <c r="I106" s="368"/>
      <c r="J106" s="368"/>
      <c r="K106" s="368"/>
      <c r="L106" s="368"/>
      <c r="M106" s="368"/>
      <c r="W106" s="1766"/>
      <c r="X106" s="1766"/>
      <c r="Y106" s="1766"/>
      <c r="Z106" s="1766"/>
      <c r="AA106" s="1766"/>
      <c r="AB106" s="1766"/>
      <c r="AC106" s="1766"/>
      <c r="AD106" s="1766"/>
      <c r="AE106" s="1766"/>
      <c r="AF106" s="1766"/>
      <c r="AG106" s="1766"/>
      <c r="AH106" s="1766"/>
      <c r="AI106" s="1766"/>
    </row>
    <row r="107" spans="2:35" s="9" customFormat="1" ht="15" customHeight="1" x14ac:dyDescent="0.15">
      <c r="B107" s="323"/>
      <c r="G107" s="368"/>
      <c r="H107" s="368"/>
      <c r="I107" s="368"/>
      <c r="J107" s="368"/>
      <c r="K107" s="368"/>
      <c r="L107" s="368"/>
      <c r="M107" s="368"/>
      <c r="W107" s="1766"/>
      <c r="X107" s="1766"/>
      <c r="Y107" s="1766"/>
      <c r="Z107" s="1766"/>
      <c r="AA107" s="1766"/>
      <c r="AB107" s="1766"/>
      <c r="AC107" s="1766"/>
      <c r="AD107" s="1766"/>
      <c r="AE107" s="1766"/>
      <c r="AF107" s="1766"/>
      <c r="AG107" s="1766"/>
      <c r="AH107" s="1766"/>
      <c r="AI107" s="1766"/>
    </row>
    <row r="108" spans="2:35" s="9" customFormat="1" ht="15" customHeight="1" x14ac:dyDescent="0.15">
      <c r="B108" s="323"/>
      <c r="W108" s="1766"/>
      <c r="X108" s="1766"/>
      <c r="Y108" s="1766"/>
      <c r="Z108" s="1766"/>
      <c r="AA108" s="1766"/>
      <c r="AB108" s="1766"/>
      <c r="AC108" s="1766"/>
      <c r="AD108" s="1766"/>
      <c r="AE108" s="1766"/>
      <c r="AF108" s="1766"/>
      <c r="AG108" s="1766"/>
      <c r="AH108" s="1766"/>
      <c r="AI108" s="1766"/>
    </row>
    <row r="109" spans="2:35" s="9" customFormat="1" ht="15" customHeight="1" x14ac:dyDescent="0.15">
      <c r="B109" s="323"/>
      <c r="W109" s="1766"/>
      <c r="X109" s="1766"/>
      <c r="Y109" s="1766"/>
      <c r="Z109" s="1766"/>
      <c r="AA109" s="1766"/>
      <c r="AB109" s="1766"/>
      <c r="AC109" s="1766"/>
      <c r="AD109" s="1766"/>
      <c r="AE109" s="1766"/>
      <c r="AF109" s="1766"/>
      <c r="AG109" s="1766"/>
      <c r="AH109" s="1766"/>
      <c r="AI109" s="1766"/>
    </row>
    <row r="110" spans="2:35" s="9" customFormat="1" ht="15" customHeight="1" x14ac:dyDescent="0.15">
      <c r="B110" s="323"/>
      <c r="W110" s="1766"/>
      <c r="X110" s="1766"/>
      <c r="Y110" s="1766"/>
      <c r="Z110" s="1766"/>
      <c r="AA110" s="1766"/>
      <c r="AB110" s="1766"/>
      <c r="AC110" s="1766"/>
      <c r="AD110" s="1766"/>
      <c r="AE110" s="1766"/>
      <c r="AF110" s="1766"/>
      <c r="AG110" s="1766"/>
      <c r="AH110" s="1766"/>
      <c r="AI110" s="1766"/>
    </row>
    <row r="111" spans="2:35" s="9" customFormat="1" ht="15" customHeight="1" x14ac:dyDescent="0.15">
      <c r="B111" s="323"/>
    </row>
    <row r="112" spans="2:35" s="9" customFormat="1" ht="15" customHeight="1" x14ac:dyDescent="0.15">
      <c r="B112" s="323"/>
    </row>
    <row r="113" spans="2:2" s="9" customFormat="1" ht="15" customHeight="1" x14ac:dyDescent="0.15">
      <c r="B113" s="323"/>
    </row>
    <row r="114" spans="2:2" s="9" customFormat="1" ht="15" customHeight="1" x14ac:dyDescent="0.15">
      <c r="B114" s="323"/>
    </row>
    <row r="115" spans="2:2" s="9" customFormat="1" ht="15" customHeight="1" x14ac:dyDescent="0.15">
      <c r="B115" s="323"/>
    </row>
    <row r="116" spans="2:2" s="9" customFormat="1" ht="15" customHeight="1" x14ac:dyDescent="0.15">
      <c r="B116" s="323"/>
    </row>
    <row r="117" spans="2:2" s="9" customFormat="1" ht="15" customHeight="1" x14ac:dyDescent="0.15">
      <c r="B117" s="323"/>
    </row>
    <row r="118" spans="2:2" s="9" customFormat="1" ht="15" customHeight="1" x14ac:dyDescent="0.15">
      <c r="B118" s="323"/>
    </row>
    <row r="119" spans="2:2" s="9" customFormat="1" ht="15" customHeight="1" x14ac:dyDescent="0.15">
      <c r="B119" s="323"/>
    </row>
    <row r="120" spans="2:2" s="9" customFormat="1" ht="15" customHeight="1" x14ac:dyDescent="0.15">
      <c r="B120" s="323"/>
    </row>
    <row r="121" spans="2:2" s="9" customFormat="1" ht="15" customHeight="1" x14ac:dyDescent="0.15">
      <c r="B121" s="323"/>
    </row>
    <row r="122" spans="2:2" s="9" customFormat="1" ht="15" customHeight="1" x14ac:dyDescent="0.15">
      <c r="B122" s="323"/>
    </row>
    <row r="123" spans="2:2" s="9" customFormat="1" ht="15" customHeight="1" x14ac:dyDescent="0.15">
      <c r="B123" s="323"/>
    </row>
    <row r="124" spans="2:2" s="9" customFormat="1" ht="15" customHeight="1" x14ac:dyDescent="0.15">
      <c r="B124" s="323"/>
    </row>
    <row r="125" spans="2:2" s="9" customFormat="1" ht="15" customHeight="1" x14ac:dyDescent="0.15">
      <c r="B125" s="323"/>
    </row>
    <row r="126" spans="2:2" s="9" customFormat="1" ht="15" customHeight="1" x14ac:dyDescent="0.15">
      <c r="B126" s="323"/>
    </row>
    <row r="127" spans="2:2" s="9" customFormat="1" ht="15" customHeight="1" x14ac:dyDescent="0.15">
      <c r="B127" s="323"/>
    </row>
    <row r="128" spans="2:2" s="9" customFormat="1" ht="15" customHeight="1" x14ac:dyDescent="0.15">
      <c r="B128" s="323"/>
    </row>
    <row r="129" spans="2:2" s="9" customFormat="1" ht="15" customHeight="1" x14ac:dyDescent="0.15">
      <c r="B129" s="323"/>
    </row>
    <row r="130" spans="2:2" s="9" customFormat="1" ht="15" customHeight="1" x14ac:dyDescent="0.15">
      <c r="B130" s="323"/>
    </row>
    <row r="131" spans="2:2" s="9" customFormat="1" ht="15" customHeight="1" x14ac:dyDescent="0.15">
      <c r="B131" s="323"/>
    </row>
    <row r="132" spans="2:2" s="9" customFormat="1" ht="15" customHeight="1" x14ac:dyDescent="0.15">
      <c r="B132" s="323"/>
    </row>
    <row r="133" spans="2:2" s="9" customFormat="1" ht="15" customHeight="1" x14ac:dyDescent="0.15">
      <c r="B133" s="323"/>
    </row>
    <row r="134" spans="2:2" s="9" customFormat="1" ht="15" customHeight="1" x14ac:dyDescent="0.15">
      <c r="B134" s="323"/>
    </row>
    <row r="135" spans="2:2" s="9" customFormat="1" ht="15" customHeight="1" x14ac:dyDescent="0.15">
      <c r="B135" s="323"/>
    </row>
    <row r="136" spans="2:2" s="9" customFormat="1" ht="15" customHeight="1" x14ac:dyDescent="0.15">
      <c r="B136" s="323"/>
    </row>
    <row r="137" spans="2:2" s="9" customFormat="1" ht="15" customHeight="1" x14ac:dyDescent="0.15">
      <c r="B137" s="323"/>
    </row>
    <row r="138" spans="2:2" s="9" customFormat="1" ht="15" customHeight="1" x14ac:dyDescent="0.15">
      <c r="B138" s="323"/>
    </row>
    <row r="139" spans="2:2" s="9" customFormat="1" ht="15" customHeight="1" x14ac:dyDescent="0.15">
      <c r="B139" s="323"/>
    </row>
    <row r="140" spans="2:2" s="9" customFormat="1" ht="15" customHeight="1" x14ac:dyDescent="0.15">
      <c r="B140" s="323"/>
    </row>
    <row r="141" spans="2:2" s="9" customFormat="1" ht="15" customHeight="1" x14ac:dyDescent="0.15">
      <c r="B141" s="323"/>
    </row>
    <row r="142" spans="2:2" s="9" customFormat="1" ht="15" customHeight="1" x14ac:dyDescent="0.15">
      <c r="B142" s="323"/>
    </row>
    <row r="143" spans="2:2" s="9" customFormat="1" ht="15" customHeight="1" x14ac:dyDescent="0.15">
      <c r="B143" s="323"/>
    </row>
    <row r="144" spans="2:2" s="9" customFormat="1" ht="15" customHeight="1" x14ac:dyDescent="0.15">
      <c r="B144" s="323"/>
    </row>
    <row r="145" spans="2:2" s="9" customFormat="1" ht="15" customHeight="1" x14ac:dyDescent="0.15">
      <c r="B145" s="323"/>
    </row>
    <row r="146" spans="2:2" s="9" customFormat="1" ht="15" customHeight="1" x14ac:dyDescent="0.15">
      <c r="B146" s="323"/>
    </row>
    <row r="147" spans="2:2" s="9" customFormat="1" ht="15" customHeight="1" x14ac:dyDescent="0.15">
      <c r="B147" s="323"/>
    </row>
    <row r="148" spans="2:2" s="9" customFormat="1" ht="15" customHeight="1" x14ac:dyDescent="0.15">
      <c r="B148" s="323"/>
    </row>
    <row r="149" spans="2:2" s="9" customFormat="1" ht="15" customHeight="1" x14ac:dyDescent="0.15">
      <c r="B149" s="323"/>
    </row>
    <row r="150" spans="2:2" s="9" customFormat="1" ht="15" customHeight="1" x14ac:dyDescent="0.15">
      <c r="B150" s="323"/>
    </row>
    <row r="151" spans="2:2" s="9" customFormat="1" ht="15" customHeight="1" x14ac:dyDescent="0.15">
      <c r="B151" s="323"/>
    </row>
    <row r="152" spans="2:2" s="9" customFormat="1" ht="15" customHeight="1" x14ac:dyDescent="0.15">
      <c r="B152" s="323"/>
    </row>
    <row r="153" spans="2:2" s="9" customFormat="1" ht="15" customHeight="1" x14ac:dyDescent="0.15">
      <c r="B153" s="323"/>
    </row>
    <row r="154" spans="2:2" s="9" customFormat="1" ht="15" customHeight="1" x14ac:dyDescent="0.15">
      <c r="B154" s="323"/>
    </row>
    <row r="155" spans="2:2" s="9" customFormat="1" ht="15" customHeight="1" x14ac:dyDescent="0.15">
      <c r="B155" s="323"/>
    </row>
    <row r="156" spans="2:2" s="9" customFormat="1" ht="15" customHeight="1" x14ac:dyDescent="0.15">
      <c r="B156" s="323"/>
    </row>
    <row r="157" spans="2:2" s="9" customFormat="1" ht="15" customHeight="1" x14ac:dyDescent="0.15">
      <c r="B157" s="323"/>
    </row>
    <row r="158" spans="2:2" s="9" customFormat="1" ht="15" customHeight="1" x14ac:dyDescent="0.15">
      <c r="B158" s="323"/>
    </row>
    <row r="159" spans="2:2" s="9" customFormat="1" ht="15" customHeight="1" x14ac:dyDescent="0.15">
      <c r="B159" s="323"/>
    </row>
    <row r="160" spans="2:2" s="9" customFormat="1" ht="15" customHeight="1" x14ac:dyDescent="0.15">
      <c r="B160" s="323"/>
    </row>
    <row r="161" spans="2:2" s="9" customFormat="1" ht="15" customHeight="1" x14ac:dyDescent="0.15">
      <c r="B161" s="323"/>
    </row>
    <row r="162" spans="2:2" s="9" customFormat="1" ht="15" customHeight="1" x14ac:dyDescent="0.15">
      <c r="B162" s="323"/>
    </row>
    <row r="163" spans="2:2" s="9" customFormat="1" ht="15" customHeight="1" x14ac:dyDescent="0.15">
      <c r="B163" s="323"/>
    </row>
    <row r="164" spans="2:2" s="9" customFormat="1" ht="15" customHeight="1" x14ac:dyDescent="0.15">
      <c r="B164" s="323"/>
    </row>
    <row r="165" spans="2:2" s="9" customFormat="1" ht="15" customHeight="1" x14ac:dyDescent="0.15">
      <c r="B165" s="323"/>
    </row>
    <row r="166" spans="2:2" s="9" customFormat="1" ht="15" customHeight="1" x14ac:dyDescent="0.15">
      <c r="B166" s="323"/>
    </row>
    <row r="167" spans="2:2" s="9" customFormat="1" ht="15" customHeight="1" x14ac:dyDescent="0.15">
      <c r="B167" s="323"/>
    </row>
    <row r="168" spans="2:2" s="9" customFormat="1" ht="15" customHeight="1" x14ac:dyDescent="0.15">
      <c r="B168" s="323"/>
    </row>
    <row r="169" spans="2:2" s="9" customFormat="1" ht="15" customHeight="1" x14ac:dyDescent="0.15">
      <c r="B169" s="323"/>
    </row>
    <row r="170" spans="2:2" s="9" customFormat="1" ht="15" customHeight="1" x14ac:dyDescent="0.15">
      <c r="B170" s="323"/>
    </row>
    <row r="171" spans="2:2" s="9" customFormat="1" ht="15" customHeight="1" x14ac:dyDescent="0.15">
      <c r="B171" s="323"/>
    </row>
    <row r="172" spans="2:2" s="9" customFormat="1" ht="15" customHeight="1" x14ac:dyDescent="0.15">
      <c r="B172" s="323"/>
    </row>
    <row r="173" spans="2:2" s="9" customFormat="1" ht="15" customHeight="1" x14ac:dyDescent="0.15">
      <c r="B173" s="323"/>
    </row>
    <row r="174" spans="2:2" s="9" customFormat="1" ht="15" customHeight="1" x14ac:dyDescent="0.15">
      <c r="B174" s="323"/>
    </row>
    <row r="175" spans="2:2" s="9" customFormat="1" ht="15" customHeight="1" x14ac:dyDescent="0.15">
      <c r="B175" s="323"/>
    </row>
    <row r="176" spans="2:2" s="9" customFormat="1" ht="15" customHeight="1" x14ac:dyDescent="0.15">
      <c r="B176" s="323"/>
    </row>
    <row r="177" spans="2:2" s="9" customFormat="1" ht="15" customHeight="1" x14ac:dyDescent="0.15">
      <c r="B177" s="323"/>
    </row>
    <row r="178" spans="2:2" s="9" customFormat="1" ht="15" customHeight="1" x14ac:dyDescent="0.15">
      <c r="B178" s="323"/>
    </row>
    <row r="179" spans="2:2" s="9" customFormat="1" ht="15" customHeight="1" x14ac:dyDescent="0.15">
      <c r="B179" s="323"/>
    </row>
    <row r="180" spans="2:2" s="9" customFormat="1" ht="15" customHeight="1" x14ac:dyDescent="0.15">
      <c r="B180" s="323"/>
    </row>
    <row r="181" spans="2:2" s="9" customFormat="1" ht="15" customHeight="1" x14ac:dyDescent="0.15">
      <c r="B181" s="323"/>
    </row>
    <row r="182" spans="2:2" s="9" customFormat="1" ht="15" customHeight="1" x14ac:dyDescent="0.15">
      <c r="B182" s="323"/>
    </row>
    <row r="183" spans="2:2" s="9" customFormat="1" ht="15" customHeight="1" x14ac:dyDescent="0.15">
      <c r="B183" s="323"/>
    </row>
    <row r="184" spans="2:2" s="9" customFormat="1" ht="15" customHeight="1" x14ac:dyDescent="0.15">
      <c r="B184" s="323"/>
    </row>
    <row r="185" spans="2:2" s="9" customFormat="1" ht="15" customHeight="1" x14ac:dyDescent="0.15">
      <c r="B185" s="323"/>
    </row>
    <row r="186" spans="2:2" s="9" customFormat="1" ht="15" customHeight="1" x14ac:dyDescent="0.15">
      <c r="B186" s="323"/>
    </row>
    <row r="187" spans="2:2" s="9" customFormat="1" ht="15" customHeight="1" x14ac:dyDescent="0.15">
      <c r="B187" s="323"/>
    </row>
    <row r="188" spans="2:2" s="9" customFormat="1" ht="15" customHeight="1" x14ac:dyDescent="0.15">
      <c r="B188" s="323"/>
    </row>
    <row r="189" spans="2:2" s="9" customFormat="1" ht="15" customHeight="1" x14ac:dyDescent="0.15">
      <c r="B189" s="323"/>
    </row>
    <row r="190" spans="2:2" s="9" customFormat="1" ht="15" customHeight="1" x14ac:dyDescent="0.15">
      <c r="B190" s="323"/>
    </row>
    <row r="191" spans="2:2" s="9" customFormat="1" ht="15" customHeight="1" x14ac:dyDescent="0.15">
      <c r="B191" s="323"/>
    </row>
    <row r="192" spans="2:2" s="9" customFormat="1" ht="15" customHeight="1" x14ac:dyDescent="0.15">
      <c r="B192" s="323"/>
    </row>
    <row r="193" spans="2:2" s="9" customFormat="1" ht="15" customHeight="1" x14ac:dyDescent="0.15">
      <c r="B193" s="323"/>
    </row>
    <row r="194" spans="2:2" s="9" customFormat="1" ht="15" customHeight="1" x14ac:dyDescent="0.15">
      <c r="B194" s="323"/>
    </row>
    <row r="195" spans="2:2" s="9" customFormat="1" ht="15" customHeight="1" x14ac:dyDescent="0.15">
      <c r="B195" s="323"/>
    </row>
    <row r="196" spans="2:2" s="9" customFormat="1" ht="15" customHeight="1" x14ac:dyDescent="0.15">
      <c r="B196" s="323"/>
    </row>
    <row r="197" spans="2:2" s="9" customFormat="1" ht="15" customHeight="1" x14ac:dyDescent="0.15">
      <c r="B197" s="323"/>
    </row>
    <row r="198" spans="2:2" s="9" customFormat="1" ht="15" customHeight="1" x14ac:dyDescent="0.15">
      <c r="B198" s="323"/>
    </row>
    <row r="199" spans="2:2" s="9" customFormat="1" ht="15" customHeight="1" x14ac:dyDescent="0.15">
      <c r="B199" s="323"/>
    </row>
    <row r="200" spans="2:2" s="9" customFormat="1" ht="15" customHeight="1" x14ac:dyDescent="0.15">
      <c r="B200" s="323"/>
    </row>
    <row r="201" spans="2:2" s="9" customFormat="1" ht="15" customHeight="1" x14ac:dyDescent="0.15">
      <c r="B201" s="323"/>
    </row>
    <row r="202" spans="2:2" s="9" customFormat="1" ht="15" customHeight="1" x14ac:dyDescent="0.15">
      <c r="B202" s="323"/>
    </row>
    <row r="203" spans="2:2" s="9" customFormat="1" ht="15" customHeight="1" x14ac:dyDescent="0.15">
      <c r="B203" s="323"/>
    </row>
    <row r="204" spans="2:2" s="9" customFormat="1" ht="15" customHeight="1" x14ac:dyDescent="0.15">
      <c r="B204" s="323"/>
    </row>
    <row r="205" spans="2:2" s="9" customFormat="1" ht="15" customHeight="1" x14ac:dyDescent="0.15">
      <c r="B205" s="323"/>
    </row>
    <row r="206" spans="2:2" s="9" customFormat="1" ht="15" customHeight="1" x14ac:dyDescent="0.15">
      <c r="B206" s="323"/>
    </row>
    <row r="207" spans="2:2" s="9" customFormat="1" ht="15" customHeight="1" x14ac:dyDescent="0.15">
      <c r="B207" s="323"/>
    </row>
    <row r="208" spans="2:2" s="9" customFormat="1" ht="15" customHeight="1" x14ac:dyDescent="0.15">
      <c r="B208" s="323"/>
    </row>
    <row r="209" spans="2:2" s="9" customFormat="1" ht="15" customHeight="1" x14ac:dyDescent="0.15">
      <c r="B209" s="323"/>
    </row>
    <row r="210" spans="2:2" s="9" customFormat="1" ht="15" customHeight="1" x14ac:dyDescent="0.15">
      <c r="B210" s="323"/>
    </row>
    <row r="211" spans="2:2" s="9" customFormat="1" ht="15" customHeight="1" x14ac:dyDescent="0.15">
      <c r="B211" s="323"/>
    </row>
    <row r="212" spans="2:2" s="9" customFormat="1" ht="15" customHeight="1" x14ac:dyDescent="0.15">
      <c r="B212" s="323"/>
    </row>
    <row r="213" spans="2:2" s="9" customFormat="1" ht="15" customHeight="1" x14ac:dyDescent="0.15">
      <c r="B213" s="323"/>
    </row>
    <row r="214" spans="2:2" s="9" customFormat="1" ht="15" customHeight="1" x14ac:dyDescent="0.15">
      <c r="B214" s="323"/>
    </row>
    <row r="215" spans="2:2" s="9" customFormat="1" ht="15" customHeight="1" x14ac:dyDescent="0.15">
      <c r="B215" s="323"/>
    </row>
    <row r="216" spans="2:2" s="9" customFormat="1" ht="15" customHeight="1" x14ac:dyDescent="0.15">
      <c r="B216" s="323"/>
    </row>
    <row r="217" spans="2:2" s="9" customFormat="1" ht="15" customHeight="1" x14ac:dyDescent="0.15">
      <c r="B217" s="323"/>
    </row>
    <row r="218" spans="2:2" s="9" customFormat="1" ht="15" customHeight="1" x14ac:dyDescent="0.15">
      <c r="B218" s="323"/>
    </row>
    <row r="219" spans="2:2" s="9" customFormat="1" ht="15" customHeight="1" x14ac:dyDescent="0.15">
      <c r="B219" s="323"/>
    </row>
    <row r="220" spans="2:2" s="9" customFormat="1" ht="15" customHeight="1" x14ac:dyDescent="0.15">
      <c r="B220" s="323"/>
    </row>
    <row r="221" spans="2:2" s="9" customFormat="1" ht="15" customHeight="1" x14ac:dyDescent="0.15">
      <c r="B221" s="323"/>
    </row>
    <row r="222" spans="2:2" s="9" customFormat="1" ht="15" customHeight="1" x14ac:dyDescent="0.15">
      <c r="B222" s="323"/>
    </row>
    <row r="223" spans="2:2" s="9" customFormat="1" ht="15" customHeight="1" x14ac:dyDescent="0.15">
      <c r="B223" s="323"/>
    </row>
    <row r="224" spans="2:2" s="9" customFormat="1" ht="15" customHeight="1" x14ac:dyDescent="0.15">
      <c r="B224" s="323"/>
    </row>
    <row r="225" spans="2:2" s="9" customFormat="1" ht="15" customHeight="1" x14ac:dyDescent="0.15">
      <c r="B225" s="323"/>
    </row>
    <row r="226" spans="2:2" s="9" customFormat="1" ht="15" customHeight="1" x14ac:dyDescent="0.15">
      <c r="B226" s="323"/>
    </row>
    <row r="227" spans="2:2" s="9" customFormat="1" ht="15" customHeight="1" x14ac:dyDescent="0.15">
      <c r="B227" s="323"/>
    </row>
    <row r="228" spans="2:2" s="9" customFormat="1" ht="15" customHeight="1" x14ac:dyDescent="0.15">
      <c r="B228" s="323"/>
    </row>
    <row r="229" spans="2:2" s="9" customFormat="1" ht="15" customHeight="1" x14ac:dyDescent="0.15">
      <c r="B229" s="323"/>
    </row>
    <row r="230" spans="2:2" s="9" customFormat="1" ht="15" customHeight="1" x14ac:dyDescent="0.15">
      <c r="B230" s="323"/>
    </row>
    <row r="231" spans="2:2" s="9" customFormat="1" ht="15" customHeight="1" x14ac:dyDescent="0.15">
      <c r="B231" s="323"/>
    </row>
    <row r="232" spans="2:2" s="9" customFormat="1" ht="15" customHeight="1" x14ac:dyDescent="0.15">
      <c r="B232" s="323"/>
    </row>
    <row r="233" spans="2:2" s="9" customFormat="1" ht="15" customHeight="1" x14ac:dyDescent="0.15">
      <c r="B233" s="323"/>
    </row>
    <row r="234" spans="2:2" s="9" customFormat="1" ht="15" customHeight="1" x14ac:dyDescent="0.15">
      <c r="B234" s="323"/>
    </row>
    <row r="235" spans="2:2" s="9" customFormat="1" ht="15" customHeight="1" x14ac:dyDescent="0.15">
      <c r="B235" s="323"/>
    </row>
    <row r="236" spans="2:2" s="9" customFormat="1" ht="15" customHeight="1" x14ac:dyDescent="0.15">
      <c r="B236" s="323"/>
    </row>
    <row r="237" spans="2:2" s="9" customFormat="1" ht="15" customHeight="1" x14ac:dyDescent="0.15">
      <c r="B237" s="323"/>
    </row>
    <row r="238" spans="2:2" s="9" customFormat="1" ht="15" customHeight="1" x14ac:dyDescent="0.15">
      <c r="B238" s="323"/>
    </row>
    <row r="239" spans="2:2" s="9" customFormat="1" ht="15" customHeight="1" x14ac:dyDescent="0.15">
      <c r="B239" s="323"/>
    </row>
    <row r="240" spans="2:2" s="9" customFormat="1" ht="15" customHeight="1" x14ac:dyDescent="0.15">
      <c r="B240" s="323"/>
    </row>
    <row r="241" spans="2:2" s="9" customFormat="1" ht="15" customHeight="1" x14ac:dyDescent="0.15">
      <c r="B241" s="323"/>
    </row>
    <row r="242" spans="2:2" s="9" customFormat="1" ht="15" customHeight="1" x14ac:dyDescent="0.15">
      <c r="B242" s="323"/>
    </row>
    <row r="243" spans="2:2" s="9" customFormat="1" ht="15" customHeight="1" x14ac:dyDescent="0.15">
      <c r="B243" s="323"/>
    </row>
    <row r="244" spans="2:2" s="9" customFormat="1" ht="15" customHeight="1" x14ac:dyDescent="0.15">
      <c r="B244" s="323"/>
    </row>
    <row r="245" spans="2:2" s="9" customFormat="1" ht="15" customHeight="1" x14ac:dyDescent="0.15">
      <c r="B245" s="323"/>
    </row>
    <row r="246" spans="2:2" s="9" customFormat="1" ht="15" customHeight="1" x14ac:dyDescent="0.15">
      <c r="B246" s="323"/>
    </row>
    <row r="247" spans="2:2" s="9" customFormat="1" ht="15" customHeight="1" x14ac:dyDescent="0.15">
      <c r="B247" s="323"/>
    </row>
    <row r="248" spans="2:2" s="9" customFormat="1" ht="15" customHeight="1" x14ac:dyDescent="0.15">
      <c r="B248" s="323"/>
    </row>
    <row r="249" spans="2:2" s="9" customFormat="1" ht="15" customHeight="1" x14ac:dyDescent="0.15">
      <c r="B249" s="323"/>
    </row>
    <row r="250" spans="2:2" s="9" customFormat="1" ht="15" customHeight="1" x14ac:dyDescent="0.15">
      <c r="B250" s="323"/>
    </row>
    <row r="251" spans="2:2" s="9" customFormat="1" ht="15" customHeight="1" x14ac:dyDescent="0.15">
      <c r="B251" s="323"/>
    </row>
    <row r="252" spans="2:2" s="9" customFormat="1" ht="15" customHeight="1" x14ac:dyDescent="0.15">
      <c r="B252" s="323"/>
    </row>
    <row r="253" spans="2:2" s="9" customFormat="1" ht="15" customHeight="1" x14ac:dyDescent="0.15">
      <c r="B253" s="323"/>
    </row>
    <row r="254" spans="2:2" s="9" customFormat="1" ht="15" customHeight="1" x14ac:dyDescent="0.15">
      <c r="B254" s="323"/>
    </row>
    <row r="255" spans="2:2" s="9" customFormat="1" ht="15" customHeight="1" x14ac:dyDescent="0.15">
      <c r="B255" s="323"/>
    </row>
    <row r="256" spans="2:2" s="9" customFormat="1" ht="15" customHeight="1" x14ac:dyDescent="0.15">
      <c r="B256" s="323"/>
    </row>
    <row r="257" spans="2:2" s="9" customFormat="1" ht="15" customHeight="1" x14ac:dyDescent="0.15">
      <c r="B257" s="323"/>
    </row>
    <row r="258" spans="2:2" s="9" customFormat="1" ht="15" customHeight="1" x14ac:dyDescent="0.15">
      <c r="B258" s="323"/>
    </row>
    <row r="259" spans="2:2" s="9" customFormat="1" ht="15" customHeight="1" x14ac:dyDescent="0.15">
      <c r="B259" s="323"/>
    </row>
    <row r="260" spans="2:2" s="9" customFormat="1" ht="15" customHeight="1" x14ac:dyDescent="0.15">
      <c r="B260" s="323"/>
    </row>
    <row r="261" spans="2:2" s="9" customFormat="1" ht="15" customHeight="1" x14ac:dyDescent="0.15">
      <c r="B261" s="323"/>
    </row>
    <row r="262" spans="2:2" s="9" customFormat="1" ht="15" customHeight="1" x14ac:dyDescent="0.15">
      <c r="B262" s="323"/>
    </row>
    <row r="263" spans="2:2" s="9" customFormat="1" ht="15" customHeight="1" x14ac:dyDescent="0.15">
      <c r="B263" s="323"/>
    </row>
  </sheetData>
  <sheetProtection algorithmName="SHA-512" hashValue="pXc71U6hDxPI4rlYUbwnwazyX58yyPApmp9en8xm/clHh2jaOJU20bqYXIVWMYDPgqgdsVubfUUnj/UX+t1LxA==" saltValue="Fy3bx63v3moEaTVILI6irA==" spinCount="100000" sheet="1" scenarios="1" selectLockedCells="1"/>
  <protectedRanges>
    <protectedRange sqref="L28:L36 L8:L25" name="Range1"/>
  </protectedRanges>
  <mergeCells count="134">
    <mergeCell ref="F16:K16"/>
    <mergeCell ref="F17:K17"/>
    <mergeCell ref="F18:K18"/>
    <mergeCell ref="F19:K19"/>
    <mergeCell ref="F20:K20"/>
    <mergeCell ref="F21:K21"/>
    <mergeCell ref="F22:K22"/>
    <mergeCell ref="F23:K23"/>
    <mergeCell ref="F24:K24"/>
    <mergeCell ref="F75:K75"/>
    <mergeCell ref="F76:K76"/>
    <mergeCell ref="F77:K77"/>
    <mergeCell ref="F14:K14"/>
    <mergeCell ref="F15:K15"/>
    <mergeCell ref="B1:N1"/>
    <mergeCell ref="B2:N2"/>
    <mergeCell ref="B3:N3"/>
    <mergeCell ref="B4:G4"/>
    <mergeCell ref="H4:I4"/>
    <mergeCell ref="K4:M4"/>
    <mergeCell ref="B6:N6"/>
    <mergeCell ref="C7:K7"/>
    <mergeCell ref="C8:C25"/>
    <mergeCell ref="F8:K8"/>
    <mergeCell ref="F9:K9"/>
    <mergeCell ref="F10:K10"/>
    <mergeCell ref="F11:K11"/>
    <mergeCell ref="F12:K12"/>
    <mergeCell ref="F13:K13"/>
    <mergeCell ref="F26:K26"/>
    <mergeCell ref="C27:K27"/>
    <mergeCell ref="C28:C36"/>
    <mergeCell ref="F25:K25"/>
    <mergeCell ref="F28:K28"/>
    <mergeCell ref="F29:K29"/>
    <mergeCell ref="F30:K30"/>
    <mergeCell ref="F36:K36"/>
    <mergeCell ref="F37:K37"/>
    <mergeCell ref="C38:M38"/>
    <mergeCell ref="F31:K31"/>
    <mergeCell ref="F32:K32"/>
    <mergeCell ref="F33:K33"/>
    <mergeCell ref="F34:K34"/>
    <mergeCell ref="F35:K35"/>
    <mergeCell ref="C39:K40"/>
    <mergeCell ref="N39:N53"/>
    <mergeCell ref="C41:C52"/>
    <mergeCell ref="F41:K41"/>
    <mergeCell ref="F42:K42"/>
    <mergeCell ref="F43:K43"/>
    <mergeCell ref="F44:K44"/>
    <mergeCell ref="F45:K45"/>
    <mergeCell ref="F46:K46"/>
    <mergeCell ref="F47:K47"/>
    <mergeCell ref="F48:K48"/>
    <mergeCell ref="F49:K49"/>
    <mergeCell ref="F50:K50"/>
    <mergeCell ref="F51:K51"/>
    <mergeCell ref="F52:K52"/>
    <mergeCell ref="D53:D54"/>
    <mergeCell ref="F53:K53"/>
    <mergeCell ref="F54:M54"/>
    <mergeCell ref="B56:M56"/>
    <mergeCell ref="P56:P91"/>
    <mergeCell ref="B58:N58"/>
    <mergeCell ref="C59:K59"/>
    <mergeCell ref="N59:N68"/>
    <mergeCell ref="C60:C68"/>
    <mergeCell ref="F60:K60"/>
    <mergeCell ref="F61:K61"/>
    <mergeCell ref="F62:K62"/>
    <mergeCell ref="F68:K68"/>
    <mergeCell ref="F69:M69"/>
    <mergeCell ref="C70:K70"/>
    <mergeCell ref="C71:C79"/>
    <mergeCell ref="F71:K71"/>
    <mergeCell ref="N71:N79"/>
    <mergeCell ref="F78:K78"/>
    <mergeCell ref="F63:K63"/>
    <mergeCell ref="F64:K64"/>
    <mergeCell ref="F65:K65"/>
    <mergeCell ref="F66:K66"/>
    <mergeCell ref="F67:K67"/>
    <mergeCell ref="F72:K72"/>
    <mergeCell ref="F73:K73"/>
    <mergeCell ref="F74:K74"/>
    <mergeCell ref="Q78:Q79"/>
    <mergeCell ref="R78:T81"/>
    <mergeCell ref="F79:K79"/>
    <mergeCell ref="F80:M80"/>
    <mergeCell ref="Q80:Q81"/>
    <mergeCell ref="B81:M81"/>
    <mergeCell ref="R82:T87"/>
    <mergeCell ref="B83:N83"/>
    <mergeCell ref="C84:K84"/>
    <mergeCell ref="W84:AI88"/>
    <mergeCell ref="C85:C87"/>
    <mergeCell ref="F85:K85"/>
    <mergeCell ref="N85:N86"/>
    <mergeCell ref="F86:K86"/>
    <mergeCell ref="F87:K87"/>
    <mergeCell ref="F88:K88"/>
    <mergeCell ref="B89:M89"/>
    <mergeCell ref="B91:M91"/>
    <mergeCell ref="W91:AI91"/>
    <mergeCell ref="B92:N92"/>
    <mergeCell ref="Q92:U93"/>
    <mergeCell ref="B93:N93"/>
    <mergeCell ref="W93:AI93"/>
    <mergeCell ref="B94:D95"/>
    <mergeCell ref="E94:I95"/>
    <mergeCell ref="J94:N94"/>
    <mergeCell ref="J95:K95"/>
    <mergeCell ref="L95:N95"/>
    <mergeCell ref="Q98:U99"/>
    <mergeCell ref="W98:AI98"/>
    <mergeCell ref="B99:H99"/>
    <mergeCell ref="W99:AI99"/>
    <mergeCell ref="Q100:U104"/>
    <mergeCell ref="W100:AI100"/>
    <mergeCell ref="W101:AI110"/>
    <mergeCell ref="G102:M104"/>
    <mergeCell ref="B96:D96"/>
    <mergeCell ref="E96:I96"/>
    <mergeCell ref="J96:K96"/>
    <mergeCell ref="L96:N96"/>
    <mergeCell ref="B97:D97"/>
    <mergeCell ref="E97:I97"/>
    <mergeCell ref="J97:K97"/>
    <mergeCell ref="L97:N97"/>
    <mergeCell ref="B98:D98"/>
    <mergeCell ref="E98:I98"/>
    <mergeCell ref="J98:K98"/>
    <mergeCell ref="L98:N98"/>
  </mergeCells>
  <conditionalFormatting sqref="H4:I4 K4:M4">
    <cfRule type="cellIs" dxfId="22" priority="3" operator="equal">
      <formula>0</formula>
    </cfRule>
  </conditionalFormatting>
  <conditionalFormatting sqref="P56:Q56 Q78:T81 Q91">
    <cfRule type="expression" dxfId="21" priority="2">
      <formula>OR($Q$80&lt;=-0.01,$Q$80&gt;=0.01)</formula>
    </cfRule>
    <cfRule type="expression" dxfId="20" priority="4">
      <formula>OR($Q$80&gt;=-0.01,$Q$80&lt;=0.01)</formula>
    </cfRule>
  </conditionalFormatting>
  <conditionalFormatting sqref="R82">
    <cfRule type="expression" dxfId="19" priority="7">
      <formula>Q80&lt;&gt;0</formula>
    </cfRule>
  </conditionalFormatting>
  <dataValidations count="1">
    <dataValidation allowBlank="1" sqref="M87" xr:uid="{00000000-0002-0000-0E00-000000000000}">
      <formula1>0</formula1>
      <formula2>0</formula2>
    </dataValidation>
  </dataValidations>
  <printOptions horizontalCentered="1"/>
  <pageMargins left="0.9" right="0.15763888888888899" top="0.31527777777777799" bottom="0.15763888888888899" header="0.511811023622047" footer="0.15763888888888899"/>
  <pageSetup scale="61" orientation="portrait" horizontalDpi="300" verticalDpi="300" r:id="rId1"/>
  <rowBreaks count="1" manualBreakCount="1">
    <brk id="57" min="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AMJ149"/>
  <sheetViews>
    <sheetView showGridLines="0" showRowColHeaders="0" showZeros="0" zoomScale="85" zoomScaleNormal="85" zoomScalePageLayoutView="70" workbookViewId="0">
      <selection activeCell="I138" sqref="I138"/>
    </sheetView>
  </sheetViews>
  <sheetFormatPr baseColWidth="10" defaultColWidth="11.5" defaultRowHeight="13" x14ac:dyDescent="0.15"/>
  <cols>
    <col min="1" max="1" width="3.6640625" style="1" customWidth="1"/>
    <col min="2" max="2" width="15.5" style="1" customWidth="1"/>
    <col min="3" max="3" width="43" style="1" customWidth="1"/>
    <col min="4" max="4" width="7" style="1" customWidth="1"/>
    <col min="5" max="5" width="7.33203125" style="1" customWidth="1"/>
    <col min="6" max="6" width="9.1640625" style="1" customWidth="1"/>
    <col min="7" max="7" width="8.33203125" style="1" customWidth="1"/>
    <col min="8" max="8" width="17.1640625" style="1" hidden="1" customWidth="1"/>
    <col min="9" max="10" width="25.6640625" style="1" customWidth="1"/>
    <col min="11" max="11" width="1.5" style="1" customWidth="1"/>
    <col min="12" max="12" width="0.83203125" style="1" customWidth="1"/>
    <col min="13" max="13" width="9.1640625" style="1" customWidth="1"/>
    <col min="14" max="14" width="9.1640625" style="1" hidden="1" customWidth="1"/>
    <col min="15" max="15" width="11.5" style="1"/>
    <col min="16" max="18" width="9.1640625" style="1" customWidth="1"/>
    <col min="19" max="19" width="21.33203125" style="1" customWidth="1"/>
    <col min="20" max="21" width="9.1640625" style="1" customWidth="1"/>
    <col min="22" max="22" width="9.1640625" style="1" hidden="1" customWidth="1"/>
    <col min="23" max="257" width="9.1640625" style="1" customWidth="1"/>
    <col min="258" max="1024" width="11.5" style="1"/>
  </cols>
  <sheetData>
    <row r="1" spans="2:22" ht="33.75" customHeight="1" x14ac:dyDescent="0.25">
      <c r="B1" s="1515" t="str">
        <f>IF(O3=2,"État des immobilisations","Statement of Fixed Assets")</f>
        <v>Statement of Fixed Assets</v>
      </c>
      <c r="C1" s="1515"/>
      <c r="D1" s="1515"/>
      <c r="E1" s="1515"/>
      <c r="F1" s="1515"/>
      <c r="G1" s="1515"/>
      <c r="H1" s="1515"/>
      <c r="I1" s="1515"/>
      <c r="J1" s="1515"/>
      <c r="K1" s="213"/>
      <c r="L1" s="12"/>
      <c r="M1" s="12"/>
    </row>
    <row r="2" spans="2:22" ht="26.25" customHeight="1" x14ac:dyDescent="0.15">
      <c r="B2" s="1733" t="str">
        <f>'Set up ~ Config'!B2:J2</f>
        <v xml:space="preserve">SSC </v>
      </c>
      <c r="C2" s="1733"/>
      <c r="D2" s="1733"/>
      <c r="E2" s="1733"/>
      <c r="F2" s="1733"/>
      <c r="G2" s="1733"/>
      <c r="H2" s="1733"/>
      <c r="I2" s="1733"/>
      <c r="J2" s="1733"/>
      <c r="K2" s="13"/>
    </row>
    <row r="3" spans="2:22" ht="26.25" customHeight="1" x14ac:dyDescent="0.15">
      <c r="B3" s="1734" t="e">
        <f>'Cover~Page~Titre'!B58:Y58</f>
        <v>#VALUE!</v>
      </c>
      <c r="C3" s="1734"/>
      <c r="D3" s="1734"/>
      <c r="E3" s="1734"/>
      <c r="F3" s="1734"/>
      <c r="G3" s="1734"/>
      <c r="H3" s="1734"/>
      <c r="I3" s="1734"/>
      <c r="J3" s="1734"/>
      <c r="K3" s="372"/>
      <c r="O3" s="23">
        <f>'Set up ~ Config'!L10</f>
        <v>1</v>
      </c>
    </row>
    <row r="4" spans="2:22" ht="24" hidden="1" customHeight="1" x14ac:dyDescent="0.15">
      <c r="B4" s="1571"/>
      <c r="C4" s="1571"/>
      <c r="D4" s="192"/>
      <c r="G4" s="373"/>
      <c r="H4" s="1755"/>
      <c r="I4" s="1755"/>
      <c r="J4" s="1755"/>
      <c r="K4" s="1755"/>
    </row>
    <row r="5" spans="2:22" ht="3.75" customHeight="1" x14ac:dyDescent="0.15">
      <c r="B5" s="373"/>
      <c r="C5" s="26"/>
      <c r="D5" s="26"/>
      <c r="E5" s="26"/>
      <c r="F5" s="26"/>
      <c r="G5" s="26"/>
      <c r="H5" s="26"/>
      <c r="I5" s="26"/>
      <c r="J5" s="26"/>
      <c r="K5" s="26"/>
    </row>
    <row r="6" spans="2:22" ht="46.5" customHeight="1" x14ac:dyDescent="0.15">
      <c r="B6" s="374" t="str">
        <f>IF(O3=2,"Numéro de catégorie d'item","Inventory Category Number")</f>
        <v>Inventory Category Number</v>
      </c>
      <c r="C6" s="374" t="str">
        <f>IF(O3=2,"Nom de catégorie d'item","Item Category Name")</f>
        <v>Item Category Name</v>
      </c>
      <c r="D6" s="1826" t="str">
        <f>IF(O3=2,"Description","Description")</f>
        <v>Description</v>
      </c>
      <c r="E6" s="1826"/>
      <c r="F6" s="1826"/>
      <c r="G6" s="1826"/>
      <c r="H6" s="1826"/>
      <c r="I6" s="374" t="str">
        <f>IF(O3=2,"Prix d'acquisition","Purchase Price")</f>
        <v>Purchase Price</v>
      </c>
      <c r="J6" s="374" t="str">
        <f>IF(O3=2,"Valeur de remplacement ou juste valeur marchande","Estimated Replacement Cost or Fair Market Value")</f>
        <v>Estimated Replacement Cost or Fair Market Value</v>
      </c>
      <c r="P6" s="2"/>
    </row>
    <row r="7" spans="2:22" ht="6" customHeight="1" x14ac:dyDescent="0.15">
      <c r="B7" s="375"/>
      <c r="C7" s="5"/>
      <c r="D7" s="5"/>
      <c r="E7" s="5"/>
      <c r="F7" s="5"/>
      <c r="G7" s="5"/>
      <c r="H7" s="5"/>
      <c r="I7" s="5"/>
      <c r="J7" s="5"/>
    </row>
    <row r="8" spans="2:22" ht="18" x14ac:dyDescent="0.15">
      <c r="B8" s="376" t="s">
        <v>169</v>
      </c>
      <c r="C8" s="1823" t="str">
        <f>IF(O3=2,"Aéronefs","Aircrafts")</f>
        <v>Aircrafts</v>
      </c>
      <c r="D8" s="1823"/>
      <c r="E8" s="1823"/>
      <c r="F8" s="1823"/>
      <c r="G8" s="1823"/>
      <c r="H8" s="1823"/>
      <c r="I8" s="1823"/>
      <c r="J8" s="1823"/>
    </row>
    <row r="9" spans="2:22" ht="17.25" customHeight="1" x14ac:dyDescent="0.15">
      <c r="B9" s="377" t="s">
        <v>170</v>
      </c>
      <c r="C9" s="378"/>
      <c r="D9" s="1821"/>
      <c r="E9" s="1821"/>
      <c r="F9" s="1821"/>
      <c r="G9" s="1821"/>
      <c r="H9" s="1821"/>
      <c r="I9" s="379"/>
      <c r="J9" s="379"/>
    </row>
    <row r="10" spans="2:22" ht="16.5" customHeight="1" x14ac:dyDescent="0.15">
      <c r="B10" s="377" t="s">
        <v>171</v>
      </c>
      <c r="C10" s="378"/>
      <c r="D10" s="1821"/>
      <c r="E10" s="1821"/>
      <c r="F10" s="1821"/>
      <c r="G10" s="1821"/>
      <c r="H10" s="1821"/>
      <c r="I10" s="379"/>
      <c r="J10" s="379"/>
    </row>
    <row r="11" spans="2:22" ht="16.5" customHeight="1" x14ac:dyDescent="0.15">
      <c r="B11" s="377" t="s">
        <v>172</v>
      </c>
      <c r="C11" s="378"/>
      <c r="D11" s="1821"/>
      <c r="E11" s="1821"/>
      <c r="F11" s="1821"/>
      <c r="G11" s="1821"/>
      <c r="H11" s="1821"/>
      <c r="I11" s="379"/>
      <c r="J11" s="379"/>
      <c r="M11" s="1825" t="str">
        <f>IF(O3=2,V16,V17)</f>
        <v>The purchase price will be reflected in the statement of fixed assets in the financial statements. The replacement cost will be used for insurance coverage purposes. In the event that the purchase price or the replacement cost is not known, both are given the same value.</v>
      </c>
      <c r="N11" s="1825"/>
      <c r="O11" s="1825"/>
      <c r="P11" s="1825"/>
      <c r="Q11" s="1825"/>
      <c r="R11" s="1825"/>
      <c r="S11" s="1825"/>
    </row>
    <row r="12" spans="2:22" ht="16.5" customHeight="1" x14ac:dyDescent="0.15">
      <c r="B12" s="377" t="s">
        <v>173</v>
      </c>
      <c r="C12" s="378"/>
      <c r="D12" s="1821"/>
      <c r="E12" s="1821"/>
      <c r="F12" s="1821"/>
      <c r="G12" s="1821"/>
      <c r="H12" s="1821"/>
      <c r="I12" s="379"/>
      <c r="J12" s="379"/>
      <c r="M12" s="1825"/>
      <c r="N12" s="1825"/>
      <c r="O12" s="1825"/>
      <c r="P12" s="1825"/>
      <c r="Q12" s="1825"/>
      <c r="R12" s="1825"/>
      <c r="S12" s="1825"/>
    </row>
    <row r="13" spans="2:22" ht="16.5" customHeight="1" x14ac:dyDescent="0.15">
      <c r="B13" s="377" t="s">
        <v>174</v>
      </c>
      <c r="C13" s="378"/>
      <c r="D13" s="1821"/>
      <c r="E13" s="1821"/>
      <c r="F13" s="1821"/>
      <c r="G13" s="1821"/>
      <c r="H13" s="1821"/>
      <c r="I13" s="379"/>
      <c r="J13" s="379"/>
      <c r="M13" s="1825"/>
      <c r="N13" s="1825"/>
      <c r="O13" s="1825"/>
      <c r="P13" s="1825"/>
      <c r="Q13" s="1825"/>
      <c r="R13" s="1825"/>
      <c r="S13" s="1825"/>
    </row>
    <row r="14" spans="2:22" ht="16.5" customHeight="1" x14ac:dyDescent="0.15">
      <c r="B14" s="377" t="s">
        <v>175</v>
      </c>
      <c r="C14" s="378"/>
      <c r="D14" s="1821"/>
      <c r="E14" s="1821"/>
      <c r="F14" s="1821"/>
      <c r="G14" s="1821"/>
      <c r="H14" s="1821"/>
      <c r="I14" s="379"/>
      <c r="J14" s="379"/>
      <c r="M14" s="1825"/>
      <c r="N14" s="1825"/>
      <c r="O14" s="1825"/>
      <c r="P14" s="1825"/>
      <c r="Q14" s="1825"/>
      <c r="R14" s="1825"/>
      <c r="S14" s="1825"/>
    </row>
    <row r="15" spans="2:22" ht="16.5" customHeight="1" x14ac:dyDescent="0.15">
      <c r="B15" s="377" t="s">
        <v>176</v>
      </c>
      <c r="C15" s="380" t="str">
        <f>IF(O3=2,"Pièces de rechange","Spare Parts")</f>
        <v>Spare Parts</v>
      </c>
      <c r="D15" s="1821"/>
      <c r="E15" s="1821"/>
      <c r="F15" s="1821"/>
      <c r="G15" s="1821"/>
      <c r="H15" s="1821"/>
      <c r="I15" s="379"/>
      <c r="J15" s="379"/>
      <c r="M15" s="1825"/>
      <c r="N15" s="1825"/>
      <c r="O15" s="1825"/>
      <c r="P15" s="1825"/>
      <c r="Q15" s="1825"/>
      <c r="R15" s="1825"/>
      <c r="S15" s="1825"/>
    </row>
    <row r="16" spans="2:22" ht="16.5" customHeight="1" x14ac:dyDescent="0.15">
      <c r="B16" s="381" t="s">
        <v>177</v>
      </c>
      <c r="C16" s="380" t="str">
        <f>IF(O3=2,"Autres","Others")</f>
        <v>Others</v>
      </c>
      <c r="D16" s="1821"/>
      <c r="E16" s="1821"/>
      <c r="F16" s="1821"/>
      <c r="G16" s="1821"/>
      <c r="H16" s="1821"/>
      <c r="I16" s="379"/>
      <c r="J16" s="379"/>
      <c r="M16" s="1825"/>
      <c r="N16" s="1825"/>
      <c r="O16" s="1825"/>
      <c r="P16" s="1825"/>
      <c r="Q16" s="1825"/>
      <c r="R16" s="1825"/>
      <c r="S16" s="1825"/>
      <c r="V16" s="187" t="s">
        <v>178</v>
      </c>
    </row>
    <row r="17" spans="2:22" ht="16" x14ac:dyDescent="0.15">
      <c r="B17" s="382"/>
      <c r="C17" s="382"/>
      <c r="D17" s="382"/>
      <c r="E17" s="382"/>
      <c r="F17" s="382"/>
      <c r="G17" s="1822" t="s">
        <v>179</v>
      </c>
      <c r="H17" s="1822"/>
      <c r="I17" s="383">
        <f>SUM(I9:I16)</f>
        <v>0</v>
      </c>
      <c r="J17" s="384">
        <f>SUM(J9:J16)</f>
        <v>0</v>
      </c>
      <c r="M17" s="1825"/>
      <c r="N17" s="1825"/>
      <c r="O17" s="1825"/>
      <c r="P17" s="1825"/>
      <c r="Q17" s="1825"/>
      <c r="R17" s="1825"/>
      <c r="S17" s="1825"/>
      <c r="V17" s="187" t="s">
        <v>180</v>
      </c>
    </row>
    <row r="18" spans="2:22" ht="10" customHeight="1" x14ac:dyDescent="0.15">
      <c r="B18" s="385"/>
      <c r="C18" s="5"/>
      <c r="D18" s="5"/>
      <c r="E18" s="5"/>
      <c r="F18" s="5"/>
      <c r="G18" s="5"/>
      <c r="H18" s="5"/>
      <c r="I18" s="5"/>
      <c r="J18" s="386"/>
      <c r="M18" s="1825"/>
      <c r="N18" s="1825"/>
      <c r="O18" s="1825"/>
      <c r="P18" s="1825"/>
      <c r="Q18" s="1825"/>
      <c r="R18" s="1825"/>
      <c r="S18" s="1825"/>
    </row>
    <row r="19" spans="2:22" ht="18" x14ac:dyDescent="0.15">
      <c r="B19" s="376" t="s">
        <v>181</v>
      </c>
      <c r="C19" s="1823" t="str">
        <f>IF(O3=2,"Terrains &amp; Propriétés","Land &amp; Properties")</f>
        <v>Land &amp; Properties</v>
      </c>
      <c r="D19" s="1823"/>
      <c r="E19" s="1823"/>
      <c r="F19" s="1823"/>
      <c r="G19" s="1823"/>
      <c r="H19" s="1823"/>
      <c r="I19" s="1823"/>
      <c r="J19" s="1823"/>
      <c r="M19" s="1825"/>
      <c r="N19" s="1825"/>
      <c r="O19" s="1825"/>
      <c r="P19" s="1825"/>
      <c r="Q19" s="1825"/>
      <c r="R19" s="1825"/>
      <c r="S19" s="1825"/>
    </row>
    <row r="20" spans="2:22" ht="16.5" customHeight="1" x14ac:dyDescent="0.15">
      <c r="B20" s="377" t="s">
        <v>182</v>
      </c>
      <c r="C20" s="378"/>
      <c r="D20" s="1824"/>
      <c r="E20" s="1824"/>
      <c r="F20" s="1824"/>
      <c r="G20" s="1824"/>
      <c r="H20" s="1824"/>
      <c r="I20" s="379"/>
      <c r="J20" s="379"/>
    </row>
    <row r="21" spans="2:22" ht="16.5" customHeight="1" x14ac:dyDescent="0.15">
      <c r="B21" s="377" t="s">
        <v>183</v>
      </c>
      <c r="C21" s="378"/>
      <c r="D21" s="1824"/>
      <c r="E21" s="1824"/>
      <c r="F21" s="1824"/>
      <c r="G21" s="1824"/>
      <c r="H21" s="1824"/>
      <c r="I21" s="379"/>
      <c r="J21" s="379"/>
    </row>
    <row r="22" spans="2:22" ht="16.5" customHeight="1" x14ac:dyDescent="0.15">
      <c r="B22" s="377" t="s">
        <v>184</v>
      </c>
      <c r="C22" s="378"/>
      <c r="D22" s="1824"/>
      <c r="E22" s="1824"/>
      <c r="F22" s="1824"/>
      <c r="G22" s="1824"/>
      <c r="H22" s="1824"/>
      <c r="I22" s="379"/>
      <c r="J22" s="379"/>
    </row>
    <row r="23" spans="2:22" ht="16.5" customHeight="1" x14ac:dyDescent="0.15">
      <c r="B23" s="377" t="s">
        <v>185</v>
      </c>
      <c r="C23" s="378"/>
      <c r="D23" s="1824"/>
      <c r="E23" s="1824"/>
      <c r="F23" s="1824"/>
      <c r="G23" s="1824"/>
      <c r="H23" s="1824"/>
      <c r="I23" s="379"/>
      <c r="J23" s="379"/>
    </row>
    <row r="24" spans="2:22" ht="16.5" customHeight="1" x14ac:dyDescent="0.15">
      <c r="B24" s="377" t="s">
        <v>186</v>
      </c>
      <c r="C24" s="378"/>
      <c r="D24" s="1824"/>
      <c r="E24" s="1824"/>
      <c r="F24" s="1824"/>
      <c r="G24" s="1824"/>
      <c r="H24" s="1824"/>
      <c r="I24" s="379"/>
      <c r="J24" s="379"/>
    </row>
    <row r="25" spans="2:22" ht="16.5" customHeight="1" x14ac:dyDescent="0.15">
      <c r="B25" s="377" t="s">
        <v>187</v>
      </c>
      <c r="C25" s="378"/>
      <c r="D25" s="1824"/>
      <c r="E25" s="1824"/>
      <c r="F25" s="1824"/>
      <c r="G25" s="1824"/>
      <c r="H25" s="1824"/>
      <c r="I25" s="379"/>
      <c r="J25" s="379"/>
    </row>
    <row r="26" spans="2:22" ht="16.5" customHeight="1" x14ac:dyDescent="0.15">
      <c r="B26" s="377" t="s">
        <v>188</v>
      </c>
      <c r="C26" s="378"/>
      <c r="D26" s="1824"/>
      <c r="E26" s="1824"/>
      <c r="F26" s="1824"/>
      <c r="G26" s="1824"/>
      <c r="H26" s="1824"/>
      <c r="I26" s="379"/>
      <c r="J26" s="379"/>
    </row>
    <row r="27" spans="2:22" ht="16.5" customHeight="1" x14ac:dyDescent="0.15">
      <c r="B27" s="381" t="s">
        <v>189</v>
      </c>
      <c r="C27" s="380" t="str">
        <f>IF(O3=2,"Autres","Others")</f>
        <v>Others</v>
      </c>
      <c r="D27" s="1824"/>
      <c r="E27" s="1824"/>
      <c r="F27" s="1824"/>
      <c r="G27" s="1824"/>
      <c r="H27" s="1824"/>
      <c r="I27" s="379"/>
      <c r="J27" s="379"/>
    </row>
    <row r="28" spans="2:22" ht="16" x14ac:dyDescent="0.15">
      <c r="B28" s="387"/>
      <c r="C28" s="382"/>
      <c r="D28" s="382"/>
      <c r="E28" s="382"/>
      <c r="F28" s="382"/>
      <c r="G28" s="1822" t="s">
        <v>179</v>
      </c>
      <c r="H28" s="1822"/>
      <c r="I28" s="383">
        <f>SUM(I20:I27)</f>
        <v>0</v>
      </c>
      <c r="J28" s="384">
        <f>SUM(J20:J27)</f>
        <v>0</v>
      </c>
    </row>
    <row r="29" spans="2:22" ht="10" customHeight="1" x14ac:dyDescent="0.15">
      <c r="B29" s="385"/>
      <c r="C29" s="5"/>
      <c r="D29" s="5"/>
      <c r="E29" s="5"/>
      <c r="F29" s="5"/>
      <c r="G29" s="5"/>
      <c r="H29" s="5"/>
      <c r="I29" s="5"/>
      <c r="J29" s="5"/>
    </row>
    <row r="30" spans="2:22" ht="18" x14ac:dyDescent="0.15">
      <c r="B30" s="376" t="s">
        <v>190</v>
      </c>
      <c r="C30" s="1823" t="str">
        <f>IF(O3=2,"Bâtiments","Buildings")</f>
        <v>Buildings</v>
      </c>
      <c r="D30" s="1823"/>
      <c r="E30" s="1823"/>
      <c r="F30" s="1823"/>
      <c r="G30" s="1823"/>
      <c r="H30" s="1823"/>
      <c r="I30" s="1823"/>
      <c r="J30" s="1823"/>
    </row>
    <row r="31" spans="2:22" ht="16.5" customHeight="1" x14ac:dyDescent="0.15">
      <c r="B31" s="388" t="s">
        <v>191</v>
      </c>
      <c r="C31" s="378"/>
      <c r="D31" s="1824"/>
      <c r="E31" s="1824"/>
      <c r="F31" s="1824"/>
      <c r="G31" s="1824"/>
      <c r="H31" s="1824"/>
      <c r="I31" s="379"/>
      <c r="J31" s="379"/>
    </row>
    <row r="32" spans="2:22" ht="16.5" customHeight="1" x14ac:dyDescent="0.15">
      <c r="B32" s="388" t="s">
        <v>192</v>
      </c>
      <c r="C32" s="378"/>
      <c r="D32" s="1824"/>
      <c r="E32" s="1824"/>
      <c r="F32" s="1824"/>
      <c r="G32" s="1824"/>
      <c r="H32" s="1824"/>
      <c r="I32" s="379"/>
      <c r="J32" s="379"/>
    </row>
    <row r="33" spans="2:10" ht="16.5" customHeight="1" x14ac:dyDescent="0.15">
      <c r="B33" s="388" t="s">
        <v>193</v>
      </c>
      <c r="C33" s="378"/>
      <c r="D33" s="1824"/>
      <c r="E33" s="1824"/>
      <c r="F33" s="1824"/>
      <c r="G33" s="1824"/>
      <c r="H33" s="1824"/>
      <c r="I33" s="379"/>
      <c r="J33" s="379"/>
    </row>
    <row r="34" spans="2:10" ht="16.5" customHeight="1" x14ac:dyDescent="0.15">
      <c r="B34" s="388" t="s">
        <v>194</v>
      </c>
      <c r="C34" s="378"/>
      <c r="D34" s="1824"/>
      <c r="E34" s="1824"/>
      <c r="F34" s="1824"/>
      <c r="G34" s="1824"/>
      <c r="H34" s="1824"/>
      <c r="I34" s="379"/>
      <c r="J34" s="379"/>
    </row>
    <row r="35" spans="2:10" ht="16.5" customHeight="1" x14ac:dyDescent="0.15">
      <c r="B35" s="388" t="s">
        <v>195</v>
      </c>
      <c r="C35" s="378"/>
      <c r="D35" s="1824"/>
      <c r="E35" s="1824"/>
      <c r="F35" s="1824"/>
      <c r="G35" s="1824"/>
      <c r="H35" s="1824"/>
      <c r="I35" s="379"/>
      <c r="J35" s="379"/>
    </row>
    <row r="36" spans="2:10" ht="16.5" customHeight="1" x14ac:dyDescent="0.15">
      <c r="B36" s="388" t="s">
        <v>196</v>
      </c>
      <c r="C36" s="378"/>
      <c r="D36" s="1824"/>
      <c r="E36" s="1824"/>
      <c r="F36" s="1824"/>
      <c r="G36" s="1824"/>
      <c r="H36" s="1824"/>
      <c r="I36" s="379"/>
      <c r="J36" s="379"/>
    </row>
    <row r="37" spans="2:10" ht="16.5" customHeight="1" x14ac:dyDescent="0.15">
      <c r="B37" s="388" t="s">
        <v>197</v>
      </c>
      <c r="C37" s="378"/>
      <c r="D37" s="1824"/>
      <c r="E37" s="1824"/>
      <c r="F37" s="1824"/>
      <c r="G37" s="1824"/>
      <c r="H37" s="1824"/>
      <c r="I37" s="379"/>
      <c r="J37" s="379"/>
    </row>
    <row r="38" spans="2:10" ht="16.5" customHeight="1" x14ac:dyDescent="0.15">
      <c r="B38" s="389" t="s">
        <v>198</v>
      </c>
      <c r="C38" s="380" t="str">
        <f>IF(O3=2,"Autres","Others")</f>
        <v>Others</v>
      </c>
      <c r="D38" s="1824"/>
      <c r="E38" s="1824"/>
      <c r="F38" s="1824"/>
      <c r="G38" s="1824"/>
      <c r="H38" s="1824"/>
      <c r="I38" s="379"/>
      <c r="J38" s="379"/>
    </row>
    <row r="39" spans="2:10" ht="16" x14ac:dyDescent="0.15">
      <c r="B39" s="387"/>
      <c r="C39" s="382"/>
      <c r="D39" s="382"/>
      <c r="E39" s="382"/>
      <c r="F39" s="382"/>
      <c r="G39" s="1822" t="s">
        <v>179</v>
      </c>
      <c r="H39" s="1822"/>
      <c r="I39" s="383">
        <f>SUM(I31:I38)</f>
        <v>0</v>
      </c>
      <c r="J39" s="384">
        <f>SUM(J31:J38)</f>
        <v>0</v>
      </c>
    </row>
    <row r="40" spans="2:10" ht="10" customHeight="1" x14ac:dyDescent="0.15">
      <c r="B40" s="385"/>
      <c r="C40" s="5"/>
      <c r="D40" s="5"/>
      <c r="E40" s="5"/>
      <c r="F40" s="5"/>
      <c r="G40" s="5"/>
      <c r="H40" s="5"/>
      <c r="I40" s="5"/>
      <c r="J40" s="5"/>
    </row>
    <row r="41" spans="2:10" ht="18" x14ac:dyDescent="0.15">
      <c r="B41" s="376" t="s">
        <v>199</v>
      </c>
      <c r="C41" s="1823" t="str">
        <f>IF(O3=2,"Véhicules","Vehicles")</f>
        <v>Vehicles</v>
      </c>
      <c r="D41" s="1823"/>
      <c r="E41" s="1823"/>
      <c r="F41" s="1823"/>
      <c r="G41" s="1823"/>
      <c r="H41" s="1823"/>
      <c r="I41" s="1823"/>
      <c r="J41" s="1823"/>
    </row>
    <row r="42" spans="2:10" ht="16.5" customHeight="1" x14ac:dyDescent="0.15">
      <c r="B42" s="388" t="s">
        <v>200</v>
      </c>
      <c r="C42" s="378"/>
      <c r="D42" s="1821"/>
      <c r="E42" s="1821"/>
      <c r="F42" s="1821"/>
      <c r="G42" s="1821"/>
      <c r="H42" s="1821"/>
      <c r="I42" s="379"/>
      <c r="J42" s="379"/>
    </row>
    <row r="43" spans="2:10" ht="16.5" customHeight="1" x14ac:dyDescent="0.15">
      <c r="B43" s="388" t="s">
        <v>201</v>
      </c>
      <c r="C43" s="378"/>
      <c r="D43" s="1821"/>
      <c r="E43" s="1821"/>
      <c r="F43" s="1821"/>
      <c r="G43" s="1821"/>
      <c r="H43" s="1821"/>
      <c r="I43" s="379"/>
      <c r="J43" s="379"/>
    </row>
    <row r="44" spans="2:10" ht="16.5" customHeight="1" x14ac:dyDescent="0.15">
      <c r="B44" s="388" t="s">
        <v>202</v>
      </c>
      <c r="C44" s="378"/>
      <c r="D44" s="1821"/>
      <c r="E44" s="1821"/>
      <c r="F44" s="1821"/>
      <c r="G44" s="1821"/>
      <c r="H44" s="1821"/>
      <c r="I44" s="379"/>
      <c r="J44" s="379"/>
    </row>
    <row r="45" spans="2:10" ht="16.5" customHeight="1" x14ac:dyDescent="0.15">
      <c r="B45" s="388" t="s">
        <v>203</v>
      </c>
      <c r="C45" s="378"/>
      <c r="D45" s="1821"/>
      <c r="E45" s="1821"/>
      <c r="F45" s="1821"/>
      <c r="G45" s="1821"/>
      <c r="H45" s="1821"/>
      <c r="I45" s="379"/>
      <c r="J45" s="379"/>
    </row>
    <row r="46" spans="2:10" ht="16.5" customHeight="1" x14ac:dyDescent="0.15">
      <c r="B46" s="388" t="s">
        <v>204</v>
      </c>
      <c r="C46" s="378"/>
      <c r="D46" s="1821"/>
      <c r="E46" s="1821"/>
      <c r="F46" s="1821"/>
      <c r="G46" s="1821"/>
      <c r="H46" s="1821"/>
      <c r="I46" s="379"/>
      <c r="J46" s="379"/>
    </row>
    <row r="47" spans="2:10" ht="16.5" customHeight="1" x14ac:dyDescent="0.15">
      <c r="B47" s="388" t="s">
        <v>205</v>
      </c>
      <c r="C47" s="378"/>
      <c r="D47" s="1821"/>
      <c r="E47" s="1821"/>
      <c r="F47" s="1821"/>
      <c r="G47" s="1821"/>
      <c r="H47" s="1821"/>
      <c r="I47" s="379"/>
      <c r="J47" s="379"/>
    </row>
    <row r="48" spans="2:10" ht="16.5" customHeight="1" x14ac:dyDescent="0.15">
      <c r="B48" s="388" t="s">
        <v>206</v>
      </c>
      <c r="C48" s="378"/>
      <c r="D48" s="1821"/>
      <c r="E48" s="1821"/>
      <c r="F48" s="1821"/>
      <c r="G48" s="1821"/>
      <c r="H48" s="1821"/>
      <c r="I48" s="379"/>
      <c r="J48" s="379"/>
    </row>
    <row r="49" spans="2:10" ht="16.5" customHeight="1" x14ac:dyDescent="0.15">
      <c r="B49" s="389" t="s">
        <v>207</v>
      </c>
      <c r="C49" s="380" t="str">
        <f>IF(O3=2,"Autres","Others")</f>
        <v>Others</v>
      </c>
      <c r="D49" s="1821"/>
      <c r="E49" s="1821"/>
      <c r="F49" s="1821"/>
      <c r="G49" s="1821"/>
      <c r="H49" s="1821"/>
      <c r="I49" s="379"/>
      <c r="J49" s="379"/>
    </row>
    <row r="50" spans="2:10" ht="16" x14ac:dyDescent="0.15">
      <c r="B50" s="387"/>
      <c r="C50" s="382"/>
      <c r="D50" s="382"/>
      <c r="E50" s="382"/>
      <c r="F50" s="382"/>
      <c r="G50" s="1822" t="s">
        <v>179</v>
      </c>
      <c r="H50" s="1822"/>
      <c r="I50" s="383">
        <f>SUM(I42:I49)</f>
        <v>0</v>
      </c>
      <c r="J50" s="384">
        <f>SUM(J42:J49)</f>
        <v>0</v>
      </c>
    </row>
    <row r="51" spans="2:10" s="1" customFormat="1" ht="10" customHeight="1" x14ac:dyDescent="0.15">
      <c r="B51" s="82"/>
      <c r="J51" s="390"/>
    </row>
    <row r="52" spans="2:10" ht="18" x14ac:dyDescent="0.15">
      <c r="B52" s="376" t="s">
        <v>208</v>
      </c>
      <c r="C52" s="1823" t="str">
        <f>IF(O3=2,"Équipement de bureau","Office Equipment")</f>
        <v>Office Equipment</v>
      </c>
      <c r="D52" s="1823"/>
      <c r="E52" s="1823"/>
      <c r="F52" s="1823"/>
      <c r="G52" s="1823"/>
      <c r="H52" s="1823"/>
      <c r="I52" s="1823"/>
      <c r="J52" s="1823"/>
    </row>
    <row r="53" spans="2:10" ht="16.5" customHeight="1" x14ac:dyDescent="0.15">
      <c r="B53" s="377" t="s">
        <v>209</v>
      </c>
      <c r="C53" s="378"/>
      <c r="D53" s="1821"/>
      <c r="E53" s="1821"/>
      <c r="F53" s="1821"/>
      <c r="G53" s="1821"/>
      <c r="H53" s="1821"/>
      <c r="I53" s="379"/>
      <c r="J53" s="379"/>
    </row>
    <row r="54" spans="2:10" ht="16.5" customHeight="1" x14ac:dyDescent="0.15">
      <c r="B54" s="377" t="s">
        <v>210</v>
      </c>
      <c r="C54" s="378"/>
      <c r="D54" s="1821"/>
      <c r="E54" s="1821"/>
      <c r="F54" s="1821"/>
      <c r="G54" s="1821"/>
      <c r="H54" s="1821"/>
      <c r="I54" s="379"/>
      <c r="J54" s="379"/>
    </row>
    <row r="55" spans="2:10" ht="16.5" customHeight="1" x14ac:dyDescent="0.15">
      <c r="B55" s="377" t="s">
        <v>211</v>
      </c>
      <c r="C55" s="378"/>
      <c r="D55" s="1821"/>
      <c r="E55" s="1821"/>
      <c r="F55" s="1821"/>
      <c r="G55" s="1821"/>
      <c r="H55" s="1821"/>
      <c r="I55" s="379"/>
      <c r="J55" s="379"/>
    </row>
    <row r="56" spans="2:10" ht="16.5" customHeight="1" x14ac:dyDescent="0.15">
      <c r="B56" s="377" t="s">
        <v>212</v>
      </c>
      <c r="C56" s="378"/>
      <c r="D56" s="1821"/>
      <c r="E56" s="1821"/>
      <c r="F56" s="1821"/>
      <c r="G56" s="1821"/>
      <c r="H56" s="1821"/>
      <c r="I56" s="379"/>
      <c r="J56" s="379"/>
    </row>
    <row r="57" spans="2:10" ht="16.5" customHeight="1" x14ac:dyDescent="0.15">
      <c r="B57" s="377" t="s">
        <v>213</v>
      </c>
      <c r="C57" s="378"/>
      <c r="D57" s="1821"/>
      <c r="E57" s="1821"/>
      <c r="F57" s="1821"/>
      <c r="G57" s="1821"/>
      <c r="H57" s="1821"/>
      <c r="I57" s="379"/>
      <c r="J57" s="379"/>
    </row>
    <row r="58" spans="2:10" ht="16.5" customHeight="1" x14ac:dyDescent="0.15">
      <c r="B58" s="377" t="s">
        <v>214</v>
      </c>
      <c r="C58" s="378"/>
      <c r="D58" s="1821"/>
      <c r="E58" s="1821"/>
      <c r="F58" s="1821"/>
      <c r="G58" s="1821"/>
      <c r="H58" s="1821"/>
      <c r="I58" s="379"/>
      <c r="J58" s="379"/>
    </row>
    <row r="59" spans="2:10" ht="16.5" customHeight="1" x14ac:dyDescent="0.15">
      <c r="B59" s="377" t="s">
        <v>215</v>
      </c>
      <c r="C59" s="378"/>
      <c r="D59" s="1821"/>
      <c r="E59" s="1821"/>
      <c r="F59" s="1821"/>
      <c r="G59" s="1821"/>
      <c r="H59" s="1821"/>
      <c r="I59" s="379"/>
      <c r="J59" s="379"/>
    </row>
    <row r="60" spans="2:10" ht="16.5" customHeight="1" x14ac:dyDescent="0.15">
      <c r="B60" s="381" t="s">
        <v>216</v>
      </c>
      <c r="C60" s="380" t="str">
        <f>IF(O3=2,"Autres","Others")</f>
        <v>Others</v>
      </c>
      <c r="D60" s="1821"/>
      <c r="E60" s="1821"/>
      <c r="F60" s="1821"/>
      <c r="G60" s="1821"/>
      <c r="H60" s="1821"/>
      <c r="I60" s="379"/>
      <c r="J60" s="379"/>
    </row>
    <row r="61" spans="2:10" ht="16" x14ac:dyDescent="0.15">
      <c r="B61" s="387"/>
      <c r="C61" s="382"/>
      <c r="D61" s="382"/>
      <c r="E61" s="382"/>
      <c r="F61" s="382"/>
      <c r="G61" s="1822" t="s">
        <v>179</v>
      </c>
      <c r="H61" s="1822"/>
      <c r="I61" s="383">
        <f>+SUM(I53:I60)</f>
        <v>0</v>
      </c>
      <c r="J61" s="384">
        <f>+SUM(J53:J60)</f>
        <v>0</v>
      </c>
    </row>
    <row r="62" spans="2:10" ht="17.25" customHeight="1" x14ac:dyDescent="0.15">
      <c r="B62" s="80"/>
      <c r="C62" s="82"/>
      <c r="D62" s="82"/>
      <c r="E62" s="82"/>
      <c r="F62" s="82"/>
      <c r="G62" s="82"/>
      <c r="H62" s="82"/>
      <c r="I62" s="82"/>
      <c r="J62" s="391" t="s">
        <v>457</v>
      </c>
    </row>
    <row r="63" spans="2:10" ht="18" x14ac:dyDescent="0.15">
      <c r="B63" s="376" t="s">
        <v>217</v>
      </c>
      <c r="C63" s="1823" t="str">
        <f>IF(O3=2,"Équipement sportif","Sport Equipment")</f>
        <v>Sport Equipment</v>
      </c>
      <c r="D63" s="1823"/>
      <c r="E63" s="1823"/>
      <c r="F63" s="1823"/>
      <c r="G63" s="1823"/>
      <c r="H63" s="1823"/>
      <c r="I63" s="1823"/>
      <c r="J63" s="1823"/>
    </row>
    <row r="64" spans="2:10" ht="16.5" customHeight="1" x14ac:dyDescent="0.15">
      <c r="B64" s="377" t="s">
        <v>218</v>
      </c>
      <c r="C64" s="378"/>
      <c r="D64" s="1821"/>
      <c r="E64" s="1821"/>
      <c r="F64" s="1821"/>
      <c r="G64" s="1821"/>
      <c r="H64" s="1821"/>
      <c r="I64" s="379"/>
      <c r="J64" s="379"/>
    </row>
    <row r="65" spans="2:10" ht="16.5" customHeight="1" x14ac:dyDescent="0.15">
      <c r="B65" s="377" t="s">
        <v>219</v>
      </c>
      <c r="C65" s="378"/>
      <c r="D65" s="1821"/>
      <c r="E65" s="1821"/>
      <c r="F65" s="1821"/>
      <c r="G65" s="1821"/>
      <c r="H65" s="1821"/>
      <c r="I65" s="379"/>
      <c r="J65" s="379"/>
    </row>
    <row r="66" spans="2:10" ht="16.5" customHeight="1" x14ac:dyDescent="0.15">
      <c r="B66" s="377" t="s">
        <v>220</v>
      </c>
      <c r="C66" s="378"/>
      <c r="D66" s="1821"/>
      <c r="E66" s="1821"/>
      <c r="F66" s="1821"/>
      <c r="G66" s="1821"/>
      <c r="H66" s="1821"/>
      <c r="I66" s="379"/>
      <c r="J66" s="379"/>
    </row>
    <row r="67" spans="2:10" ht="16.5" customHeight="1" x14ac:dyDescent="0.15">
      <c r="B67" s="377" t="s">
        <v>221</v>
      </c>
      <c r="C67" s="378"/>
      <c r="D67" s="1821"/>
      <c r="E67" s="1821"/>
      <c r="F67" s="1821"/>
      <c r="G67" s="1821"/>
      <c r="H67" s="1821"/>
      <c r="I67" s="379"/>
      <c r="J67" s="379"/>
    </row>
    <row r="68" spans="2:10" ht="16.5" customHeight="1" x14ac:dyDescent="0.15">
      <c r="B68" s="377" t="s">
        <v>222</v>
      </c>
      <c r="C68" s="378"/>
      <c r="D68" s="1821"/>
      <c r="E68" s="1821"/>
      <c r="F68" s="1821"/>
      <c r="G68" s="1821"/>
      <c r="H68" s="1821"/>
      <c r="I68" s="379"/>
      <c r="J68" s="379"/>
    </row>
    <row r="69" spans="2:10" ht="16.5" customHeight="1" x14ac:dyDescent="0.15">
      <c r="B69" s="377" t="s">
        <v>223</v>
      </c>
      <c r="C69" s="378"/>
      <c r="D69" s="1821"/>
      <c r="E69" s="1821"/>
      <c r="F69" s="1821"/>
      <c r="G69" s="1821"/>
      <c r="H69" s="1821"/>
      <c r="I69" s="379"/>
      <c r="J69" s="379"/>
    </row>
    <row r="70" spans="2:10" ht="16.5" customHeight="1" x14ac:dyDescent="0.15">
      <c r="B70" s="377" t="s">
        <v>224</v>
      </c>
      <c r="C70" s="378"/>
      <c r="D70" s="1821"/>
      <c r="E70" s="1821"/>
      <c r="F70" s="1821"/>
      <c r="G70" s="1821"/>
      <c r="H70" s="1821"/>
      <c r="I70" s="379"/>
      <c r="J70" s="379"/>
    </row>
    <row r="71" spans="2:10" ht="16.5" customHeight="1" x14ac:dyDescent="0.15">
      <c r="B71" s="381" t="s">
        <v>225</v>
      </c>
      <c r="C71" s="380" t="str">
        <f>IF(O3=2,"Autres","Others")</f>
        <v>Others</v>
      </c>
      <c r="D71" s="1821"/>
      <c r="E71" s="1821"/>
      <c r="F71" s="1821"/>
      <c r="G71" s="1821"/>
      <c r="H71" s="1821"/>
      <c r="I71" s="379"/>
      <c r="J71" s="379"/>
    </row>
    <row r="72" spans="2:10" ht="16" x14ac:dyDescent="0.15">
      <c r="B72" s="387"/>
      <c r="C72" s="382"/>
      <c r="D72" s="392"/>
      <c r="E72" s="392"/>
      <c r="F72" s="392"/>
      <c r="G72" s="1822" t="s">
        <v>179</v>
      </c>
      <c r="H72" s="1822"/>
      <c r="I72" s="383">
        <f>SUM(I64:I71)</f>
        <v>0</v>
      </c>
      <c r="J72" s="384">
        <f>+SUM(J64:J71)</f>
        <v>0</v>
      </c>
    </row>
    <row r="73" spans="2:10" ht="10" customHeight="1" x14ac:dyDescent="0.15">
      <c r="B73" s="5"/>
      <c r="C73" s="5"/>
      <c r="D73" s="5"/>
      <c r="E73" s="5"/>
      <c r="F73" s="5"/>
      <c r="G73" s="5"/>
      <c r="H73" s="5"/>
      <c r="I73" s="5"/>
      <c r="J73" s="5"/>
    </row>
    <row r="74" spans="2:10" ht="18" x14ac:dyDescent="0.15">
      <c r="B74" s="376" t="s">
        <v>226</v>
      </c>
      <c r="C74" s="1823" t="str">
        <f>IF(O3=2,"Équipement de photographie","Photography Equipment")</f>
        <v>Photography Equipment</v>
      </c>
      <c r="D74" s="1823"/>
      <c r="E74" s="1823"/>
      <c r="F74" s="1823"/>
      <c r="G74" s="1823"/>
      <c r="H74" s="1823"/>
      <c r="I74" s="1823"/>
      <c r="J74" s="1823"/>
    </row>
    <row r="75" spans="2:10" ht="16.5" customHeight="1" x14ac:dyDescent="0.15">
      <c r="B75" s="388" t="s">
        <v>227</v>
      </c>
      <c r="C75" s="378"/>
      <c r="D75" s="1821"/>
      <c r="E75" s="1821"/>
      <c r="F75" s="1821"/>
      <c r="G75" s="1821"/>
      <c r="H75" s="1821"/>
      <c r="I75" s="379"/>
      <c r="J75" s="379"/>
    </row>
    <row r="76" spans="2:10" ht="16.5" customHeight="1" x14ac:dyDescent="0.15">
      <c r="B76" s="388" t="s">
        <v>228</v>
      </c>
      <c r="C76" s="378"/>
      <c r="D76" s="1821"/>
      <c r="E76" s="1821"/>
      <c r="F76" s="1821"/>
      <c r="G76" s="1821"/>
      <c r="H76" s="1821"/>
      <c r="I76" s="379"/>
      <c r="J76" s="379"/>
    </row>
    <row r="77" spans="2:10" ht="16.5" customHeight="1" x14ac:dyDescent="0.15">
      <c r="B77" s="388" t="s">
        <v>229</v>
      </c>
      <c r="C77" s="378"/>
      <c r="D77" s="1821"/>
      <c r="E77" s="1821"/>
      <c r="F77" s="1821"/>
      <c r="G77" s="1821"/>
      <c r="H77" s="1821"/>
      <c r="I77" s="379"/>
      <c r="J77" s="379"/>
    </row>
    <row r="78" spans="2:10" ht="16.5" customHeight="1" x14ac:dyDescent="0.15">
      <c r="B78" s="388" t="s">
        <v>230</v>
      </c>
      <c r="C78" s="378"/>
      <c r="D78" s="1821"/>
      <c r="E78" s="1821"/>
      <c r="F78" s="1821"/>
      <c r="G78" s="1821"/>
      <c r="H78" s="1821"/>
      <c r="I78" s="379"/>
      <c r="J78" s="379"/>
    </row>
    <row r="79" spans="2:10" ht="16.5" customHeight="1" x14ac:dyDescent="0.15">
      <c r="B79" s="388" t="s">
        <v>231</v>
      </c>
      <c r="C79" s="378"/>
      <c r="D79" s="1821"/>
      <c r="E79" s="1821"/>
      <c r="F79" s="1821"/>
      <c r="G79" s="1821"/>
      <c r="H79" s="1821"/>
      <c r="I79" s="379"/>
      <c r="J79" s="379"/>
    </row>
    <row r="80" spans="2:10" ht="16.5" customHeight="1" x14ac:dyDescent="0.15">
      <c r="B80" s="388" t="s">
        <v>232</v>
      </c>
      <c r="C80" s="378"/>
      <c r="D80" s="1821"/>
      <c r="E80" s="1821"/>
      <c r="F80" s="1821"/>
      <c r="G80" s="1821"/>
      <c r="H80" s="1821"/>
      <c r="I80" s="379"/>
      <c r="J80" s="379"/>
    </row>
    <row r="81" spans="2:10" ht="16.5" customHeight="1" x14ac:dyDescent="0.15">
      <c r="B81" s="388" t="s">
        <v>233</v>
      </c>
      <c r="C81" s="380" t="str">
        <f>IF(O3=2,"Accessoires","Accessories")</f>
        <v>Accessories</v>
      </c>
      <c r="D81" s="1821"/>
      <c r="E81" s="1821"/>
      <c r="F81" s="1821"/>
      <c r="G81" s="1821"/>
      <c r="H81" s="1821"/>
      <c r="I81" s="379"/>
      <c r="J81" s="379"/>
    </row>
    <row r="82" spans="2:10" ht="16.5" customHeight="1" x14ac:dyDescent="0.15">
      <c r="B82" s="389" t="s">
        <v>234</v>
      </c>
      <c r="C82" s="380" t="str">
        <f>IF(O3=2,"Autres","Others")</f>
        <v>Others</v>
      </c>
      <c r="D82" s="1821"/>
      <c r="E82" s="1821"/>
      <c r="F82" s="1821"/>
      <c r="G82" s="1821"/>
      <c r="H82" s="1821"/>
      <c r="I82" s="379"/>
      <c r="J82" s="379"/>
    </row>
    <row r="83" spans="2:10" ht="16" x14ac:dyDescent="0.15">
      <c r="B83" s="387"/>
      <c r="C83" s="382"/>
      <c r="D83" s="382"/>
      <c r="E83" s="382"/>
      <c r="F83" s="382"/>
      <c r="G83" s="1822" t="s">
        <v>179</v>
      </c>
      <c r="H83" s="1822"/>
      <c r="I83" s="383">
        <f>+SUM(I75:I82)</f>
        <v>0</v>
      </c>
      <c r="J83" s="384">
        <f>+SUM(J75:J82)</f>
        <v>0</v>
      </c>
    </row>
    <row r="84" spans="2:10" ht="10" customHeight="1" x14ac:dyDescent="0.15">
      <c r="B84" s="393"/>
      <c r="I84" s="270"/>
      <c r="J84" s="394"/>
    </row>
    <row r="85" spans="2:10" ht="18" x14ac:dyDescent="0.15">
      <c r="B85" s="376" t="s">
        <v>235</v>
      </c>
      <c r="C85" s="1823" t="str">
        <f>IF(O3=2,"Équipement de plein-air","Field Equipment")</f>
        <v>Field Equipment</v>
      </c>
      <c r="D85" s="1823"/>
      <c r="E85" s="1823"/>
      <c r="F85" s="1823"/>
      <c r="G85" s="1823"/>
      <c r="H85" s="1823"/>
      <c r="I85" s="1823"/>
      <c r="J85" s="1823"/>
    </row>
    <row r="86" spans="2:10" ht="16.5" customHeight="1" x14ac:dyDescent="0.15">
      <c r="B86" s="377" t="s">
        <v>236</v>
      </c>
      <c r="C86" s="378"/>
      <c r="D86" s="1821"/>
      <c r="E86" s="1821"/>
      <c r="F86" s="1821"/>
      <c r="G86" s="1821"/>
      <c r="H86" s="1821"/>
      <c r="I86" s="379"/>
      <c r="J86" s="379"/>
    </row>
    <row r="87" spans="2:10" ht="16.5" customHeight="1" x14ac:dyDescent="0.15">
      <c r="B87" s="377" t="s">
        <v>237</v>
      </c>
      <c r="C87" s="378"/>
      <c r="D87" s="1821"/>
      <c r="E87" s="1821"/>
      <c r="F87" s="1821"/>
      <c r="G87" s="1821"/>
      <c r="H87" s="1821"/>
      <c r="I87" s="379"/>
      <c r="J87" s="379"/>
    </row>
    <row r="88" spans="2:10" ht="16.5" customHeight="1" x14ac:dyDescent="0.15">
      <c r="B88" s="377" t="s">
        <v>238</v>
      </c>
      <c r="C88" s="378"/>
      <c r="D88" s="1821"/>
      <c r="E88" s="1821"/>
      <c r="F88" s="1821"/>
      <c r="G88" s="1821"/>
      <c r="H88" s="1821"/>
      <c r="I88" s="379"/>
      <c r="J88" s="379"/>
    </row>
    <row r="89" spans="2:10" ht="16.5" customHeight="1" x14ac:dyDescent="0.15">
      <c r="B89" s="377" t="s">
        <v>239</v>
      </c>
      <c r="C89" s="378"/>
      <c r="D89" s="1821"/>
      <c r="E89" s="1821"/>
      <c r="F89" s="1821"/>
      <c r="G89" s="1821"/>
      <c r="H89" s="1821"/>
      <c r="I89" s="379"/>
      <c r="J89" s="379"/>
    </row>
    <row r="90" spans="2:10" ht="16.5" customHeight="1" x14ac:dyDescent="0.15">
      <c r="B90" s="377" t="s">
        <v>240</v>
      </c>
      <c r="C90" s="378"/>
      <c r="D90" s="1821"/>
      <c r="E90" s="1821"/>
      <c r="F90" s="1821"/>
      <c r="G90" s="1821"/>
      <c r="H90" s="1821"/>
      <c r="I90" s="379"/>
      <c r="J90" s="379"/>
    </row>
    <row r="91" spans="2:10" ht="16.5" customHeight="1" x14ac:dyDescent="0.15">
      <c r="B91" s="377" t="s">
        <v>241</v>
      </c>
      <c r="C91" s="378"/>
      <c r="D91" s="1821"/>
      <c r="E91" s="1821"/>
      <c r="F91" s="1821"/>
      <c r="G91" s="1821"/>
      <c r="H91" s="1821"/>
      <c r="I91" s="379"/>
      <c r="J91" s="379"/>
    </row>
    <row r="92" spans="2:10" ht="16.5" customHeight="1" x14ac:dyDescent="0.15">
      <c r="B92" s="377" t="s">
        <v>242</v>
      </c>
      <c r="C92" s="378"/>
      <c r="D92" s="1821"/>
      <c r="E92" s="1821"/>
      <c r="F92" s="1821"/>
      <c r="G92" s="1821"/>
      <c r="H92" s="1821"/>
      <c r="I92" s="379"/>
      <c r="J92" s="379"/>
    </row>
    <row r="93" spans="2:10" ht="16.5" customHeight="1" x14ac:dyDescent="0.15">
      <c r="B93" s="381" t="s">
        <v>243</v>
      </c>
      <c r="C93" s="380" t="str">
        <f>IF(O3=2,"Autres","Others")</f>
        <v>Others</v>
      </c>
      <c r="D93" s="1821"/>
      <c r="E93" s="1821"/>
      <c r="F93" s="1821"/>
      <c r="G93" s="1821"/>
      <c r="H93" s="1821"/>
      <c r="I93" s="379"/>
      <c r="J93" s="379"/>
    </row>
    <row r="94" spans="2:10" ht="16" x14ac:dyDescent="0.15">
      <c r="B94" s="387"/>
      <c r="C94" s="382"/>
      <c r="D94" s="392"/>
      <c r="E94" s="392"/>
      <c r="F94" s="392"/>
      <c r="G94" s="1822" t="s">
        <v>179</v>
      </c>
      <c r="H94" s="1822"/>
      <c r="I94" s="383">
        <f>SUM(I86:I93)</f>
        <v>0</v>
      </c>
      <c r="J94" s="384">
        <f>+SUM(J86:J93)</f>
        <v>0</v>
      </c>
    </row>
    <row r="95" spans="2:10" ht="10" customHeight="1" x14ac:dyDescent="0.15">
      <c r="B95" s="80"/>
      <c r="I95" s="270"/>
      <c r="J95" s="270"/>
    </row>
    <row r="96" spans="2:10" ht="18" x14ac:dyDescent="0.15">
      <c r="B96" s="376" t="s">
        <v>244</v>
      </c>
      <c r="C96" s="1823" t="str">
        <f>IF(O3=2,"Équipement électronique","Electronic Equipment")</f>
        <v>Electronic Equipment</v>
      </c>
      <c r="D96" s="1823"/>
      <c r="E96" s="1823"/>
      <c r="F96" s="1823"/>
      <c r="G96" s="1823"/>
      <c r="H96" s="1823"/>
      <c r="I96" s="1823"/>
      <c r="J96" s="1823"/>
    </row>
    <row r="97" spans="2:10" ht="16.5" customHeight="1" x14ac:dyDescent="0.15">
      <c r="B97" s="377" t="s">
        <v>245</v>
      </c>
      <c r="C97" s="395"/>
      <c r="D97" s="1821"/>
      <c r="E97" s="1821"/>
      <c r="F97" s="1821"/>
      <c r="G97" s="1821"/>
      <c r="H97" s="1821"/>
      <c r="I97" s="379"/>
      <c r="J97" s="379"/>
    </row>
    <row r="98" spans="2:10" ht="16.5" customHeight="1" x14ac:dyDescent="0.15">
      <c r="B98" s="377" t="s">
        <v>246</v>
      </c>
      <c r="C98" s="395"/>
      <c r="D98" s="1821"/>
      <c r="E98" s="1821"/>
      <c r="F98" s="1821"/>
      <c r="G98" s="1821"/>
      <c r="H98" s="1821"/>
      <c r="I98" s="379"/>
      <c r="J98" s="379"/>
    </row>
    <row r="99" spans="2:10" ht="16.5" customHeight="1" x14ac:dyDescent="0.15">
      <c r="B99" s="377" t="s">
        <v>247</v>
      </c>
      <c r="C99" s="395"/>
      <c r="D99" s="1821"/>
      <c r="E99" s="1821"/>
      <c r="F99" s="1821"/>
      <c r="G99" s="1821"/>
      <c r="H99" s="1821"/>
      <c r="I99" s="379"/>
      <c r="J99" s="379"/>
    </row>
    <row r="100" spans="2:10" ht="16.5" customHeight="1" x14ac:dyDescent="0.15">
      <c r="B100" s="377" t="s">
        <v>248</v>
      </c>
      <c r="C100" s="395"/>
      <c r="D100" s="1821"/>
      <c r="E100" s="1821"/>
      <c r="F100" s="1821"/>
      <c r="G100" s="1821"/>
      <c r="H100" s="1821"/>
      <c r="I100" s="379"/>
      <c r="J100" s="379"/>
    </row>
    <row r="101" spans="2:10" ht="16.5" customHeight="1" x14ac:dyDescent="0.15">
      <c r="B101" s="377" t="s">
        <v>249</v>
      </c>
      <c r="C101" s="395"/>
      <c r="D101" s="1821"/>
      <c r="E101" s="1821"/>
      <c r="F101" s="1821"/>
      <c r="G101" s="1821"/>
      <c r="H101" s="1821"/>
      <c r="I101" s="379"/>
      <c r="J101" s="379"/>
    </row>
    <row r="102" spans="2:10" ht="16.5" customHeight="1" x14ac:dyDescent="0.15">
      <c r="B102" s="377" t="s">
        <v>250</v>
      </c>
      <c r="C102" s="395"/>
      <c r="D102" s="1821"/>
      <c r="E102" s="1821"/>
      <c r="F102" s="1821"/>
      <c r="G102" s="1821"/>
      <c r="H102" s="1821"/>
      <c r="I102" s="379"/>
      <c r="J102" s="379"/>
    </row>
    <row r="103" spans="2:10" ht="16.5" customHeight="1" x14ac:dyDescent="0.15">
      <c r="B103" s="377" t="s">
        <v>251</v>
      </c>
      <c r="C103" s="207" t="str">
        <f>IF(O3=2,"Accessoires","Accessories")</f>
        <v>Accessories</v>
      </c>
      <c r="D103" s="1821"/>
      <c r="E103" s="1821"/>
      <c r="F103" s="1821"/>
      <c r="G103" s="1821"/>
      <c r="H103" s="1821"/>
      <c r="I103" s="379"/>
      <c r="J103" s="379"/>
    </row>
    <row r="104" spans="2:10" ht="16.5" customHeight="1" x14ac:dyDescent="0.15">
      <c r="B104" s="381" t="s">
        <v>252</v>
      </c>
      <c r="C104" s="207" t="str">
        <f>IF(O3=2,"Autres","Others")</f>
        <v>Others</v>
      </c>
      <c r="D104" s="1821"/>
      <c r="E104" s="1821"/>
      <c r="F104" s="1821"/>
      <c r="G104" s="1821"/>
      <c r="H104" s="1821"/>
      <c r="I104" s="379"/>
      <c r="J104" s="379"/>
    </row>
    <row r="105" spans="2:10" ht="16" x14ac:dyDescent="0.15">
      <c r="B105" s="387"/>
      <c r="C105" s="382"/>
      <c r="D105" s="392"/>
      <c r="E105" s="392"/>
      <c r="F105" s="392"/>
      <c r="G105" s="1822" t="s">
        <v>179</v>
      </c>
      <c r="H105" s="1822"/>
      <c r="I105" s="383">
        <f>SUM(I97:I104)</f>
        <v>0</v>
      </c>
      <c r="J105" s="384">
        <f>+SUM(J97:J104)</f>
        <v>0</v>
      </c>
    </row>
    <row r="106" spans="2:10" ht="15" customHeight="1" x14ac:dyDescent="0.15">
      <c r="B106" s="80"/>
      <c r="I106" s="270"/>
      <c r="J106" s="391" t="s">
        <v>456</v>
      </c>
    </row>
    <row r="107" spans="2:10" ht="18" x14ac:dyDescent="0.15">
      <c r="B107" s="376" t="s">
        <v>253</v>
      </c>
      <c r="C107" s="1823" t="str">
        <f>IF(O3=2,"Instruments de musique &amp; Accessoires","Music Instruments &amp; Accessories")</f>
        <v>Music Instruments &amp; Accessories</v>
      </c>
      <c r="D107" s="1823"/>
      <c r="E107" s="1823"/>
      <c r="F107" s="1823"/>
      <c r="G107" s="1823"/>
      <c r="H107" s="1823"/>
      <c r="I107" s="1823"/>
      <c r="J107" s="1823"/>
    </row>
    <row r="108" spans="2:10" ht="16.5" customHeight="1" x14ac:dyDescent="0.15">
      <c r="B108" s="388" t="s">
        <v>254</v>
      </c>
      <c r="C108" s="395"/>
      <c r="D108" s="1821"/>
      <c r="E108" s="1821"/>
      <c r="F108" s="1821"/>
      <c r="G108" s="1821"/>
      <c r="H108" s="1821"/>
      <c r="I108" s="379"/>
      <c r="J108" s="379"/>
    </row>
    <row r="109" spans="2:10" ht="16.5" customHeight="1" x14ac:dyDescent="0.15">
      <c r="B109" s="388" t="s">
        <v>255</v>
      </c>
      <c r="C109" s="395"/>
      <c r="D109" s="1821"/>
      <c r="E109" s="1821"/>
      <c r="F109" s="1821"/>
      <c r="G109" s="1821"/>
      <c r="H109" s="1821"/>
      <c r="I109" s="379"/>
      <c r="J109" s="379"/>
    </row>
    <row r="110" spans="2:10" ht="16.5" customHeight="1" x14ac:dyDescent="0.15">
      <c r="B110" s="388" t="s">
        <v>256</v>
      </c>
      <c r="C110" s="395"/>
      <c r="D110" s="1821"/>
      <c r="E110" s="1821"/>
      <c r="F110" s="1821"/>
      <c r="G110" s="1821"/>
      <c r="H110" s="1821"/>
      <c r="I110" s="379"/>
      <c r="J110" s="379"/>
    </row>
    <row r="111" spans="2:10" ht="16.5" customHeight="1" x14ac:dyDescent="0.15">
      <c r="B111" s="388" t="s">
        <v>257</v>
      </c>
      <c r="C111" s="395"/>
      <c r="D111" s="1821"/>
      <c r="E111" s="1821"/>
      <c r="F111" s="1821"/>
      <c r="G111" s="1821"/>
      <c r="H111" s="1821"/>
      <c r="I111" s="379"/>
      <c r="J111" s="379"/>
    </row>
    <row r="112" spans="2:10" ht="16.5" customHeight="1" x14ac:dyDescent="0.15">
      <c r="B112" s="388" t="s">
        <v>258</v>
      </c>
      <c r="C112" s="395"/>
      <c r="D112" s="1821"/>
      <c r="E112" s="1821"/>
      <c r="F112" s="1821"/>
      <c r="G112" s="1821"/>
      <c r="H112" s="1821"/>
      <c r="I112" s="379"/>
      <c r="J112" s="379"/>
    </row>
    <row r="113" spans="2:10" ht="16.5" customHeight="1" x14ac:dyDescent="0.15">
      <c r="B113" s="388" t="s">
        <v>259</v>
      </c>
      <c r="C113" s="395"/>
      <c r="D113" s="1821"/>
      <c r="E113" s="1821"/>
      <c r="F113" s="1821"/>
      <c r="G113" s="1821"/>
      <c r="H113" s="1821"/>
      <c r="I113" s="379"/>
      <c r="J113" s="379"/>
    </row>
    <row r="114" spans="2:10" ht="16.5" customHeight="1" x14ac:dyDescent="0.15">
      <c r="B114" s="388" t="s">
        <v>260</v>
      </c>
      <c r="C114" s="395"/>
      <c r="D114" s="1821"/>
      <c r="E114" s="1821"/>
      <c r="F114" s="1821"/>
      <c r="G114" s="1821"/>
      <c r="H114" s="1821"/>
      <c r="I114" s="379"/>
      <c r="J114" s="379"/>
    </row>
    <row r="115" spans="2:10" ht="16.5" customHeight="1" x14ac:dyDescent="0.15">
      <c r="B115" s="388" t="s">
        <v>261</v>
      </c>
      <c r="C115" s="395"/>
      <c r="D115" s="1821"/>
      <c r="E115" s="1821"/>
      <c r="F115" s="1821"/>
      <c r="G115" s="1821"/>
      <c r="H115" s="1821"/>
      <c r="I115" s="379"/>
      <c r="J115" s="379"/>
    </row>
    <row r="116" spans="2:10" ht="16.5" customHeight="1" x14ac:dyDescent="0.15">
      <c r="B116" s="388" t="s">
        <v>262</v>
      </c>
      <c r="C116" s="395"/>
      <c r="D116" s="1821"/>
      <c r="E116" s="1821"/>
      <c r="F116" s="1821"/>
      <c r="G116" s="1821"/>
      <c r="H116" s="1821"/>
      <c r="I116" s="379"/>
      <c r="J116" s="379"/>
    </row>
    <row r="117" spans="2:10" ht="16.5" customHeight="1" x14ac:dyDescent="0.15">
      <c r="B117" s="388" t="s">
        <v>263</v>
      </c>
      <c r="C117" s="395"/>
      <c r="D117" s="1821"/>
      <c r="E117" s="1821"/>
      <c r="F117" s="1821"/>
      <c r="G117" s="1821"/>
      <c r="H117" s="1821"/>
      <c r="I117" s="379"/>
      <c r="J117" s="379"/>
    </row>
    <row r="118" spans="2:10" ht="16.5" customHeight="1" x14ac:dyDescent="0.15">
      <c r="B118" s="388" t="s">
        <v>264</v>
      </c>
      <c r="C118" s="395"/>
      <c r="D118" s="1821"/>
      <c r="E118" s="1821"/>
      <c r="F118" s="1821"/>
      <c r="G118" s="1821"/>
      <c r="H118" s="1821"/>
      <c r="I118" s="379"/>
      <c r="J118" s="379"/>
    </row>
    <row r="119" spans="2:10" ht="16.5" customHeight="1" x14ac:dyDescent="0.15">
      <c r="B119" s="388" t="s">
        <v>265</v>
      </c>
      <c r="C119" s="395"/>
      <c r="D119" s="1821"/>
      <c r="E119" s="1821"/>
      <c r="F119" s="1821"/>
      <c r="G119" s="1821"/>
      <c r="H119" s="1821"/>
      <c r="I119" s="379"/>
      <c r="J119" s="379"/>
    </row>
    <row r="120" spans="2:10" ht="16.5" customHeight="1" x14ac:dyDescent="0.15">
      <c r="B120" s="388" t="s">
        <v>266</v>
      </c>
      <c r="C120" s="395"/>
      <c r="D120" s="1821"/>
      <c r="E120" s="1821"/>
      <c r="F120" s="1821"/>
      <c r="G120" s="1821"/>
      <c r="H120" s="1821"/>
      <c r="I120" s="379"/>
      <c r="J120" s="379"/>
    </row>
    <row r="121" spans="2:10" ht="16.5" customHeight="1" x14ac:dyDescent="0.15">
      <c r="B121" s="388" t="s">
        <v>267</v>
      </c>
      <c r="C121" s="395"/>
      <c r="D121" s="1821"/>
      <c r="E121" s="1821"/>
      <c r="F121" s="1821"/>
      <c r="G121" s="1821"/>
      <c r="H121" s="1821"/>
      <c r="I121" s="379"/>
      <c r="J121" s="379"/>
    </row>
    <row r="122" spans="2:10" ht="16.5" customHeight="1" x14ac:dyDescent="0.15">
      <c r="B122" s="388" t="s">
        <v>268</v>
      </c>
      <c r="C122" s="207" t="str">
        <f>IF(O3=2,"Accessoires","Accessories")</f>
        <v>Accessories</v>
      </c>
      <c r="D122" s="1821"/>
      <c r="E122" s="1821"/>
      <c r="F122" s="1821"/>
      <c r="G122" s="1821"/>
      <c r="H122" s="1821"/>
      <c r="I122" s="379"/>
      <c r="J122" s="379"/>
    </row>
    <row r="123" spans="2:10" ht="16.5" customHeight="1" x14ac:dyDescent="0.15">
      <c r="B123" s="389" t="s">
        <v>269</v>
      </c>
      <c r="C123" s="207" t="str">
        <f>IF(O3=2,"Autres","Others")</f>
        <v>Others</v>
      </c>
      <c r="D123" s="1821"/>
      <c r="E123" s="1821"/>
      <c r="F123" s="1821"/>
      <c r="G123" s="1821"/>
      <c r="H123" s="1821"/>
      <c r="I123" s="379"/>
      <c r="J123" s="379"/>
    </row>
    <row r="124" spans="2:10" ht="16" x14ac:dyDescent="0.15">
      <c r="B124" s="387"/>
      <c r="C124" s="382"/>
      <c r="D124" s="382"/>
      <c r="E124" s="382"/>
      <c r="F124" s="382"/>
      <c r="G124" s="1822" t="s">
        <v>179</v>
      </c>
      <c r="H124" s="1822"/>
      <c r="I124" s="383">
        <f>+SUM(I108:I123)</f>
        <v>0</v>
      </c>
      <c r="J124" s="384">
        <f>+SUM(J108:J123)</f>
        <v>0</v>
      </c>
    </row>
    <row r="125" spans="2:10" ht="10" customHeight="1" x14ac:dyDescent="0.15">
      <c r="B125" s="80"/>
      <c r="I125" s="270"/>
      <c r="J125" s="270"/>
    </row>
    <row r="126" spans="2:10" ht="18" x14ac:dyDescent="0.15">
      <c r="B126" s="376" t="s">
        <v>270</v>
      </c>
      <c r="C126" s="1823" t="str">
        <f>IF(O3=2,"Trophées &amp; Récompenses","Trophies &amp; Awards")</f>
        <v>Trophies &amp; Awards</v>
      </c>
      <c r="D126" s="1823"/>
      <c r="E126" s="1823"/>
      <c r="F126" s="1823"/>
      <c r="G126" s="1823"/>
      <c r="H126" s="1823"/>
      <c r="I126" s="1823"/>
      <c r="J126" s="1823"/>
    </row>
    <row r="127" spans="2:10" ht="16.5" customHeight="1" x14ac:dyDescent="0.15">
      <c r="B127" s="377" t="s">
        <v>271</v>
      </c>
      <c r="C127" s="378"/>
      <c r="D127" s="1821"/>
      <c r="E127" s="1821"/>
      <c r="F127" s="1821"/>
      <c r="G127" s="1821"/>
      <c r="H127" s="1821"/>
      <c r="I127" s="379"/>
      <c r="J127" s="379"/>
    </row>
    <row r="128" spans="2:10" ht="16.5" customHeight="1" x14ac:dyDescent="0.15">
      <c r="B128" s="377" t="s">
        <v>272</v>
      </c>
      <c r="C128" s="378"/>
      <c r="D128" s="1821"/>
      <c r="E128" s="1821"/>
      <c r="F128" s="1821"/>
      <c r="G128" s="1821"/>
      <c r="H128" s="1821"/>
      <c r="I128" s="379"/>
      <c r="J128" s="379"/>
    </row>
    <row r="129" spans="2:10" ht="16.5" customHeight="1" x14ac:dyDescent="0.15">
      <c r="B129" s="377" t="s">
        <v>273</v>
      </c>
      <c r="C129" s="378"/>
      <c r="D129" s="1821"/>
      <c r="E129" s="1821"/>
      <c r="F129" s="1821"/>
      <c r="G129" s="1821"/>
      <c r="H129" s="1821"/>
      <c r="I129" s="379"/>
      <c r="J129" s="379"/>
    </row>
    <row r="130" spans="2:10" ht="16.5" customHeight="1" x14ac:dyDescent="0.15">
      <c r="B130" s="377" t="s">
        <v>274</v>
      </c>
      <c r="C130" s="378"/>
      <c r="D130" s="1821"/>
      <c r="E130" s="1821"/>
      <c r="F130" s="1821"/>
      <c r="G130" s="1821"/>
      <c r="H130" s="1821"/>
      <c r="I130" s="379"/>
      <c r="J130" s="379"/>
    </row>
    <row r="131" spans="2:10" ht="16.5" customHeight="1" x14ac:dyDescent="0.15">
      <c r="B131" s="377" t="s">
        <v>275</v>
      </c>
      <c r="C131" s="378"/>
      <c r="D131" s="1821"/>
      <c r="E131" s="1821"/>
      <c r="F131" s="1821"/>
      <c r="G131" s="1821"/>
      <c r="H131" s="1821"/>
      <c r="I131" s="379"/>
      <c r="J131" s="379"/>
    </row>
    <row r="132" spans="2:10" ht="16.5" customHeight="1" x14ac:dyDescent="0.15">
      <c r="B132" s="377" t="s">
        <v>276</v>
      </c>
      <c r="C132" s="378"/>
      <c r="D132" s="1821"/>
      <c r="E132" s="1821"/>
      <c r="F132" s="1821"/>
      <c r="G132" s="1821"/>
      <c r="H132" s="1821"/>
      <c r="I132" s="379"/>
      <c r="J132" s="379"/>
    </row>
    <row r="133" spans="2:10" ht="16.5" customHeight="1" x14ac:dyDescent="0.15">
      <c r="B133" s="377" t="s">
        <v>277</v>
      </c>
      <c r="C133" s="378"/>
      <c r="D133" s="1821"/>
      <c r="E133" s="1821"/>
      <c r="F133" s="1821"/>
      <c r="G133" s="1821"/>
      <c r="H133" s="1821"/>
      <c r="I133" s="379"/>
      <c r="J133" s="379"/>
    </row>
    <row r="134" spans="2:10" ht="16.5" customHeight="1" x14ac:dyDescent="0.15">
      <c r="B134" s="377" t="s">
        <v>278</v>
      </c>
      <c r="C134" s="380" t="str">
        <f>IF(O3=2,"Autres","Others")</f>
        <v>Others</v>
      </c>
      <c r="D134" s="1821"/>
      <c r="E134" s="1821"/>
      <c r="F134" s="1821"/>
      <c r="G134" s="1821"/>
      <c r="H134" s="1821"/>
      <c r="I134" s="379"/>
      <c r="J134" s="379"/>
    </row>
    <row r="135" spans="2:10" ht="16" x14ac:dyDescent="0.15">
      <c r="B135" s="387"/>
      <c r="C135" s="382"/>
      <c r="D135" s="392"/>
      <c r="E135" s="392"/>
      <c r="F135" s="392"/>
      <c r="G135" s="1822" t="s">
        <v>179</v>
      </c>
      <c r="H135" s="1822"/>
      <c r="I135" s="383">
        <f>SUM(I127:I134)</f>
        <v>0</v>
      </c>
      <c r="J135" s="384">
        <f>+SUM(J127:J134)</f>
        <v>0</v>
      </c>
    </row>
    <row r="136" spans="2:10" ht="10" customHeight="1" x14ac:dyDescent="0.15">
      <c r="B136" s="80"/>
      <c r="I136" s="270"/>
      <c r="J136" s="270"/>
    </row>
    <row r="137" spans="2:10" ht="18" x14ac:dyDescent="0.15">
      <c r="B137" s="376" t="s">
        <v>279</v>
      </c>
      <c r="C137" s="1823" t="str">
        <f>IF(O3=2,"Divers","Miscellaneous")</f>
        <v>Miscellaneous</v>
      </c>
      <c r="D137" s="1823"/>
      <c r="E137" s="1823"/>
      <c r="F137" s="1823"/>
      <c r="G137" s="1823"/>
      <c r="H137" s="1823"/>
      <c r="I137" s="1823"/>
      <c r="J137" s="1823"/>
    </row>
    <row r="138" spans="2:10" ht="16.5" customHeight="1" x14ac:dyDescent="0.15">
      <c r="B138" s="377" t="s">
        <v>280</v>
      </c>
      <c r="C138" s="378"/>
      <c r="D138" s="1821"/>
      <c r="E138" s="1821"/>
      <c r="F138" s="1821"/>
      <c r="G138" s="1821"/>
      <c r="H138" s="1821"/>
      <c r="I138" s="379"/>
      <c r="J138" s="379"/>
    </row>
    <row r="139" spans="2:10" ht="16.5" customHeight="1" x14ac:dyDescent="0.15">
      <c r="B139" s="377" t="s">
        <v>281</v>
      </c>
      <c r="C139" s="378"/>
      <c r="D139" s="1821"/>
      <c r="E139" s="1821"/>
      <c r="F139" s="1821"/>
      <c r="G139" s="1821"/>
      <c r="H139" s="1821"/>
      <c r="I139" s="379"/>
      <c r="J139" s="379"/>
    </row>
    <row r="140" spans="2:10" ht="16.5" customHeight="1" x14ac:dyDescent="0.15">
      <c r="B140" s="377" t="s">
        <v>282</v>
      </c>
      <c r="C140" s="378"/>
      <c r="D140" s="1821"/>
      <c r="E140" s="1821"/>
      <c r="F140" s="1821"/>
      <c r="G140" s="1821"/>
      <c r="H140" s="1821"/>
      <c r="I140" s="379"/>
      <c r="J140" s="379"/>
    </row>
    <row r="141" spans="2:10" ht="16.5" customHeight="1" x14ac:dyDescent="0.15">
      <c r="B141" s="377" t="s">
        <v>283</v>
      </c>
      <c r="C141" s="378"/>
      <c r="D141" s="1821"/>
      <c r="E141" s="1821"/>
      <c r="F141" s="1821"/>
      <c r="G141" s="1821"/>
      <c r="H141" s="1821"/>
      <c r="I141" s="379"/>
      <c r="J141" s="379"/>
    </row>
    <row r="142" spans="2:10" ht="16.5" customHeight="1" x14ac:dyDescent="0.15">
      <c r="B142" s="377" t="s">
        <v>284</v>
      </c>
      <c r="C142" s="378"/>
      <c r="D142" s="1821"/>
      <c r="E142" s="1821"/>
      <c r="F142" s="1821"/>
      <c r="G142" s="1821"/>
      <c r="H142" s="1821"/>
      <c r="I142" s="379"/>
      <c r="J142" s="379"/>
    </row>
    <row r="143" spans="2:10" ht="16.5" customHeight="1" x14ac:dyDescent="0.15">
      <c r="B143" s="377" t="s">
        <v>285</v>
      </c>
      <c r="C143" s="378"/>
      <c r="D143" s="1821"/>
      <c r="E143" s="1821"/>
      <c r="F143" s="1821"/>
      <c r="G143" s="1821"/>
      <c r="H143" s="1821"/>
      <c r="I143" s="379"/>
      <c r="J143" s="379"/>
    </row>
    <row r="144" spans="2:10" ht="16.5" customHeight="1" x14ac:dyDescent="0.15">
      <c r="B144" s="377" t="s">
        <v>286</v>
      </c>
      <c r="C144" s="378"/>
      <c r="D144" s="1821"/>
      <c r="E144" s="1821"/>
      <c r="F144" s="1821"/>
      <c r="G144" s="1821"/>
      <c r="H144" s="1821"/>
      <c r="I144" s="379"/>
      <c r="J144" s="379"/>
    </row>
    <row r="145" spans="2:14" ht="16.5" customHeight="1" x14ac:dyDescent="0.15">
      <c r="B145" s="381" t="s">
        <v>287</v>
      </c>
      <c r="C145" s="380" t="str">
        <f>IF(O3=2,"Autres","Others")</f>
        <v>Others</v>
      </c>
      <c r="D145" s="1821"/>
      <c r="E145" s="1821"/>
      <c r="F145" s="1821"/>
      <c r="G145" s="1821"/>
      <c r="H145" s="1821"/>
      <c r="I145" s="379"/>
      <c r="J145" s="379"/>
    </row>
    <row r="146" spans="2:14" ht="16" x14ac:dyDescent="0.15">
      <c r="B146" s="387"/>
      <c r="C146" s="382"/>
      <c r="D146" s="392"/>
      <c r="E146" s="392"/>
      <c r="F146" s="392"/>
      <c r="G146" s="1822" t="s">
        <v>179</v>
      </c>
      <c r="H146" s="1822"/>
      <c r="I146" s="383">
        <f>SUM(I138:I145)</f>
        <v>0</v>
      </c>
      <c r="J146" s="384">
        <f>+SUM(J138:J145)</f>
        <v>0</v>
      </c>
    </row>
    <row r="147" spans="2:14" ht="16" x14ac:dyDescent="0.15">
      <c r="B147" s="80"/>
      <c r="C147" s="82"/>
      <c r="G147" s="1819" t="s">
        <v>288</v>
      </c>
      <c r="H147" s="1819"/>
      <c r="I147" s="396">
        <f>SUM(I17,I28,I39,I50,I61,I72,I83,I94,I105,I124,I135,I146)</f>
        <v>0</v>
      </c>
      <c r="J147" s="396">
        <f>SUM(J17,J28,J39,J50,J61,J72,J83,J94,J105,J124,J135,J146)</f>
        <v>0</v>
      </c>
    </row>
    <row r="148" spans="2:14" ht="45.75" customHeight="1" x14ac:dyDescent="0.15">
      <c r="B148" s="1820" t="str">
        <f>IF(O3=2,N148,N149)</f>
        <v>Note: The inventory does not include the DND items. This inventory sheet is be updated on an annual basis.  Assets that are disposed of are to be removed from the list and any fixed assets acquired during the year are to be added. In addition, the total amount of the inventory value will be used to establish the insurance level for next year.</v>
      </c>
      <c r="C148" s="1820"/>
      <c r="D148" s="1820"/>
      <c r="E148" s="1820"/>
      <c r="F148" s="1820"/>
      <c r="G148" s="1820"/>
      <c r="H148" s="1820"/>
      <c r="I148" s="1820"/>
      <c r="J148" s="1820"/>
      <c r="K148" s="397"/>
      <c r="N148" s="12" t="s">
        <v>289</v>
      </c>
    </row>
    <row r="149" spans="2:14" ht="18.75" customHeight="1" x14ac:dyDescent="0.15">
      <c r="J149" s="371" t="s">
        <v>455</v>
      </c>
      <c r="N149" s="12" t="s">
        <v>290</v>
      </c>
    </row>
  </sheetData>
  <sheetProtection algorithmName="SHA-512" hashValue="u4BEtVcphnv2wFyTXi0h2iAYRjG4aHF1n8iVL7fFYD/i3ipsLTGtklSmXvIyL7xLeKQ9S5AbZADi1aWDtOcfFw==" saltValue="JLvBaNu5+2JkixMUEZWY8Q==" spinCount="100000" sheet="1" objects="1" scenarios="1" selectLockedCells="1"/>
  <mergeCells count="137">
    <mergeCell ref="B1:J1"/>
    <mergeCell ref="B2:J2"/>
    <mergeCell ref="B3:J3"/>
    <mergeCell ref="B4:C4"/>
    <mergeCell ref="H4:K4"/>
    <mergeCell ref="D6:H6"/>
    <mergeCell ref="C8:J8"/>
    <mergeCell ref="D9:H9"/>
    <mergeCell ref="D10:H10"/>
    <mergeCell ref="D11:H11"/>
    <mergeCell ref="M11:S19"/>
    <mergeCell ref="D12:H12"/>
    <mergeCell ref="D13:H13"/>
    <mergeCell ref="D14:H14"/>
    <mergeCell ref="D15:H15"/>
    <mergeCell ref="D16:H16"/>
    <mergeCell ref="G17:H17"/>
    <mergeCell ref="C19:J19"/>
    <mergeCell ref="D20:H20"/>
    <mergeCell ref="D21:H21"/>
    <mergeCell ref="D22:H22"/>
    <mergeCell ref="D23:H23"/>
    <mergeCell ref="D24:H24"/>
    <mergeCell ref="D25:H25"/>
    <mergeCell ref="D26:H26"/>
    <mergeCell ref="D27:H27"/>
    <mergeCell ref="G28:H28"/>
    <mergeCell ref="C30:J30"/>
    <mergeCell ref="D31:H31"/>
    <mergeCell ref="D32:H32"/>
    <mergeCell ref="D33:H33"/>
    <mergeCell ref="D34:H34"/>
    <mergeCell ref="D35:H35"/>
    <mergeCell ref="D36:H36"/>
    <mergeCell ref="D37:H37"/>
    <mergeCell ref="D38:H38"/>
    <mergeCell ref="G39:H39"/>
    <mergeCell ref="C41:J41"/>
    <mergeCell ref="D42:H42"/>
    <mergeCell ref="D43:H43"/>
    <mergeCell ref="D44:H44"/>
    <mergeCell ref="D45:H45"/>
    <mergeCell ref="D46:H46"/>
    <mergeCell ref="D47:H47"/>
    <mergeCell ref="D48:H48"/>
    <mergeCell ref="D49:H49"/>
    <mergeCell ref="G50:H50"/>
    <mergeCell ref="C52:J52"/>
    <mergeCell ref="D53:H53"/>
    <mergeCell ref="D54:H54"/>
    <mergeCell ref="D55:H55"/>
    <mergeCell ref="D56:H56"/>
    <mergeCell ref="D57:H57"/>
    <mergeCell ref="D58:H58"/>
    <mergeCell ref="D59:H59"/>
    <mergeCell ref="D60:H60"/>
    <mergeCell ref="G61:H61"/>
    <mergeCell ref="C63:J63"/>
    <mergeCell ref="D64:H64"/>
    <mergeCell ref="D65:H65"/>
    <mergeCell ref="D66:H66"/>
    <mergeCell ref="D67:H67"/>
    <mergeCell ref="D68:H68"/>
    <mergeCell ref="D69:H69"/>
    <mergeCell ref="D70:H70"/>
    <mergeCell ref="D71:H71"/>
    <mergeCell ref="G72:H72"/>
    <mergeCell ref="C74:J74"/>
    <mergeCell ref="D75:H75"/>
    <mergeCell ref="D76:H76"/>
    <mergeCell ref="D77:H77"/>
    <mergeCell ref="D78:H78"/>
    <mergeCell ref="D79:H79"/>
    <mergeCell ref="D80:H80"/>
    <mergeCell ref="D81:H81"/>
    <mergeCell ref="D82:H82"/>
    <mergeCell ref="G83:H83"/>
    <mergeCell ref="C85:J85"/>
    <mergeCell ref="D86:H86"/>
    <mergeCell ref="D87:H87"/>
    <mergeCell ref="D88:H88"/>
    <mergeCell ref="D89:H89"/>
    <mergeCell ref="D90:H90"/>
    <mergeCell ref="D91:H91"/>
    <mergeCell ref="D92:H92"/>
    <mergeCell ref="D93:H93"/>
    <mergeCell ref="G94:H94"/>
    <mergeCell ref="C96:J96"/>
    <mergeCell ref="D97:H97"/>
    <mergeCell ref="D98:H98"/>
    <mergeCell ref="D99:H99"/>
    <mergeCell ref="D100:H100"/>
    <mergeCell ref="D101:H101"/>
    <mergeCell ref="D102:H102"/>
    <mergeCell ref="D103:H103"/>
    <mergeCell ref="D104:H104"/>
    <mergeCell ref="G105:H105"/>
    <mergeCell ref="C107:J107"/>
    <mergeCell ref="D108:H108"/>
    <mergeCell ref="D109:H109"/>
    <mergeCell ref="D110:H110"/>
    <mergeCell ref="D111:H111"/>
    <mergeCell ref="D112:H112"/>
    <mergeCell ref="D113:H113"/>
    <mergeCell ref="D114:H114"/>
    <mergeCell ref="D115:H115"/>
    <mergeCell ref="D116:H116"/>
    <mergeCell ref="D117:H117"/>
    <mergeCell ref="D118:H118"/>
    <mergeCell ref="D119:H119"/>
    <mergeCell ref="D120:H120"/>
    <mergeCell ref="D121:H121"/>
    <mergeCell ref="D122:H122"/>
    <mergeCell ref="D123:H123"/>
    <mergeCell ref="G124:H124"/>
    <mergeCell ref="C126:J126"/>
    <mergeCell ref="D127:H127"/>
    <mergeCell ref="D128:H128"/>
    <mergeCell ref="D129:H129"/>
    <mergeCell ref="D130:H130"/>
    <mergeCell ref="D131:H131"/>
    <mergeCell ref="D132:H132"/>
    <mergeCell ref="D133:H133"/>
    <mergeCell ref="D134:H134"/>
    <mergeCell ref="G135:H135"/>
    <mergeCell ref="C137:J137"/>
    <mergeCell ref="G147:H147"/>
    <mergeCell ref="B148:J148"/>
    <mergeCell ref="D138:H138"/>
    <mergeCell ref="D139:H139"/>
    <mergeCell ref="D140:H140"/>
    <mergeCell ref="D141:H141"/>
    <mergeCell ref="D142:H142"/>
    <mergeCell ref="D143:H143"/>
    <mergeCell ref="D144:H144"/>
    <mergeCell ref="D145:H145"/>
    <mergeCell ref="G146:H146"/>
  </mergeCells>
  <conditionalFormatting sqref="D4 H4:K4">
    <cfRule type="cellIs" dxfId="18" priority="2" operator="equal">
      <formula>0</formula>
    </cfRule>
  </conditionalFormatting>
  <pageMargins left="0.86597222222222203" right="0.196527777777778" top="0.27569444444444402" bottom="0.15763888888888899" header="0.15763888888888899" footer="0.511811023622047"/>
  <pageSetup scale="66" orientation="portrait" horizontalDpi="300" verticalDpi="300" r:id="rId1"/>
  <headerFooter>
    <oddHeader>&amp;C&amp;"Arial,Bold"&amp;28</oddHeader>
  </headerFooter>
  <rowBreaks count="2" manualBreakCount="2">
    <brk id="62" max="16383" man="1"/>
    <brk id="106"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70C0"/>
    <pageSetUpPr fitToPage="1"/>
  </sheetPr>
  <dimension ref="B1:V133"/>
  <sheetViews>
    <sheetView showGridLines="0" showZeros="0" zoomScale="85" zoomScaleNormal="85" workbookViewId="0">
      <pane ySplit="6" topLeftCell="A25" activePane="bottomLeft" state="frozen"/>
      <selection pane="bottomLeft" activeCell="G69" sqref="G69"/>
    </sheetView>
  </sheetViews>
  <sheetFormatPr baseColWidth="10" defaultColWidth="11.5" defaultRowHeight="13" x14ac:dyDescent="0.15"/>
  <cols>
    <col min="1" max="1" width="3" customWidth="1"/>
    <col min="2" max="2" width="85.83203125" customWidth="1"/>
    <col min="3" max="3" width="28.83203125" style="398" customWidth="1"/>
    <col min="4" max="4" width="4.83203125" style="398" customWidth="1"/>
    <col min="5" max="5" width="11.33203125" style="398" customWidth="1"/>
    <col min="6" max="6" width="15.6640625" style="398" customWidth="1"/>
    <col min="7" max="7" width="18.33203125" style="399" customWidth="1"/>
    <col min="8" max="8" width="1.5" customWidth="1"/>
    <col min="9" max="9" width="56.5" customWidth="1"/>
    <col min="10" max="10" width="9.1640625" customWidth="1"/>
    <col min="11" max="11" width="15.1640625" customWidth="1"/>
    <col min="12" max="13" width="9.1640625" customWidth="1"/>
    <col min="14" max="14" width="23.33203125" customWidth="1"/>
    <col min="15" max="17" width="9.1640625" hidden="1" customWidth="1"/>
    <col min="18" max="18" width="9.1640625" customWidth="1"/>
    <col min="19" max="19" width="12.1640625" customWidth="1"/>
    <col min="20" max="22" width="9.1640625" customWidth="1"/>
    <col min="23" max="23" width="9.6640625" customWidth="1"/>
    <col min="24" max="33" width="9.1640625" customWidth="1"/>
    <col min="34" max="34" width="15.6640625" customWidth="1"/>
    <col min="35" max="259" width="9.1640625" customWidth="1"/>
  </cols>
  <sheetData>
    <row r="1" spans="2:22" ht="33.75" customHeight="1" x14ac:dyDescent="0.25">
      <c r="B1" s="1515" t="str">
        <f>IF(H4=2,"Rapport T3010 - Feuille de travail","T3010 Report - Worksheet")</f>
        <v>T3010 Report - Worksheet</v>
      </c>
      <c r="C1" s="1515"/>
      <c r="D1" s="1515"/>
      <c r="E1" s="1515"/>
      <c r="F1" s="1515"/>
      <c r="G1" s="1515"/>
    </row>
    <row r="2" spans="2:22" ht="33.75" customHeight="1" x14ac:dyDescent="0.15">
      <c r="B2" s="1733" t="str">
        <f>'Set up ~ Config'!B2:J2</f>
        <v xml:space="preserve">SSC </v>
      </c>
      <c r="C2" s="1733"/>
      <c r="D2" s="1733"/>
      <c r="E2" s="1733"/>
      <c r="F2" s="1733"/>
      <c r="G2" s="1733"/>
    </row>
    <row r="3" spans="2:22" ht="41.25" customHeight="1" x14ac:dyDescent="0.15">
      <c r="B3" s="1832" t="e">
        <f>'Cover~Page~Titre'!B58:Y58</f>
        <v>#VALUE!</v>
      </c>
      <c r="C3" s="1832"/>
      <c r="D3" s="1832"/>
      <c r="E3" s="1832"/>
      <c r="F3" s="1832"/>
      <c r="G3" s="1832"/>
      <c r="P3" s="20" t="s">
        <v>291</v>
      </c>
    </row>
    <row r="4" spans="2:22" ht="4.5" customHeight="1" x14ac:dyDescent="0.15">
      <c r="B4" s="20"/>
      <c r="C4" s="20"/>
      <c r="D4" s="20"/>
      <c r="E4" s="20"/>
      <c r="F4" s="20"/>
      <c r="G4" s="20"/>
      <c r="H4" s="211">
        <f>'Set up ~ Config'!L10</f>
        <v>1</v>
      </c>
      <c r="P4" s="20" t="s">
        <v>292</v>
      </c>
    </row>
    <row r="5" spans="2:22" s="1" customFormat="1" ht="8.25" customHeight="1" x14ac:dyDescent="0.15">
      <c r="C5" s="26"/>
      <c r="D5" s="26"/>
      <c r="E5" s="26"/>
      <c r="F5" s="26"/>
      <c r="G5" s="37"/>
      <c r="P5" s="2"/>
    </row>
    <row r="6" spans="2:22" s="1" customFormat="1" ht="28.5" customHeight="1" x14ac:dyDescent="0.15">
      <c r="B6" s="400" t="s">
        <v>138</v>
      </c>
      <c r="C6" s="401" t="str">
        <f>IF(H4=2,"ACC-9 
# Ligne", "ACC-9 
Line #")</f>
        <v>ACC-9 
Line #</v>
      </c>
      <c r="D6" s="401"/>
      <c r="E6" s="401" t="str">
        <f>IF(H4=2,"T3010
# ligne","T3010
Line #")</f>
        <v>T3010
Line #</v>
      </c>
      <c r="F6" s="402" t="str">
        <f>IF(H4=2,"Montant","Amount")</f>
        <v>Amount</v>
      </c>
      <c r="G6" s="402" t="str">
        <f>IF(H4=2,"Montant","Amount")</f>
        <v>Amount</v>
      </c>
      <c r="P6" s="20" t="s">
        <v>293</v>
      </c>
      <c r="S6" s="403"/>
      <c r="T6" s="403"/>
      <c r="U6" s="403"/>
      <c r="V6" s="403"/>
    </row>
    <row r="7" spans="2:22" s="1" customFormat="1" ht="32.25" customHeight="1" x14ac:dyDescent="0.15">
      <c r="B7" s="404" t="s">
        <v>294</v>
      </c>
      <c r="C7" s="1833" t="str">
        <f>IF(H4=2,"Si les revenus de l'organisme dépassent $100 000, ne complétez pas cette section. Remplissez seulement l'annexe 6","If Charities' revenues are over $100 000, do not fill this section. Complete only the Schedule 6.")</f>
        <v>If Charities' revenues are over $100 000, do not fill this section. Complete only the Schedule 6.</v>
      </c>
      <c r="D7" s="1833"/>
      <c r="E7" s="1833"/>
      <c r="F7" s="1833"/>
      <c r="G7" s="1833"/>
      <c r="I7" s="183"/>
      <c r="J7" s="183"/>
      <c r="K7" s="183"/>
      <c r="L7" s="183"/>
      <c r="M7" s="183"/>
      <c r="N7" s="183"/>
      <c r="P7" s="20"/>
      <c r="S7" s="403"/>
      <c r="T7" s="403"/>
      <c r="U7" s="403"/>
      <c r="V7" s="403"/>
    </row>
    <row r="8" spans="2:22" s="1" customFormat="1" ht="28.5" customHeight="1" x14ac:dyDescent="0.15">
      <c r="B8" s="1827" t="str">
        <f>IF(H4=2,"ACTIF","ASSETS")</f>
        <v>ASSETS</v>
      </c>
      <c r="C8" s="1827"/>
      <c r="D8" s="1827"/>
      <c r="E8" s="1827"/>
      <c r="F8" s="1827"/>
      <c r="G8" s="1827"/>
      <c r="I8" s="368"/>
      <c r="J8" s="368"/>
      <c r="K8" s="368"/>
      <c r="L8" s="368"/>
      <c r="M8" s="368"/>
      <c r="N8" s="368"/>
      <c r="P8" s="20"/>
      <c r="S8" s="403"/>
      <c r="T8" s="403"/>
      <c r="U8" s="403"/>
      <c r="V8" s="403"/>
    </row>
    <row r="9" spans="2:22" s="1" customFormat="1" ht="28.5" customHeight="1" x14ac:dyDescent="0.15">
      <c r="B9" s="405" t="str">
        <f>IF(H4=2,"Total de l’actif (incluant terrains et immeubles)","Total Assets (including land and buildings)")</f>
        <v>Total Assets (including land and buildings)</v>
      </c>
      <c r="C9" s="406">
        <v>1900</v>
      </c>
      <c r="D9" s="407" t="s">
        <v>36</v>
      </c>
      <c r="E9" s="406">
        <v>4200</v>
      </c>
      <c r="F9" s="408"/>
      <c r="G9" s="409">
        <f>G42</f>
        <v>0</v>
      </c>
      <c r="I9" s="368"/>
      <c r="J9" s="368"/>
      <c r="K9" s="368"/>
      <c r="L9" s="368"/>
      <c r="M9" s="368"/>
      <c r="N9" s="368"/>
      <c r="P9" s="20"/>
      <c r="S9" s="403"/>
      <c r="T9" s="403"/>
      <c r="U9" s="403"/>
      <c r="V9" s="403"/>
    </row>
    <row r="10" spans="2:22" s="1" customFormat="1" ht="28.5" customHeight="1" x14ac:dyDescent="0.15">
      <c r="B10" s="1827" t="str">
        <f>IF(H4=2,"PASSIF","LIABILITIES")</f>
        <v>LIABILITIES</v>
      </c>
      <c r="C10" s="1827"/>
      <c r="D10" s="1827"/>
      <c r="E10" s="1827"/>
      <c r="F10" s="1827"/>
      <c r="G10" s="1827"/>
      <c r="I10" s="368"/>
      <c r="J10" s="368"/>
      <c r="K10" s="368"/>
      <c r="L10" s="368"/>
      <c r="M10" s="368"/>
      <c r="N10" s="368"/>
      <c r="P10" s="20"/>
      <c r="S10" s="403"/>
      <c r="T10" s="403"/>
      <c r="U10" s="403"/>
      <c r="V10" s="403"/>
    </row>
    <row r="11" spans="2:22" s="1" customFormat="1" ht="28.5" customHeight="1" x14ac:dyDescent="0.15">
      <c r="B11" s="405" t="str">
        <f>IF(H4=2,"Total du passif","Total Liabilities")</f>
        <v>Total Liabilities</v>
      </c>
      <c r="C11" s="406">
        <v>2400</v>
      </c>
      <c r="D11" s="407" t="s">
        <v>37</v>
      </c>
      <c r="E11" s="406">
        <v>4350</v>
      </c>
      <c r="F11" s="408"/>
      <c r="G11" s="409">
        <f>G48</f>
        <v>0</v>
      </c>
      <c r="I11" s="368"/>
      <c r="J11" s="368"/>
      <c r="K11" s="368"/>
      <c r="L11" s="368"/>
      <c r="M11" s="368"/>
      <c r="N11" s="368"/>
      <c r="P11" s="20"/>
      <c r="S11" s="403"/>
      <c r="T11" s="403"/>
      <c r="U11" s="403"/>
      <c r="V11" s="403"/>
    </row>
    <row r="12" spans="2:22" s="1" customFormat="1" ht="28.5" customHeight="1" x14ac:dyDescent="0.15">
      <c r="B12" s="1827" t="str">
        <f>IF(H4=2,"REVENUS","REVENUES")</f>
        <v>REVENUES</v>
      </c>
      <c r="C12" s="1827"/>
      <c r="D12" s="1827"/>
      <c r="E12" s="1827"/>
      <c r="F12" s="1827"/>
      <c r="G12" s="1827"/>
      <c r="I12" s="368"/>
      <c r="J12" s="368"/>
      <c r="K12" s="368"/>
      <c r="L12" s="368"/>
      <c r="M12" s="368"/>
      <c r="N12" s="368"/>
      <c r="P12" s="20"/>
      <c r="S12" s="403"/>
      <c r="T12" s="403"/>
      <c r="U12" s="403"/>
      <c r="V12" s="403"/>
    </row>
    <row r="13" spans="2:22" s="1" customFormat="1" ht="38.25" customHeight="1" x14ac:dyDescent="0.15">
      <c r="B13" s="405" t="str">
        <f>IF(H4=2,"Total des montants admissibles de tous les dons pour lesquels l'organisme de bienfaisance a délivré des reçus aux fins de l'impôt","Total Eligible Amounts of all gifts for which the charity issued tax receipts")</f>
        <v>Total Eligible Amounts of all gifts for which the charity issued tax receipts</v>
      </c>
      <c r="C13" s="406" t="s">
        <v>295</v>
      </c>
      <c r="D13" s="407" t="s">
        <v>150</v>
      </c>
      <c r="E13" s="406">
        <v>4500</v>
      </c>
      <c r="F13" s="408"/>
      <c r="G13" s="409">
        <f>G50</f>
        <v>0</v>
      </c>
      <c r="I13" s="368"/>
      <c r="J13" s="368"/>
      <c r="K13" s="368"/>
      <c r="L13" s="368"/>
      <c r="M13" s="368"/>
      <c r="N13" s="368"/>
      <c r="P13" s="20"/>
      <c r="S13" s="403"/>
      <c r="T13" s="403"/>
      <c r="U13" s="403"/>
      <c r="V13" s="403"/>
    </row>
    <row r="14" spans="2:22" s="1" customFormat="1" ht="28.5" customHeight="1" x14ac:dyDescent="0.15">
      <c r="B14" s="405" t="str">
        <f>IF(H4=2,"Total des montants reçus d'autres organismes de bienfaisance enregistrés","Total Amount Received From Other Registered Charities")</f>
        <v>Total Amount Received From Other Registered Charities</v>
      </c>
      <c r="C14" s="410" t="s">
        <v>296</v>
      </c>
      <c r="D14" s="407" t="s">
        <v>151</v>
      </c>
      <c r="E14" s="406">
        <v>4510</v>
      </c>
      <c r="F14" s="408"/>
      <c r="G14" s="409">
        <f>G51</f>
        <v>0</v>
      </c>
      <c r="I14" s="411"/>
      <c r="J14" s="411"/>
      <c r="K14" s="411"/>
      <c r="L14" s="411"/>
      <c r="M14" s="411"/>
      <c r="N14" s="411"/>
      <c r="P14" s="20"/>
      <c r="S14" s="403"/>
      <c r="T14" s="403"/>
      <c r="U14" s="403"/>
      <c r="V14" s="403"/>
    </row>
    <row r="15" spans="2:22" s="1" customFormat="1" ht="48" customHeight="1" x14ac:dyDescent="0.15">
      <c r="B15" s="405" t="str">
        <f>IF(H4=2,"Montant total de tous les autres dons reçus pour lesquels un reçu aux fins de l'impôt n'a pas été délivré par l'organisme de bienfaisance (à l'exception des montants des lignes 4575 et 4630)","Total other gifts received for which a tax receipt was not issued by the charity (excluding amounts at lines 4575 and 4630)")</f>
        <v>Total other gifts received for which a tax receipt was not issued by the charity (excluding amounts at lines 4575 and 4630)</v>
      </c>
      <c r="C15" s="410" t="s">
        <v>297</v>
      </c>
      <c r="D15" s="407" t="s">
        <v>152</v>
      </c>
      <c r="E15" s="406">
        <v>4530</v>
      </c>
      <c r="F15" s="408"/>
      <c r="G15" s="409">
        <f>G52</f>
        <v>0</v>
      </c>
      <c r="I15" s="411"/>
      <c r="J15" s="411"/>
      <c r="K15" s="411"/>
      <c r="L15" s="411"/>
      <c r="M15" s="411"/>
      <c r="N15" s="411"/>
      <c r="P15" s="20"/>
      <c r="S15" s="403"/>
      <c r="T15" s="403"/>
      <c r="U15" s="403"/>
      <c r="V15" s="403"/>
    </row>
    <row r="16" spans="2:22" s="1" customFormat="1" ht="38.25" customHeight="1" x14ac:dyDescent="0.15">
      <c r="B16" s="405" t="str">
        <f>IF(H4=2,"Total des revenus provenant d'un gouvernement","Total revenue received from government")</f>
        <v>Total revenue received from government</v>
      </c>
      <c r="C16" s="406">
        <v>4899</v>
      </c>
      <c r="D16" s="407" t="s">
        <v>153</v>
      </c>
      <c r="E16" s="406">
        <v>4570</v>
      </c>
      <c r="F16" s="408"/>
      <c r="G16" s="409">
        <f>SUM(G53:G55)</f>
        <v>0</v>
      </c>
      <c r="I16" s="411"/>
      <c r="J16" s="411"/>
      <c r="K16" s="411"/>
      <c r="L16" s="411"/>
      <c r="M16" s="411"/>
      <c r="N16" s="411"/>
      <c r="P16" s="20"/>
      <c r="S16" s="403"/>
      <c r="T16" s="403"/>
      <c r="U16" s="403"/>
      <c r="V16" s="403"/>
    </row>
    <row r="17" spans="2:22" s="1" customFormat="1" ht="38.25" customHeight="1" x14ac:dyDescent="0.15">
      <c r="B17" s="405" t="str">
        <f>IF(H4=2,"Total des revenus pour lesquels l'organisme de bienfaisance n'a pas délivré des reçus d'impôt provenant de toutes les sources à l'extérieur du Canada (gouvernementales et non gouvernementales)","Total non tax-receipted amounts from all sources outside Canada")</f>
        <v>Total non tax-receipted amounts from all sources outside Canada</v>
      </c>
      <c r="C17" s="406"/>
      <c r="D17" s="208" t="s">
        <v>154</v>
      </c>
      <c r="E17" s="406">
        <v>4575</v>
      </c>
      <c r="F17" s="408"/>
      <c r="G17" s="409"/>
      <c r="I17" s="411"/>
      <c r="J17" s="411"/>
      <c r="K17" s="411"/>
      <c r="L17" s="411"/>
      <c r="M17" s="411"/>
      <c r="N17" s="411"/>
      <c r="P17" s="20"/>
      <c r="S17" s="403"/>
      <c r="T17" s="403"/>
      <c r="U17" s="403"/>
      <c r="V17" s="403"/>
    </row>
    <row r="18" spans="2:22" s="1" customFormat="1" ht="38.25" customHeight="1" x14ac:dyDescent="0.15">
      <c r="B18" s="405" t="str">
        <f>IF(H4=2,"Total des montants des collectes de fonds pour lesquels l'organisme n'a pas délivré de reçus aux fins de l'impôt","Total non tax-receipted revenue from fundraising")</f>
        <v>Total non tax-receipted revenue from fundraising</v>
      </c>
      <c r="C18" s="410" t="s">
        <v>298</v>
      </c>
      <c r="D18" s="407" t="s">
        <v>155</v>
      </c>
      <c r="E18" s="406">
        <v>4630</v>
      </c>
      <c r="F18" s="408"/>
      <c r="G18" s="409">
        <f>G62</f>
        <v>0</v>
      </c>
      <c r="I18" s="411"/>
      <c r="J18" s="411"/>
      <c r="K18" s="411"/>
      <c r="L18" s="411"/>
      <c r="M18" s="411"/>
      <c r="N18" s="411"/>
      <c r="P18" s="20"/>
      <c r="S18" s="403"/>
      <c r="T18" s="403"/>
      <c r="U18" s="403"/>
      <c r="V18" s="403"/>
    </row>
    <row r="19" spans="2:22" s="1" customFormat="1" ht="38.25" customHeight="1" x14ac:dyDescent="0.15">
      <c r="B19" s="405" t="str">
        <f>IF(H4=2,"Total du revenu provenant de la vente de biens et de services (à l'exception des revenus provenant de n'importe quel palier de gouvernement au Canada)","Total revenue from sale of goods and services (except to any level of government in Canada)")</f>
        <v>Total revenue from sale of goods and services (except to any level of government in Canada)</v>
      </c>
      <c r="C19" s="406"/>
      <c r="D19" s="407" t="s">
        <v>156</v>
      </c>
      <c r="E19" s="406">
        <v>4640</v>
      </c>
      <c r="F19" s="408"/>
      <c r="G19" s="409">
        <f>G63</f>
        <v>0</v>
      </c>
      <c r="P19" s="20"/>
      <c r="S19" s="403"/>
      <c r="T19" s="403"/>
      <c r="U19" s="403"/>
      <c r="V19" s="403"/>
    </row>
    <row r="20" spans="2:22" s="1" customFormat="1" ht="38.25" customHeight="1" x14ac:dyDescent="0.15">
      <c r="B20" s="405" t="str">
        <f>IF(H4=2,"Tout autre revenu qui n'est pas compris dans les montants ci-dessus","Other revenue not already included in the amounts above")</f>
        <v>Other revenue not already included in the amounts above</v>
      </c>
      <c r="C20" s="410">
        <v>4699</v>
      </c>
      <c r="D20" s="406" t="s">
        <v>157</v>
      </c>
      <c r="E20" s="406">
        <v>4650</v>
      </c>
      <c r="F20" s="408"/>
      <c r="G20" s="409">
        <f>G64+G57</f>
        <v>0</v>
      </c>
      <c r="P20" s="20"/>
      <c r="S20" s="403"/>
      <c r="T20" s="403"/>
      <c r="U20" s="403"/>
      <c r="V20" s="403"/>
    </row>
    <row r="21" spans="2:22" s="1" customFormat="1" ht="38.25" customHeight="1" x14ac:dyDescent="0.15">
      <c r="B21" s="412" t="str">
        <f>IF(H4=2,"Total des revenus","Total Revenue")</f>
        <v>Total Revenue</v>
      </c>
      <c r="C21" s="413" t="str">
        <f>IF(H4=2,"Somme (c) à (j)","Sum (c) to (j)")</f>
        <v>Sum (c) to (j)</v>
      </c>
      <c r="D21" s="413" t="s">
        <v>158</v>
      </c>
      <c r="E21" s="413">
        <v>4700</v>
      </c>
      <c r="F21" s="414"/>
      <c r="G21" s="415">
        <f>SUM(G13:G20)</f>
        <v>0</v>
      </c>
      <c r="K21" s="37"/>
      <c r="P21" s="20"/>
      <c r="S21" s="403"/>
      <c r="T21" s="403"/>
      <c r="U21" s="403"/>
      <c r="V21" s="403"/>
    </row>
    <row r="22" spans="2:22" s="1" customFormat="1" ht="28.5" customHeight="1" x14ac:dyDescent="0.15">
      <c r="B22" s="1827" t="str">
        <f>IF(H4=2,"DÉPENSES","EXPENDITURES")</f>
        <v>EXPENDITURES</v>
      </c>
      <c r="C22" s="1827"/>
      <c r="D22" s="1827"/>
      <c r="E22" s="1827"/>
      <c r="F22" s="1827"/>
      <c r="G22" s="1827"/>
      <c r="P22" s="20"/>
      <c r="S22" s="403"/>
      <c r="T22" s="403"/>
      <c r="U22" s="403"/>
      <c r="V22" s="403"/>
    </row>
    <row r="23" spans="2:22" s="1" customFormat="1" ht="38.25" customHeight="1" x14ac:dyDescent="0.15">
      <c r="B23" s="416" t="str">
        <f>IF(H4=2,"Total des dépenses pour des honoraires de professionnels et de consultants","Professional And Consulting Fees")</f>
        <v>Professional And Consulting Fees</v>
      </c>
      <c r="C23" s="406">
        <v>5120</v>
      </c>
      <c r="D23" s="208" t="s">
        <v>159</v>
      </c>
      <c r="E23" s="406">
        <v>4860</v>
      </c>
      <c r="F23" s="408"/>
      <c r="G23" s="409">
        <f>G73</f>
        <v>0</v>
      </c>
      <c r="P23" s="20"/>
      <c r="S23" s="403"/>
      <c r="T23" s="403"/>
      <c r="U23" s="403"/>
      <c r="V23" s="403"/>
    </row>
    <row r="24" spans="2:22" s="1" customFormat="1" ht="38.25" customHeight="1" x14ac:dyDescent="0.15">
      <c r="B24" s="416" t="str">
        <f>IF(H4=2,"Total des dépenses pour les frais de déplacement et d'utilisation de véhicules","Travel and Vehicle expenses")</f>
        <v>Travel and Vehicle expenses</v>
      </c>
      <c r="C24" s="406">
        <v>5150</v>
      </c>
      <c r="D24" s="208" t="s">
        <v>299</v>
      </c>
      <c r="E24" s="406">
        <v>4810</v>
      </c>
      <c r="F24" s="408"/>
      <c r="G24" s="409">
        <f>G68</f>
        <v>0</v>
      </c>
      <c r="P24" s="20"/>
      <c r="S24" s="403"/>
      <c r="T24" s="403"/>
      <c r="U24" s="403"/>
      <c r="V24" s="403"/>
    </row>
    <row r="25" spans="2:22" s="1" customFormat="1" ht="38.25" customHeight="1" x14ac:dyDescent="0.15">
      <c r="B25" s="405" t="str">
        <f>IF(H4=2,"Toutes les autres dépenses qui ne sont pas comprises dans les montants mentionnés ci-dessus (à l'exception des dons faits aux donataires reconnus)","All other expenditures not already included in the amounts above (excluding gifts to qualified donees)")</f>
        <v>All other expenditures not already included in the amounts above (excluding gifts to qualified donees)</v>
      </c>
      <c r="C25" s="406" t="s">
        <v>515</v>
      </c>
      <c r="D25" s="208" t="s">
        <v>300</v>
      </c>
      <c r="E25" s="406">
        <v>4920</v>
      </c>
      <c r="F25" s="408"/>
      <c r="G25" s="409">
        <f>G67+G69+G70+G71+G72+G74+G75+G79+G80</f>
        <v>0</v>
      </c>
      <c r="P25" s="20"/>
      <c r="S25" s="403"/>
      <c r="T25" s="403"/>
      <c r="U25" s="403"/>
      <c r="V25" s="403"/>
    </row>
    <row r="26" spans="2:22" s="1" customFormat="1" ht="38.25" customHeight="1" x14ac:dyDescent="0.15">
      <c r="B26" s="405" t="s">
        <v>301</v>
      </c>
      <c r="C26" s="406" t="s">
        <v>302</v>
      </c>
      <c r="D26" s="406" t="s">
        <v>303</v>
      </c>
      <c r="E26" s="406">
        <v>4950</v>
      </c>
      <c r="F26" s="408"/>
      <c r="G26" s="409">
        <f>SUM(G23:G25)</f>
        <v>0</v>
      </c>
      <c r="P26" s="20"/>
      <c r="S26" s="403"/>
      <c r="T26" s="403"/>
      <c r="U26" s="403"/>
      <c r="V26" s="403"/>
    </row>
    <row r="27" spans="2:22" s="1" customFormat="1" ht="48" customHeight="1" x14ac:dyDescent="0.15">
      <c r="B27" s="405" t="str">
        <f>IF(H4=2,"Total des dépenses liées aux activités de bienfaisance incluses dans le montant de la ligne 4950","Total expenditures on charitable activities included in Line 4950")</f>
        <v>Total expenditures on charitable activities included in Line 4950</v>
      </c>
      <c r="C27" s="410" t="s">
        <v>304</v>
      </c>
      <c r="D27" s="406" t="s">
        <v>305</v>
      </c>
      <c r="E27" s="406">
        <v>5000</v>
      </c>
      <c r="F27" s="417">
        <f>F82+F84</f>
        <v>0</v>
      </c>
      <c r="G27" s="418"/>
      <c r="P27" s="20"/>
      <c r="S27" s="403"/>
      <c r="T27" s="403"/>
      <c r="U27" s="403"/>
      <c r="V27" s="403"/>
    </row>
    <row r="28" spans="2:22" s="1" customFormat="1" ht="38.25" customHeight="1" x14ac:dyDescent="0.15">
      <c r="B28" s="405" t="str">
        <f>IF(H4=2,"Total des dépenses liées à la gestion et à l'administration incluses dans le montant de la ligne 4950","Total expenditures on management and administration included in Line 4950")</f>
        <v>Total expenditures on management and administration included in Line 4950</v>
      </c>
      <c r="C28" s="410" t="s">
        <v>306</v>
      </c>
      <c r="D28" s="406" t="s">
        <v>307</v>
      </c>
      <c r="E28" s="406">
        <v>5010</v>
      </c>
      <c r="F28" s="417">
        <f>F83</f>
        <v>0</v>
      </c>
      <c r="G28" s="418"/>
      <c r="P28" s="20"/>
      <c r="S28" s="403"/>
      <c r="T28" s="403"/>
      <c r="U28" s="403"/>
      <c r="V28" s="403"/>
    </row>
    <row r="29" spans="2:22" s="1" customFormat="1" ht="38.25" customHeight="1" x14ac:dyDescent="0.15">
      <c r="B29" s="405" t="str">
        <f>IF(H4=2,"Total des dons faits à tous les donataires reconnus","Total amount of gifts made to all qualified donees")</f>
        <v>Total amount of gifts made to all qualified donees</v>
      </c>
      <c r="C29" s="410">
        <v>5810</v>
      </c>
      <c r="D29" s="406" t="s">
        <v>308</v>
      </c>
      <c r="E29" s="406">
        <v>5050</v>
      </c>
      <c r="F29" s="408"/>
      <c r="G29" s="409">
        <f>G87</f>
        <v>0</v>
      </c>
      <c r="I29" s="1264" t="str">
        <f>IF(H4=2,IF(G29&gt;0,"←  Le formulaire T1236 doit être complété","Le formulaire T1236 n'est pas nécessaire"),IF(H4=1,IF(G29&lt;&gt;0,"← The form T1236 must be filled out","The form T1236 is not required")))</f>
        <v>The form T1236 is not required</v>
      </c>
      <c r="J29" s="1265"/>
      <c r="K29" s="1265"/>
      <c r="L29" s="1265"/>
      <c r="M29" s="1265"/>
      <c r="N29" s="1265"/>
      <c r="P29" s="20"/>
      <c r="S29" s="403"/>
      <c r="T29" s="403"/>
      <c r="U29" s="403"/>
      <c r="V29" s="403"/>
    </row>
    <row r="30" spans="2:22" s="1" customFormat="1" ht="38.25" customHeight="1" x14ac:dyDescent="0.15">
      <c r="B30" s="419" t="str">
        <f>IF(H4=2,"Total des dépenses (Lignes 4950 + 5050)","Total Expenditures (Lines 4950 + 5050)")</f>
        <v>Total Expenditures (Lines 4950 + 5050)</v>
      </c>
      <c r="C30" s="413" t="s">
        <v>309</v>
      </c>
      <c r="D30" s="413" t="s">
        <v>310</v>
      </c>
      <c r="E30" s="413">
        <v>5100</v>
      </c>
      <c r="F30" s="414"/>
      <c r="G30" s="415">
        <f>G26+G29</f>
        <v>0</v>
      </c>
      <c r="I30" s="1828"/>
      <c r="J30" s="1828"/>
      <c r="K30" s="1828"/>
      <c r="L30" s="1828"/>
      <c r="M30" s="1828"/>
      <c r="N30" s="1828"/>
      <c r="P30" s="20"/>
      <c r="S30" s="403"/>
      <c r="T30" s="403"/>
      <c r="U30" s="403"/>
      <c r="V30" s="403"/>
    </row>
    <row r="31" spans="2:22" s="1" customFormat="1" ht="34.5" customHeight="1" x14ac:dyDescent="0.15">
      <c r="B31" s="404" t="str">
        <f>IF(H4=2,"ANNEXE 6","SCHEDULE 6")</f>
        <v>SCHEDULE 6</v>
      </c>
      <c r="C31" s="1829" t="str">
        <f>IF(H4=2,"Cette annexe est obligatoire si vos revenus dépassent $ 100 000. Ne complétez pas la section D","This schedule is mandatory if revenues are over $ 100 000. Do not complete the Section D")</f>
        <v>This schedule is mandatory if revenues are over $ 100 000. Do not complete the Section D</v>
      </c>
      <c r="D31" s="1829"/>
      <c r="E31" s="1829"/>
      <c r="F31" s="1829"/>
      <c r="G31" s="1829"/>
      <c r="P31" s="20"/>
      <c r="S31" s="403"/>
      <c r="T31" s="403"/>
      <c r="U31" s="403"/>
      <c r="V31" s="403"/>
    </row>
    <row r="32" spans="2:22" s="1" customFormat="1" ht="36" customHeight="1" x14ac:dyDescent="0.15">
      <c r="B32" s="1830" t="str">
        <f>IF(H4=2,"Actif","Assets")</f>
        <v>Assets</v>
      </c>
      <c r="C32" s="1830"/>
      <c r="D32" s="1830"/>
      <c r="E32" s="1830"/>
      <c r="F32" s="1830"/>
      <c r="G32" s="1830"/>
      <c r="P32" s="20" t="s">
        <v>311</v>
      </c>
    </row>
    <row r="33" spans="2:7" s="1" customFormat="1" ht="38.25" customHeight="1" x14ac:dyDescent="0.15">
      <c r="B33" s="416" t="str">
        <f>IF(H4=2,"Argent comptant, comptes bancaires et placements à court terme","Cash, Bank Accounts &amp; Short Term Investments")</f>
        <v>Cash, Bank Accounts &amp; Short Term Investments</v>
      </c>
      <c r="C33" s="410" t="s">
        <v>521</v>
      </c>
      <c r="D33" s="407" t="s">
        <v>36</v>
      </c>
      <c r="E33" s="420">
        <v>4100</v>
      </c>
      <c r="F33" s="421"/>
      <c r="G33" s="190">
        <f>'ACC9 (Page 7-8) Bal Sh~Bilan'!N26-'ACC9 (Page 7-8) Bal Sh~Bilan'!M12</f>
        <v>0</v>
      </c>
    </row>
    <row r="34" spans="2:7" s="1" customFormat="1" ht="38.25" customHeight="1" x14ac:dyDescent="0.15">
      <c r="B34" s="416" t="str">
        <f>IF(H4=2,"Sommes à recevoir de personnes avec lesquelles l'organisme a un lien de dépendance","Amounts Receivable From Non-Arm's Length Parties")</f>
        <v>Amounts Receivable From Non-Arm's Length Parties</v>
      </c>
      <c r="C34" s="422"/>
      <c r="D34" s="407" t="s">
        <v>37</v>
      </c>
      <c r="E34" s="420">
        <v>4110</v>
      </c>
      <c r="F34" s="421"/>
      <c r="G34" s="190"/>
    </row>
    <row r="35" spans="2:7" s="1" customFormat="1" ht="36" customHeight="1" x14ac:dyDescent="0.15">
      <c r="B35" s="416" t="str">
        <f>IF(H4=2,"Sommes à recevoir d'autres sources","Amounts Receivable From All Others")</f>
        <v>Amounts Receivable From All Others</v>
      </c>
      <c r="C35" s="422">
        <v>1030</v>
      </c>
      <c r="D35" s="407" t="s">
        <v>150</v>
      </c>
      <c r="E35" s="420">
        <v>4120</v>
      </c>
      <c r="F35" s="421"/>
      <c r="G35" s="190">
        <f>'ACC9 (Page 7-8) Bal Sh~Bilan'!M12</f>
        <v>0</v>
      </c>
    </row>
    <row r="36" spans="2:7" s="1" customFormat="1" ht="38.25" customHeight="1" x14ac:dyDescent="0.15">
      <c r="B36" s="416" t="str">
        <f>IF(H4=2,"Placements auprès de personnes avec lesquelles l'organisme a un lien de dépendance","Investments in Non-Arm's Length persons")</f>
        <v>Investments in Non-Arm's Length persons</v>
      </c>
      <c r="C36" s="422"/>
      <c r="D36" s="407" t="s">
        <v>151</v>
      </c>
      <c r="E36" s="420">
        <v>4130</v>
      </c>
      <c r="F36" s="421"/>
      <c r="G36" s="190"/>
    </row>
    <row r="37" spans="2:7" s="1" customFormat="1" ht="36" customHeight="1" x14ac:dyDescent="0.15">
      <c r="B37" s="416" t="str">
        <f>IF(H4=2,"Placements à long terme","Long-term Investments")</f>
        <v>Long-term Investments</v>
      </c>
      <c r="C37" s="422">
        <v>1300</v>
      </c>
      <c r="D37" s="407" t="s">
        <v>152</v>
      </c>
      <c r="E37" s="420">
        <v>4140</v>
      </c>
      <c r="F37" s="421"/>
      <c r="G37" s="190">
        <f>'ACC9 (Page 7-8) Bal Sh~Bilan'!N37</f>
        <v>0</v>
      </c>
    </row>
    <row r="38" spans="2:7" s="1" customFormat="1" ht="36" customHeight="1" x14ac:dyDescent="0.15">
      <c r="B38" s="416" t="str">
        <f>IF(H4=2,"Stocks","Inventories")</f>
        <v>Inventories</v>
      </c>
      <c r="C38" s="410" t="s">
        <v>312</v>
      </c>
      <c r="D38" s="407" t="s">
        <v>153</v>
      </c>
      <c r="E38" s="420">
        <v>4150</v>
      </c>
      <c r="F38" s="421"/>
      <c r="G38" s="190">
        <f>SUM('ACC9 (Page 7-8) Bal Sh~Bilan'!L41,'ACC9 (Page 7-8) Bal Sh~Bilan'!L44:L52)</f>
        <v>0</v>
      </c>
    </row>
    <row r="39" spans="2:7" s="1" customFormat="1" ht="36" customHeight="1" x14ac:dyDescent="0.15">
      <c r="B39" s="416" t="str">
        <f>IF(H4=2,"Terrains &amp; Immeubles au Canada","Land and Building in Canada")</f>
        <v>Land and Building in Canada</v>
      </c>
      <c r="C39" s="422" t="s">
        <v>313</v>
      </c>
      <c r="D39" s="208" t="s">
        <v>154</v>
      </c>
      <c r="E39" s="420">
        <v>4155</v>
      </c>
      <c r="F39" s="421"/>
      <c r="G39" s="190">
        <f>SUM('ACC9 (Page 7-8) Bal Sh~Bilan'!L42:L43)</f>
        <v>0</v>
      </c>
    </row>
    <row r="40" spans="2:7" s="1" customFormat="1" ht="36" customHeight="1" x14ac:dyDescent="0.15">
      <c r="B40" s="416" t="str">
        <f>IF(H4=2,"Autres immobilisations au Canada","Other Capital Assets in Canada")</f>
        <v>Other Capital Assets in Canada</v>
      </c>
      <c r="C40" s="410"/>
      <c r="D40" s="407" t="s">
        <v>155</v>
      </c>
      <c r="E40" s="420">
        <v>4160</v>
      </c>
      <c r="F40" s="421"/>
      <c r="G40" s="190"/>
    </row>
    <row r="41" spans="2:7" s="1" customFormat="1" ht="36" customHeight="1" x14ac:dyDescent="0.15">
      <c r="B41" s="416" t="str">
        <f>IF(H4=2,"Autres éléments d'actif","Other Assets")</f>
        <v>Other Assets</v>
      </c>
      <c r="C41" s="422"/>
      <c r="D41" s="407" t="s">
        <v>156</v>
      </c>
      <c r="E41" s="420">
        <v>4170</v>
      </c>
      <c r="F41" s="421"/>
      <c r="G41" s="190"/>
    </row>
    <row r="42" spans="2:7" s="1" customFormat="1" ht="36" customHeight="1" x14ac:dyDescent="0.15">
      <c r="B42" s="423" t="str">
        <f>IF(H4=2,"Total de l’actif","Total Assets")</f>
        <v>Total Assets</v>
      </c>
      <c r="C42" s="424" t="str">
        <f>IF(H4=2,"Somme (a) à (i)","Sum (a) to (i)")</f>
        <v>Sum (a) to (i)</v>
      </c>
      <c r="D42" s="425" t="s">
        <v>157</v>
      </c>
      <c r="E42" s="426">
        <v>4200</v>
      </c>
      <c r="F42" s="427"/>
      <c r="G42" s="428">
        <f>SUM(G33:G41)</f>
        <v>0</v>
      </c>
    </row>
    <row r="43" spans="2:7" s="1" customFormat="1" ht="36" customHeight="1" x14ac:dyDescent="0.15">
      <c r="B43" s="1830" t="str">
        <f>IF(H4=2,"Passif","Liabilities")</f>
        <v>Liabilities</v>
      </c>
      <c r="C43" s="1830"/>
      <c r="D43" s="1830"/>
      <c r="E43" s="1830"/>
      <c r="F43" s="1830"/>
      <c r="G43" s="1830"/>
    </row>
    <row r="44" spans="2:7" s="1" customFormat="1" ht="38.25" customHeight="1" x14ac:dyDescent="0.15">
      <c r="B44" s="416" t="str">
        <f>IF(H4=2,"Comptes fournisseurs et charges à payer","Accounts Payable and Accrued Liabilities")</f>
        <v>Accounts Payable and Accrued Liabilities</v>
      </c>
      <c r="C44" s="422">
        <v>2100</v>
      </c>
      <c r="D44" s="208" t="s">
        <v>158</v>
      </c>
      <c r="E44" s="429">
        <v>4300</v>
      </c>
      <c r="F44" s="421"/>
      <c r="G44" s="190">
        <f>'ACC9 (Page 7-8) Bal Sh~Bilan'!N69</f>
        <v>0</v>
      </c>
    </row>
    <row r="45" spans="2:7" s="1" customFormat="1" ht="38.25" customHeight="1" x14ac:dyDescent="0.15">
      <c r="B45" s="416" t="str">
        <f>IF(H4=2,"Produit comptabilisé d'avance","Deferred Revenues")</f>
        <v>Deferred Revenues</v>
      </c>
      <c r="C45" s="422"/>
      <c r="D45" s="208" t="s">
        <v>159</v>
      </c>
      <c r="E45" s="429">
        <v>4310</v>
      </c>
      <c r="F45" s="421"/>
      <c r="G45" s="190"/>
    </row>
    <row r="46" spans="2:7" s="1" customFormat="1" ht="38.25" customHeight="1" x14ac:dyDescent="0.15">
      <c r="B46" s="416" t="str">
        <f>IF(H4=2,"Sommes à payer à des personnes avec lesquelles l'organisme a un lien de dépendance","Amounts Owing to Non-Arm's Length persons")</f>
        <v>Amounts Owing to Non-Arm's Length persons</v>
      </c>
      <c r="C46" s="410"/>
      <c r="D46" s="208" t="s">
        <v>299</v>
      </c>
      <c r="E46" s="420">
        <v>4320</v>
      </c>
      <c r="F46" s="430"/>
      <c r="G46" s="431"/>
    </row>
    <row r="47" spans="2:7" s="2" customFormat="1" ht="38.25" customHeight="1" x14ac:dyDescent="0.15">
      <c r="B47" s="416" t="str">
        <f>IF(H4=2,"Autres éléments du passif","Other Liabilities")</f>
        <v>Other Liabilities</v>
      </c>
      <c r="C47" s="422">
        <v>2300</v>
      </c>
      <c r="D47" s="208" t="s">
        <v>300</v>
      </c>
      <c r="E47" s="429">
        <v>4330</v>
      </c>
      <c r="F47" s="421"/>
      <c r="G47" s="190">
        <f>'ACC9 (Page 7-8) Bal Sh~Bilan'!N80</f>
        <v>0</v>
      </c>
    </row>
    <row r="48" spans="2:7" s="1" customFormat="1" ht="36" customHeight="1" x14ac:dyDescent="0.15">
      <c r="B48" s="423" t="str">
        <f>IF(H4=2,"Total du passif","Total Liabilities")</f>
        <v>Total Liabilities</v>
      </c>
      <c r="C48" s="424" t="str">
        <f>IF(H4=2,"Somme (k) à (n)","Sum (k) to (n)")</f>
        <v>Sum (k) to (n)</v>
      </c>
      <c r="D48" s="425" t="s">
        <v>303</v>
      </c>
      <c r="E48" s="426">
        <v>4350</v>
      </c>
      <c r="F48" s="427"/>
      <c r="G48" s="428">
        <f>SUM(G44:G47)</f>
        <v>0</v>
      </c>
    </row>
    <row r="49" spans="2:14" s="1" customFormat="1" ht="36" customHeight="1" x14ac:dyDescent="0.15">
      <c r="B49" s="1830" t="str">
        <f>IF(H4=2,"Revenus","Revenue")</f>
        <v>Revenue</v>
      </c>
      <c r="C49" s="1830"/>
      <c r="D49" s="1830"/>
      <c r="E49" s="1830"/>
      <c r="F49" s="1830"/>
      <c r="G49" s="1830"/>
    </row>
    <row r="50" spans="2:14" s="1" customFormat="1" ht="38.25" customHeight="1" x14ac:dyDescent="0.15">
      <c r="B50" s="416" t="str">
        <f>IF(H4=2,"Total des montants admissibles de tous les dons pour lesquels l'organisme de bienfaisance a délivré des reçus aux fins de l'impôt","Total Eligible Amounts of all gifts for which the charity issued tax receipts")</f>
        <v>Total Eligible Amounts of all gifts for which the charity issued tax receipts</v>
      </c>
      <c r="C50" s="410" t="s">
        <v>295</v>
      </c>
      <c r="D50" s="208" t="s">
        <v>305</v>
      </c>
      <c r="E50" s="432">
        <v>4500</v>
      </c>
      <c r="F50" s="433"/>
      <c r="G50" s="190">
        <f>'ACC9 (Pages 2-3) Rev'!J14+'Jrnl Rev'!P516</f>
        <v>0</v>
      </c>
    </row>
    <row r="51" spans="2:14" s="2" customFormat="1" ht="36" customHeight="1" x14ac:dyDescent="0.15">
      <c r="B51" s="416" t="str">
        <f>IF(H4=2,"Total des montants reçus d'autres organismes de bienfaisance enregistrés","Total Amount Received From Other Registered Charities")</f>
        <v>Total Amount Received From Other Registered Charities</v>
      </c>
      <c r="C51" s="410" t="s">
        <v>296</v>
      </c>
      <c r="D51" s="208" t="s">
        <v>307</v>
      </c>
      <c r="E51" s="432">
        <v>4510</v>
      </c>
      <c r="F51" s="433"/>
      <c r="G51" s="190">
        <f>'ACC9 (Pages 2-3) Rev'!J8+'ACC9 (Pages 2-3) Rev'!J9+'ACC9 (Pages 2-3) Rev'!J10</f>
        <v>0</v>
      </c>
    </row>
    <row r="52" spans="2:14" s="2" customFormat="1" ht="38.25" customHeight="1" x14ac:dyDescent="0.15">
      <c r="B52" s="416" t="str">
        <f>IF(H4=2,"Montant total de tous les autres dons reçus pour lesquels un reçu aux fins de l'impôt n'a pas été délivré par l'organisme de bienfaisance (à l'exception des montants des lignes 4575 et 4630)","Total other gifts received for which a tax receipt was not issued by the charity (excluding amounts at lines 4575 and 4630)")</f>
        <v>Total other gifts received for which a tax receipt was not issued by the charity (excluding amounts at lines 4575 and 4630)</v>
      </c>
      <c r="C52" s="410" t="s">
        <v>297</v>
      </c>
      <c r="D52" s="208" t="s">
        <v>308</v>
      </c>
      <c r="E52" s="432">
        <v>4530</v>
      </c>
      <c r="F52" s="433"/>
      <c r="G52" s="190">
        <f>'ACC9 (Pages 2-3) Rev'!J11+'ACC9 (Pages 2-3) Rev'!J12+'ACC9 (Pages 2-3) Rev'!J13+'ACC9 (Pages 2-3) Rev'!J15+'ACC9 (Pages 2-3) Rev'!J16</f>
        <v>0</v>
      </c>
    </row>
    <row r="53" spans="2:14" s="2" customFormat="1" ht="36" customHeight="1" x14ac:dyDescent="0.15">
      <c r="B53" s="416" t="str">
        <f>IF(H4=2,"Total des revenus provenant du gouvernement fédéral","Total revenue received from federal government")</f>
        <v>Total revenue received from federal government</v>
      </c>
      <c r="C53" s="410" t="s">
        <v>520</v>
      </c>
      <c r="D53" s="208" t="s">
        <v>310</v>
      </c>
      <c r="E53" s="420">
        <v>4540</v>
      </c>
      <c r="F53" s="434"/>
      <c r="G53" s="190">
        <f>SUM('ACC9 (Pages 2-3) Rev'!J56:J59)</f>
        <v>0</v>
      </c>
    </row>
    <row r="54" spans="2:14" s="2" customFormat="1" ht="36" customHeight="1" x14ac:dyDescent="0.15">
      <c r="B54" s="416" t="str">
        <f>IF(H4=2,"Total des revenus provenant de gouvernements provinciaux ou territoriaux","Total revenue received from provincial/territorial governments")</f>
        <v>Total revenue received from provincial/territorial governments</v>
      </c>
      <c r="C54" s="410" t="s">
        <v>314</v>
      </c>
      <c r="D54" s="208" t="s">
        <v>315</v>
      </c>
      <c r="E54" s="420">
        <v>4550</v>
      </c>
      <c r="F54" s="434"/>
      <c r="G54" s="190">
        <f>SUM('ACC9 (Pages 2-3) Rev'!J60:J62)</f>
        <v>0</v>
      </c>
    </row>
    <row r="55" spans="2:14" s="2" customFormat="1" ht="36" customHeight="1" x14ac:dyDescent="0.15">
      <c r="B55" s="416" t="str">
        <f>IF(H4=2,"Total des revenus provenant de gouvernements municipaux ou régionaux","Total revenue received from municipal/regional governments")</f>
        <v>Total revenue received from municipal/regional governments</v>
      </c>
      <c r="C55" s="410" t="s">
        <v>316</v>
      </c>
      <c r="D55" s="208" t="s">
        <v>317</v>
      </c>
      <c r="E55" s="420">
        <v>4560</v>
      </c>
      <c r="F55" s="434"/>
      <c r="G55" s="190">
        <f>SUM('ACC9 (Pages 2-3) Rev'!J63:J65)</f>
        <v>0</v>
      </c>
    </row>
    <row r="56" spans="2:14" s="2" customFormat="1" ht="38.25" customHeight="1" x14ac:dyDescent="0.15">
      <c r="B56" s="416" t="str">
        <f>IF(H4=2,"Total des revenus pour lesquels l'organisme de bienfaisance n'a pas délivré des reçus d'impôt provenant de toutes les sources à l'extérieur du Canada (gouvernementales et non gouvernementales)","Total non tax-receipted amounts from all sources outside Canada")</f>
        <v>Total non tax-receipted amounts from all sources outside Canada</v>
      </c>
      <c r="C56" s="410"/>
      <c r="D56" s="435" t="s">
        <v>318</v>
      </c>
      <c r="E56" s="432">
        <v>4575</v>
      </c>
      <c r="F56" s="433"/>
      <c r="G56" s="436"/>
      <c r="I56" s="1831"/>
      <c r="J56" s="1831"/>
      <c r="K56" s="1831"/>
      <c r="L56" s="1831"/>
      <c r="M56" s="1831"/>
      <c r="N56" s="1831"/>
    </row>
    <row r="57" spans="2:14" s="2" customFormat="1" ht="36" customHeight="1" x14ac:dyDescent="0.15">
      <c r="B57" s="416" t="str">
        <f>IF(H4=2,"Total des revenus d'intérêts et de placement reçus ou réalisés","Total interest and investment income received or earned")</f>
        <v>Total interest and investment income received or earned</v>
      </c>
      <c r="C57" s="410">
        <v>4640</v>
      </c>
      <c r="D57" s="208" t="s">
        <v>319</v>
      </c>
      <c r="E57" s="420">
        <v>4580</v>
      </c>
      <c r="F57" s="434"/>
      <c r="G57" s="190">
        <f>'ACC9 (Pages 2-3) Rev'!J47</f>
        <v>0</v>
      </c>
    </row>
    <row r="58" spans="2:14" s="2" customFormat="1" ht="36" customHeight="1" x14ac:dyDescent="0.15">
      <c r="B58" s="416" t="str">
        <f>IF(H4=2,"Produit brut de la disposition de biens","Gross proceeds from disposition of assets")</f>
        <v>Gross proceeds from disposition of assets</v>
      </c>
      <c r="C58" s="410"/>
      <c r="D58" s="208" t="s">
        <v>320</v>
      </c>
      <c r="E58" s="420">
        <v>4590</v>
      </c>
      <c r="F58" s="420"/>
      <c r="G58" s="430"/>
    </row>
    <row r="59" spans="2:14" s="2" customFormat="1" ht="36" customHeight="1" x14ac:dyDescent="0.15">
      <c r="B59" s="416" t="str">
        <f>IF(H4=2,"Produit net de la disposition de biens","Net proceeds from disposition of assets")</f>
        <v>Net proceeds from disposition of assets</v>
      </c>
      <c r="C59" s="410"/>
      <c r="D59" s="208" t="s">
        <v>321</v>
      </c>
      <c r="E59" s="420">
        <v>4600</v>
      </c>
      <c r="F59" s="434"/>
      <c r="G59" s="190"/>
    </row>
    <row r="60" spans="2:14" s="2" customFormat="1" ht="36" customHeight="1" x14ac:dyDescent="0.15">
      <c r="B60" s="416" t="str">
        <f>IF(H4=2,"Revenu brut provenant de location de terrains et d'immeubles","Gross income received from rental of land and/or buildings")</f>
        <v>Gross income received from rental of land and/or buildings</v>
      </c>
      <c r="C60" s="410"/>
      <c r="D60" s="208" t="s">
        <v>322</v>
      </c>
      <c r="E60" s="420">
        <v>4610</v>
      </c>
      <c r="F60" s="434"/>
      <c r="G60" s="190"/>
    </row>
    <row r="61" spans="2:14" s="2" customFormat="1" ht="38.25" customHeight="1" x14ac:dyDescent="0.15">
      <c r="B61" s="416" t="str">
        <f>IF(H4=2,"Cotisations de membres et droits d'adhésion pour lesquels l'organisme n'a pas délivré de reçus aux fins de l'impôt","Total non tax-receipted revenues received for memberships, dues and association fees")</f>
        <v>Total non tax-receipted revenues received for memberships, dues and association fees</v>
      </c>
      <c r="C61" s="410"/>
      <c r="D61" s="208" t="s">
        <v>323</v>
      </c>
      <c r="E61" s="420">
        <v>4620</v>
      </c>
      <c r="F61" s="434"/>
      <c r="G61" s="190"/>
    </row>
    <row r="62" spans="2:14" s="2" customFormat="1" ht="38.25" customHeight="1" x14ac:dyDescent="0.15">
      <c r="B62" s="416" t="str">
        <f>IF(H4=2,"Total des montants des collectes de fonds pour lesquels l'organisme n'a pas délivré de reçus aux fins de l'impôt","Total non tax-receipted revenue from fundraising")</f>
        <v>Total non tax-receipted revenue from fundraising</v>
      </c>
      <c r="C62" s="410" t="str">
        <f>IF($H$4=2,"4299, 4499 ( - Col. Dons)","4299, 4499 ( - Col. Donations)")</f>
        <v>4299, 4499 ( - Col. Donations)</v>
      </c>
      <c r="D62" s="208" t="s">
        <v>324</v>
      </c>
      <c r="E62" s="432">
        <v>4630</v>
      </c>
      <c r="F62" s="433"/>
      <c r="G62" s="190">
        <f>'ACC9 (Pages 2-3) Rev'!$K$29+'ACC9 (Pages 2-3) Rev'!$K$41-'Jrnl Rev'!P516</f>
        <v>0</v>
      </c>
    </row>
    <row r="63" spans="2:14" s="2" customFormat="1" ht="38.25" customHeight="1" x14ac:dyDescent="0.15">
      <c r="B63" s="416" t="str">
        <f>IF(H4=2,"Total du revenu provenant de la vente de biens et de services (à l'exception des revenus provenant de n'importe quel palier de gouvernement au Canada)","Total revenue from sale of goods and services (except to any level of government in Canada)")</f>
        <v>Total revenue from sale of goods and services (except to any level of government in Canada)</v>
      </c>
      <c r="C63" s="410"/>
      <c r="D63" s="208" t="s">
        <v>325</v>
      </c>
      <c r="E63" s="432">
        <v>4640</v>
      </c>
      <c r="F63" s="433"/>
      <c r="G63" s="190"/>
    </row>
    <row r="64" spans="2:14" s="2" customFormat="1" ht="36" customHeight="1" x14ac:dyDescent="0.15">
      <c r="B64" s="416" t="str">
        <f>IF(H4=2,"Tout autre revenu qui n'est pas compris dans les montants ci-dessus","Other revenue not already included in the amounts above")</f>
        <v>Other revenue not already included in the amounts above</v>
      </c>
      <c r="C64" s="410" t="s">
        <v>516</v>
      </c>
      <c r="D64" s="208" t="s">
        <v>326</v>
      </c>
      <c r="E64" s="432">
        <v>4650</v>
      </c>
      <c r="F64" s="433"/>
      <c r="G64" s="190">
        <f>'ACC9 (Pages 2-3) Rev'!$K$53-'ACC9 (Pages 2-3) Rev'!$J$47</f>
        <v>0</v>
      </c>
    </row>
    <row r="65" spans="2:19" s="2" customFormat="1" ht="36" customHeight="1" x14ac:dyDescent="0.15">
      <c r="B65" s="423" t="str">
        <f>IF(H4=2,"Total des revenus","Total Revenue")</f>
        <v>Total Revenue</v>
      </c>
      <c r="C65" s="424" t="str">
        <f>IF(H4=2,"Somme (p) à (w) et (y) à (ad)","Sum (p) to (w) and (y) to (ad)")</f>
        <v>Sum (p) to (w) and (y) to (ad)</v>
      </c>
      <c r="D65" s="437" t="s">
        <v>327</v>
      </c>
      <c r="E65" s="426">
        <v>4700</v>
      </c>
      <c r="F65" s="438"/>
      <c r="G65" s="439">
        <f>G50+G51+G52+G53+G54+G55+G56+G57+G59+G60+G61+G62+G63+G64</f>
        <v>0</v>
      </c>
      <c r="I65" s="1828"/>
      <c r="J65" s="1828"/>
      <c r="K65" s="1828"/>
      <c r="L65" s="1828"/>
      <c r="M65" s="1828"/>
      <c r="N65" s="1828"/>
    </row>
    <row r="66" spans="2:19" s="1" customFormat="1" ht="36" customHeight="1" x14ac:dyDescent="0.15">
      <c r="B66" s="440" t="str">
        <f>IF(H4=2,"Dépenses","Expenditures")</f>
        <v>Expenditures</v>
      </c>
      <c r="C66" s="441"/>
      <c r="D66" s="441"/>
      <c r="E66" s="441"/>
      <c r="F66" s="441"/>
      <c r="G66" s="442"/>
    </row>
    <row r="67" spans="2:19" s="1" customFormat="1" ht="36" customHeight="1" x14ac:dyDescent="0.15">
      <c r="B67" s="416" t="str">
        <f>IF(H4=2,"Publicité et promotion","Advertising and Promotion")</f>
        <v>Advertising and Promotion</v>
      </c>
      <c r="C67" s="422">
        <v>5080</v>
      </c>
      <c r="D67" s="443" t="s">
        <v>328</v>
      </c>
      <c r="E67" s="429">
        <v>4800</v>
      </c>
      <c r="F67" s="444"/>
      <c r="G67" s="190">
        <f>'ACC9 (Pages 4-5-6) Exp~Dép'!J17</f>
        <v>0</v>
      </c>
    </row>
    <row r="68" spans="2:19" s="1" customFormat="1" ht="36" customHeight="1" x14ac:dyDescent="0.15">
      <c r="B68" s="416" t="str">
        <f>IF(H4=2,"Total des dépenses pour les frais de déplacement et d'utilisation de véhicules","Travel and Vehicle expenses")</f>
        <v>Travel and Vehicle expenses</v>
      </c>
      <c r="C68" s="410">
        <v>5150</v>
      </c>
      <c r="D68" s="443" t="s">
        <v>329</v>
      </c>
      <c r="E68" s="445">
        <v>4810</v>
      </c>
      <c r="F68" s="446"/>
      <c r="G68" s="190">
        <f>'ACC9 (Pages 4-5-6) Exp~Dép'!J24</f>
        <v>0</v>
      </c>
    </row>
    <row r="69" spans="2:19" s="2" customFormat="1" ht="36" customHeight="1" x14ac:dyDescent="0.15">
      <c r="B69" s="416" t="str">
        <f>IF(H4=2,"Intérêts et frais bancaires","Interest and Bank Charges")</f>
        <v>Interest and Bank Charges</v>
      </c>
      <c r="C69" s="422">
        <v>5110</v>
      </c>
      <c r="D69" s="443" t="s">
        <v>330</v>
      </c>
      <c r="E69" s="429">
        <v>4820</v>
      </c>
      <c r="F69" s="444"/>
      <c r="G69" s="190">
        <f>'ACC9 (Pages 4-5-6) Exp~Dép'!J20</f>
        <v>0</v>
      </c>
    </row>
    <row r="70" spans="2:19" s="1" customFormat="1" ht="36" customHeight="1" x14ac:dyDescent="0.15">
      <c r="B70" s="416" t="str">
        <f>IF(H4=2,"Permis et droits d'adhésion","Licenses, Memberships and Dues")</f>
        <v>Licenses, Memberships and Dues</v>
      </c>
      <c r="C70" s="422" t="s">
        <v>331</v>
      </c>
      <c r="D70" s="407" t="s">
        <v>332</v>
      </c>
      <c r="E70" s="429">
        <v>4830</v>
      </c>
      <c r="F70" s="444"/>
      <c r="G70" s="190">
        <f>'ACC9 (Pages 4-5-6) Exp~Dép'!J18+'ACC9 (Pages 4-5-6) Exp~Dép'!J19</f>
        <v>0</v>
      </c>
    </row>
    <row r="71" spans="2:19" s="1" customFormat="1" ht="36" customHeight="1" x14ac:dyDescent="0.15">
      <c r="B71" s="416" t="str">
        <f>IF(H4=2,"Fournitures et frais de bureau","Office Supplies and Expenses")</f>
        <v>Office Supplies and Expenses</v>
      </c>
      <c r="C71" s="422" t="s">
        <v>333</v>
      </c>
      <c r="D71" s="208" t="s">
        <v>334</v>
      </c>
      <c r="E71" s="429">
        <v>4840</v>
      </c>
      <c r="F71" s="444"/>
      <c r="G71" s="190">
        <f>'ACC9 (Pages 4-5-6) Exp~Dép'!J10+'ACC9 (Pages 4-5-6) Exp~Dép'!J11+'ACC9 (Pages 4-5-6) Exp~Dép'!J16</f>
        <v>0</v>
      </c>
      <c r="S71" s="37"/>
    </row>
    <row r="72" spans="2:19" s="1" customFormat="1" ht="36" customHeight="1" x14ac:dyDescent="0.15">
      <c r="B72" s="416" t="str">
        <f>IF(H4=2,"Coûts d'occupation","Occupancy Costs")</f>
        <v>Occupancy Costs</v>
      </c>
      <c r="C72" s="422" t="s">
        <v>517</v>
      </c>
      <c r="D72" s="407" t="s">
        <v>335</v>
      </c>
      <c r="E72" s="429">
        <v>4850</v>
      </c>
      <c r="F72" s="444"/>
      <c r="G72" s="190">
        <f>'ACC9 (Pages 4-5-6) Exp~Dép'!J12+'ACC9 (Pages 4-5-6) Exp~Dép'!J13+'ACC9 (Pages 4-5-6) Exp~Dép'!J14+'ACC9 (Pages 4-5-6) Exp~Dép'!J23+'ACC9 (Pages 4-5-6) Exp~Dép'!J26</f>
        <v>0</v>
      </c>
    </row>
    <row r="73" spans="2:19" s="1" customFormat="1" ht="36" customHeight="1" x14ac:dyDescent="0.15">
      <c r="B73" s="416" t="str">
        <f>IF(H4=2,"Total des dépenses pour des honoraires de professionnels et de consultants","Professional And Consulting Fees")</f>
        <v>Professional And Consulting Fees</v>
      </c>
      <c r="C73" s="410">
        <v>5120</v>
      </c>
      <c r="D73" s="407" t="s">
        <v>336</v>
      </c>
      <c r="E73" s="445">
        <v>4860</v>
      </c>
      <c r="F73" s="446"/>
      <c r="G73" s="190">
        <f>'ACC9 (Pages 4-5-6) Exp~Dép'!J21</f>
        <v>0</v>
      </c>
    </row>
    <row r="74" spans="2:19" s="2" customFormat="1" ht="36" customHeight="1" x14ac:dyDescent="0.15">
      <c r="B74" s="416" t="str">
        <f>IF(H4=2,"Formation du personnel et des bénévoles","Education and Training for Staff and Volunteers")</f>
        <v>Education and Training for Staff and Volunteers</v>
      </c>
      <c r="C74" s="422">
        <v>5060</v>
      </c>
      <c r="D74" s="407" t="s">
        <v>337</v>
      </c>
      <c r="E74" s="429">
        <v>4870</v>
      </c>
      <c r="F74" s="444"/>
      <c r="G74" s="190">
        <f>'ACC9 (Pages 4-5-6) Exp~Dép'!J15</f>
        <v>0</v>
      </c>
    </row>
    <row r="75" spans="2:19" s="1" customFormat="1" ht="36" customHeight="1" x14ac:dyDescent="0.15">
      <c r="B75" s="416" t="str">
        <f>IF(H4=2,"Total des dépenses engagées pour rémunérer les employés","Total expenditure on all compensation")</f>
        <v>Total expenditure on all compensation</v>
      </c>
      <c r="C75" s="422">
        <v>5130</v>
      </c>
      <c r="D75" s="407" t="s">
        <v>338</v>
      </c>
      <c r="E75" s="429">
        <v>4880</v>
      </c>
      <c r="F75" s="444"/>
      <c r="G75" s="190">
        <f>'ACC9 (Pages 4-5-6) Exp~Dép'!J22</f>
        <v>0</v>
      </c>
    </row>
    <row r="76" spans="2:19" s="1" customFormat="1" ht="38.25" customHeight="1" x14ac:dyDescent="0.15">
      <c r="B76" s="416" t="str">
        <f>IF(H4=2,"Juste valeur marchande de tous les dons de biens utilisés dans le cadre des activités de bienfaisance","Fair market value of all donated goods used in charitable activities")</f>
        <v>Fair market value of all donated goods used in charitable activities</v>
      </c>
      <c r="C76" s="422"/>
      <c r="D76" s="208" t="s">
        <v>339</v>
      </c>
      <c r="E76" s="429">
        <v>4890</v>
      </c>
      <c r="F76" s="444"/>
      <c r="G76" s="190"/>
    </row>
    <row r="77" spans="2:19" s="1" customFormat="1" ht="36" customHeight="1" x14ac:dyDescent="0.15">
      <c r="B77" s="416" t="str">
        <f>IF(H4=2,"Fournitures et biens achetés","Purchased supplies and assets")</f>
        <v>Purchased supplies and assets</v>
      </c>
      <c r="C77" s="410"/>
      <c r="D77" s="407" t="s">
        <v>340</v>
      </c>
      <c r="E77" s="429">
        <v>4891</v>
      </c>
      <c r="F77" s="444"/>
      <c r="G77" s="190"/>
    </row>
    <row r="78" spans="2:19" s="1" customFormat="1" ht="36" customHeight="1" x14ac:dyDescent="0.15">
      <c r="B78" s="416" t="str">
        <f>IF(H4=2,"Amortissement des immobilisations","Amortization of Capitalized Assets")</f>
        <v>Amortization of Capitalized Assets</v>
      </c>
      <c r="C78" s="422"/>
      <c r="D78" s="407" t="s">
        <v>341</v>
      </c>
      <c r="E78" s="429">
        <v>4900</v>
      </c>
      <c r="F78" s="444"/>
      <c r="G78" s="190"/>
    </row>
    <row r="79" spans="2:19" s="1" customFormat="1" ht="38.25" customHeight="1" x14ac:dyDescent="0.15">
      <c r="B79" s="416" t="str">
        <f>IF(H4=2,"Subventions de recherche et bourses versées dans le cadre des programmes de bienfaisance","Research Grant and Scholarships as Part of Charitable Program")</f>
        <v>Research Grant and Scholarships as Part of Charitable Program</v>
      </c>
      <c r="C79" s="410">
        <v>5530</v>
      </c>
      <c r="D79" s="208" t="s">
        <v>342</v>
      </c>
      <c r="E79" s="420">
        <v>4910</v>
      </c>
      <c r="F79" s="434"/>
      <c r="G79" s="190">
        <f>'ACC9 (Pages 4-5-6) Exp~Dép'!J74</f>
        <v>0</v>
      </c>
    </row>
    <row r="80" spans="2:19" s="2" customFormat="1" ht="51" customHeight="1" x14ac:dyDescent="0.15">
      <c r="B80" s="416" t="str">
        <f>IF(H4=2,"Toutes les autres dépenses qui ne sont pas comprises dans les montants mentionnés ci-dessus (à l'exception des dons faits aux donataires reconnus)","All other expenditures not already included in the amounts above (excluding gifts to qualified donees)")</f>
        <v>All other expenditures not already included in the amounts above (excluding gifts to qualified donees)</v>
      </c>
      <c r="C80" s="447" t="s">
        <v>519</v>
      </c>
      <c r="D80" s="208" t="s">
        <v>343</v>
      </c>
      <c r="E80" s="448">
        <v>4920</v>
      </c>
      <c r="F80" s="449"/>
      <c r="G80" s="190">
        <f>'ACC9 (Pages 4-5-6) Exp~Dép'!J25+'ACC9 (Pages 4-5-6) Exp~Dép'!J27+'ACC9 (Pages 4-5-6) Exp~Dép'!J28+'ACC9 (Pages 4-5-6) Exp~Dép'!J29+'ACC9 (Pages 4-5-6) Exp~Dép'!J30+'ACC9 (Pages 4-5-6) Exp~Dép'!J31+'ACC9 (Pages 4-5-6) Exp~Dép'!J32+'ACC9 (Pages 4-5-6) Exp~Dép'!J33+'ACC9 (Pages 4-5-6) Exp~Dép'!J34+'ACC9 (Pages 4-5-6) Exp~Dép'!J35+'ACC9 (Pages 4-5-6) Exp~Dép'!K54+'ACC9 (Pages 4-5-6) Exp~Dép'!K67+'ACC9 (Pages 4-5-6) Exp~Dép'!K79+'ACC9 (Pages 4-5-6) Exp~Dép'!K91+'ACC9 (Pages 4-5-6) Exp~Dép'!K103+'ACC9 (Pages 4-5-6) Exp~Dép'!K114-'ACC9 (Pages 4-5-6) Exp~Dép'!J106-'ACC9 (Pages 4-5-6) Exp~Dép'!J74</f>
        <v>0</v>
      </c>
    </row>
    <row r="81" spans="2:14" s="2" customFormat="1" ht="36" customHeight="1" x14ac:dyDescent="0.15">
      <c r="B81" s="450" t="str">
        <f>IF(H4=2,"Dépenses totales (à l’exception des dons faits aux donataires reconnus)","Total expenditures before gifts to qualified donees")</f>
        <v>Total expenditures before gifts to qualified donees</v>
      </c>
      <c r="C81" s="451" t="str">
        <f>IF(H4=2,"Somme (af) à (as)","Sum (af) to (as)")</f>
        <v>Sum (af) to (as)</v>
      </c>
      <c r="D81" s="437" t="s">
        <v>344</v>
      </c>
      <c r="E81" s="452">
        <v>4950</v>
      </c>
      <c r="F81" s="453"/>
      <c r="G81" s="428">
        <f>SUM(G67:G80)</f>
        <v>0</v>
      </c>
    </row>
    <row r="82" spans="2:14" s="2" customFormat="1" ht="72" customHeight="1" x14ac:dyDescent="0.15">
      <c r="B82" s="416" t="str">
        <f>IF(H4=2,"Total des dépenses liées aux activités de bienfaisance incluses dans le montant de la ligne 4950","Total expenditures on charitable activities included in Line 4950")</f>
        <v>Total expenditures on charitable activities included in Line 4950</v>
      </c>
      <c r="C82" s="410" t="s">
        <v>518</v>
      </c>
      <c r="D82" s="435" t="s">
        <v>345</v>
      </c>
      <c r="E82" s="432">
        <v>5000</v>
      </c>
      <c r="F82" s="190">
        <f>'ACC9 (Pages 4-5-6) Exp~Dép'!J12+'ACC9 (Pages 4-5-6) Exp~Dép'!J13+'ACC9 (Pages 4-5-6) Exp~Dép'!J14+'ACC9 (Pages 4-5-6) Exp~Dép'!J17+'ACC9 (Pages 4-5-6) Exp~Dép'!J18+'ACC9 (Pages 4-5-6) Exp~Dép'!J19+'ACC9 (Pages 4-5-6) Exp~Dép'!J24+'ACC9 (Pages 4-5-6) Exp~Dép'!J23+'ACC9 (Pages 4-5-6) Exp~Dép'!J25+'ACC9 (Pages 4-5-6) Exp~Dép'!J26+'ACC9 (Pages 4-5-6) Exp~Dép'!J27+'ACC9 (Pages 4-5-6) Exp~Dép'!J28+'ACC9 (Pages 4-5-6) Exp~Dép'!J29+'ACC9 (Pages 4-5-6) Exp~Dép'!J30+'ACC9 (Pages 4-5-6) Exp~Dép'!J31+'ACC9 (Pages 4-5-6) Exp~Dép'!J32+'ACC9 (Pages 4-5-6) Exp~Dép'!J33+'ACC9 (Pages 4-5-6) Exp~Dép'!J34+'ACC9 (Pages 4-5-6) Exp~Dép'!J35+'ACC9 (Pages 4-5-6) Exp~Dép'!K54+'ACC9 (Pages 4-5-6) Exp~Dép'!K67+'ACC9 (Pages 4-5-6) Exp~Dép'!K79+'ACC9 (Pages 4-5-6) Exp~Dép'!K114-'ACC9 (Pages 4-5-6) Exp~Dép'!J106</f>
        <v>0</v>
      </c>
      <c r="G82" s="430"/>
      <c r="M82" s="454"/>
    </row>
    <row r="83" spans="2:14" s="2" customFormat="1" ht="38.25" customHeight="1" x14ac:dyDescent="0.15">
      <c r="B83" s="416" t="str">
        <f>IF(H4=2,"Total des dépenses liées à la gestion et à l'administration incluses dans le montant de la ligne 4950","Total expenditures on management and administration included in Line 4950")</f>
        <v>Total expenditures on management and administration included in Line 4950</v>
      </c>
      <c r="C83" s="410" t="s">
        <v>467</v>
      </c>
      <c r="D83" s="435" t="s">
        <v>346</v>
      </c>
      <c r="E83" s="432">
        <v>5010</v>
      </c>
      <c r="F83" s="190">
        <f>'ACC9 (Pages 4-5-6) Exp~Dép'!J10+'ACC9 (Pages 4-5-6) Exp~Dép'!J11+'ACC9 (Pages 4-5-6) Exp~Dép'!J15+'ACC9 (Pages 4-5-6) Exp~Dép'!J16+'ACC9 (Pages 4-5-6) Exp~Dép'!J20+'ACC9 (Pages 4-5-6) Exp~Dép'!J21+'ACC9 (Pages 4-5-6) Exp~Dép'!J22</f>
        <v>0</v>
      </c>
      <c r="G83" s="430"/>
    </row>
    <row r="84" spans="2:14" s="2" customFormat="1" ht="38.25" customHeight="1" x14ac:dyDescent="0.15">
      <c r="B84" s="416" t="str">
        <f>IF(H4=2,"Total des dépenses liées aux activités de collecte de fonds incluses dans le montant de la ligne 4950","Total expenditures on Fundraising included in Line 4950")</f>
        <v>Total expenditures on Fundraising included in Line 4950</v>
      </c>
      <c r="C84" s="410" t="s">
        <v>466</v>
      </c>
      <c r="D84" s="435" t="s">
        <v>347</v>
      </c>
      <c r="E84" s="420">
        <v>5020</v>
      </c>
      <c r="F84" s="190">
        <f>'ACC9 (Pages 4-5-6) Exp~Dép'!K91+'ACC9 (Pages 4-5-6) Exp~Dép'!K103</f>
        <v>0</v>
      </c>
      <c r="G84" s="430"/>
      <c r="L84" s="454"/>
    </row>
    <row r="85" spans="2:14" s="2" customFormat="1" ht="38.25" customHeight="1" x14ac:dyDescent="0.15">
      <c r="B85" s="416" t="str">
        <f>IF(H4=2,"Total des dépenses liées aux activités politiques, à l'intérieur ou à l'extérieur 5030 du Canada incluses dans le montant de la ligne 4950","Total expenditures on Political activity included in line 4950")</f>
        <v>Total expenditures on Political activity included in line 4950</v>
      </c>
      <c r="C85" s="410"/>
      <c r="D85" s="208" t="s">
        <v>348</v>
      </c>
      <c r="E85" s="420">
        <v>5030</v>
      </c>
      <c r="F85" s="429"/>
      <c r="G85" s="430"/>
    </row>
    <row r="86" spans="2:14" s="2" customFormat="1" ht="36" customHeight="1" x14ac:dyDescent="0.15">
      <c r="B86" s="416" t="str">
        <f>IF(H4=2,"Total des autres dépenses incluses dans le montant de la ligne 4950","Total other expenditures Included in Line 4950")</f>
        <v>Total other expenditures Included in Line 4950</v>
      </c>
      <c r="C86" s="410"/>
      <c r="D86" s="208" t="s">
        <v>349</v>
      </c>
      <c r="E86" s="420">
        <v>5040</v>
      </c>
      <c r="F86" s="429"/>
      <c r="G86" s="430"/>
    </row>
    <row r="87" spans="2:14" s="2" customFormat="1" ht="36" customHeight="1" x14ac:dyDescent="0.15">
      <c r="B87" s="416" t="str">
        <f>IF(H4=2,"Total des dons faits à tous les donataires reconnus","Total amount of gifts made to all qualified donees")</f>
        <v>Total amount of gifts made to all qualified donees</v>
      </c>
      <c r="C87" s="410">
        <v>5810</v>
      </c>
      <c r="D87" s="208" t="s">
        <v>350</v>
      </c>
      <c r="E87" s="432">
        <v>5050</v>
      </c>
      <c r="F87" s="433"/>
      <c r="G87" s="190">
        <f>'ACC9 (Pages 4-5-6) Exp~Dép'!J106</f>
        <v>0</v>
      </c>
      <c r="I87" s="1264" t="str">
        <f>I29</f>
        <v>The form T1236 is not required</v>
      </c>
      <c r="J87" s="1265"/>
      <c r="K87" s="1265"/>
      <c r="L87" s="1265"/>
      <c r="M87" s="1265"/>
      <c r="N87" s="1265"/>
    </row>
    <row r="88" spans="2:14" s="2" customFormat="1" ht="36" customHeight="1" x14ac:dyDescent="0.15">
      <c r="B88" s="423" t="str">
        <f>IF(H4=2,"Total des dépenses","Total Expenditures")</f>
        <v>Total Expenditures</v>
      </c>
      <c r="C88" s="424" t="s">
        <v>351</v>
      </c>
      <c r="D88" s="437" t="s">
        <v>352</v>
      </c>
      <c r="E88" s="426">
        <v>5100</v>
      </c>
      <c r="F88" s="438"/>
      <c r="G88" s="428">
        <f>G81+G87</f>
        <v>0</v>
      </c>
      <c r="I88" s="1"/>
      <c r="J88" s="1"/>
      <c r="K88" s="1"/>
      <c r="L88" s="1"/>
      <c r="M88" s="1"/>
      <c r="N88" s="1"/>
    </row>
    <row r="89" spans="2:14" s="1" customFormat="1" ht="20" customHeight="1" x14ac:dyDescent="0.15">
      <c r="B89"/>
      <c r="C89" s="398"/>
      <c r="D89" s="91"/>
      <c r="E89" s="398"/>
      <c r="F89" s="398"/>
      <c r="G89" s="399"/>
    </row>
    <row r="90" spans="2:14" x14ac:dyDescent="0.15">
      <c r="B90" s="1"/>
      <c r="C90" s="1"/>
      <c r="D90" s="1"/>
      <c r="E90" s="1"/>
      <c r="F90" s="1"/>
      <c r="G90" s="1"/>
    </row>
    <row r="93" spans="2:14" x14ac:dyDescent="0.15">
      <c r="B93" s="187"/>
    </row>
    <row r="129" customFormat="1" x14ac:dyDescent="0.15"/>
    <row r="130" customFormat="1" x14ac:dyDescent="0.15"/>
    <row r="131" customFormat="1" x14ac:dyDescent="0.15"/>
    <row r="132" customFormat="1" x14ac:dyDescent="0.15"/>
    <row r="133" customFormat="1" x14ac:dyDescent="0.15"/>
  </sheetData>
  <sheetProtection algorithmName="SHA-512" hashValue="/yhKNiSLWXk6aYVeBJBm9EJkhCgPwwzg27stSFKkMh3sDewo+3HBb2ONgiGd0epFrK1Bbm7YRYiqsjz3gKPzlw==" saltValue="sh28VSg/AcJiFCSb+k7Dcw==" spinCount="100000" sheet="1" objects="1" scenarios="1" selectLockedCells="1" selectUnlockedCells="1"/>
  <mergeCells count="15">
    <mergeCell ref="B1:G1"/>
    <mergeCell ref="B2:G2"/>
    <mergeCell ref="B3:G3"/>
    <mergeCell ref="C7:G7"/>
    <mergeCell ref="B8:G8"/>
    <mergeCell ref="B10:G10"/>
    <mergeCell ref="B12:G12"/>
    <mergeCell ref="B22:G22"/>
    <mergeCell ref="I30:N30"/>
    <mergeCell ref="I65:N65"/>
    <mergeCell ref="C31:G31"/>
    <mergeCell ref="B32:G32"/>
    <mergeCell ref="B43:G43"/>
    <mergeCell ref="B49:G49"/>
    <mergeCell ref="I56:N56"/>
  </mergeCells>
  <pageMargins left="0.62986111111111098" right="0.196527777777778" top="0.47222222222222199" bottom="0.43263888888888902" header="0.511811023622047" footer="0.23611111111111099"/>
  <pageSetup scale="41" fitToHeight="0" orientation="portrait" horizontalDpi="300" verticalDpi="300" r:id="rId1"/>
  <headerFooter>
    <oddFooter>&amp;L&amp;D&amp;R&amp;P/&amp;N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70C0"/>
    <pageSetUpPr fitToPage="1"/>
  </sheetPr>
  <dimension ref="B1:U62"/>
  <sheetViews>
    <sheetView showGridLines="0" showZeros="0" zoomScale="85" zoomScaleNormal="85" workbookViewId="0">
      <pane ySplit="6" topLeftCell="A7" activePane="bottomLeft" state="frozen"/>
      <selection pane="bottomLeft" activeCell="F58" sqref="F58"/>
    </sheetView>
  </sheetViews>
  <sheetFormatPr baseColWidth="10" defaultColWidth="11.5" defaultRowHeight="13" x14ac:dyDescent="0.15"/>
  <cols>
    <col min="1" max="1" width="3.1640625" customWidth="1"/>
    <col min="2" max="2" width="88.5" customWidth="1"/>
    <col min="3" max="3" width="26.33203125" style="398" customWidth="1"/>
    <col min="4" max="4" width="4.83203125" style="398" customWidth="1"/>
    <col min="5" max="5" width="11.33203125" style="398" customWidth="1"/>
    <col min="6" max="6" width="21.33203125" style="399" customWidth="1"/>
    <col min="7" max="7" width="1.5" customWidth="1"/>
    <col min="8" max="8" width="46.6640625" customWidth="1"/>
    <col min="9" max="12" width="9.1640625" customWidth="1"/>
    <col min="13" max="13" width="23.33203125" customWidth="1"/>
    <col min="14" max="17" width="9.1640625" hidden="1" customWidth="1"/>
    <col min="18" max="18" width="12.1640625" customWidth="1"/>
    <col min="19" max="21" width="9.1640625" customWidth="1"/>
    <col min="22" max="22" width="9.6640625" customWidth="1"/>
    <col min="23" max="32" width="9.1640625" customWidth="1"/>
    <col min="33" max="33" width="15.6640625" customWidth="1"/>
    <col min="34" max="258" width="9.1640625" customWidth="1"/>
  </cols>
  <sheetData>
    <row r="1" spans="2:21" ht="33.75" customHeight="1" x14ac:dyDescent="0.25">
      <c r="B1" s="1515" t="str">
        <f>IF(G4=2,"Rapport TP-985.22-V - Feuille de travail","TP-985.22-V Report - Worksheet")</f>
        <v>TP-985.22-V Report - Worksheet</v>
      </c>
      <c r="C1" s="1515"/>
      <c r="D1" s="1515"/>
      <c r="E1" s="1515"/>
      <c r="F1" s="1515"/>
    </row>
    <row r="2" spans="2:21" ht="33.75" customHeight="1" x14ac:dyDescent="0.15">
      <c r="B2" s="1733" t="str">
        <f>'Set up ~ Config'!B2:J2</f>
        <v xml:space="preserve">SSC </v>
      </c>
      <c r="C2" s="1733"/>
      <c r="D2" s="1733"/>
      <c r="E2" s="1733"/>
      <c r="F2" s="1733"/>
    </row>
    <row r="3" spans="2:21" ht="41.25" customHeight="1" x14ac:dyDescent="0.15">
      <c r="B3" s="1832" t="e">
        <f>'Cover~Page~Titre'!B58:Y58</f>
        <v>#VALUE!</v>
      </c>
      <c r="C3" s="1832"/>
      <c r="D3" s="1832"/>
      <c r="E3" s="1832"/>
      <c r="F3" s="1832"/>
      <c r="O3" s="20" t="s">
        <v>353</v>
      </c>
    </row>
    <row r="4" spans="2:21" ht="4.5" customHeight="1" x14ac:dyDescent="0.15">
      <c r="B4" s="20"/>
      <c r="C4" s="20"/>
      <c r="D4" s="20"/>
      <c r="E4" s="27"/>
      <c r="F4" s="20"/>
      <c r="G4" s="212">
        <f>'Set up ~ Config'!L10</f>
        <v>1</v>
      </c>
      <c r="O4" s="20" t="s">
        <v>354</v>
      </c>
    </row>
    <row r="5" spans="2:21" s="1" customFormat="1" ht="8.25" customHeight="1" x14ac:dyDescent="0.15">
      <c r="C5" s="26"/>
      <c r="D5" s="26"/>
      <c r="E5" s="26"/>
      <c r="F5" s="37"/>
      <c r="O5" s="2"/>
    </row>
    <row r="6" spans="2:21" s="1" customFormat="1" ht="28.5" customHeight="1" x14ac:dyDescent="0.15">
      <c r="B6" s="455" t="s">
        <v>138</v>
      </c>
      <c r="C6" s="401" t="str">
        <f>IF(G4=2,"ACC-9 
# Ligne", "ACC-9 
Line #")</f>
        <v>ACC-9 
Line #</v>
      </c>
      <c r="D6" s="401"/>
      <c r="E6" s="401" t="str">
        <f>IF(G4=2,"TP985
# ligne","TP985
Line #")</f>
        <v>TP985
Line #</v>
      </c>
      <c r="F6" s="402" t="str">
        <f>IF(G4=2,"Montant","Amount")</f>
        <v>Amount</v>
      </c>
      <c r="O6" s="20" t="s">
        <v>355</v>
      </c>
      <c r="R6" s="403"/>
      <c r="S6" s="403"/>
      <c r="T6" s="403"/>
      <c r="U6" s="403"/>
    </row>
    <row r="7" spans="2:21" s="1" customFormat="1" ht="36" customHeight="1" x14ac:dyDescent="0.15">
      <c r="B7" s="1830" t="str">
        <f>IF(G4=2,"Dons et autres revenus","Gifts and other revenue")</f>
        <v>Gifts and other revenue</v>
      </c>
      <c r="C7" s="1830"/>
      <c r="D7" s="1830"/>
      <c r="E7" s="1830"/>
      <c r="F7" s="1830"/>
      <c r="O7" s="20" t="s">
        <v>356</v>
      </c>
    </row>
    <row r="8" spans="2:21" s="1" customFormat="1" ht="36" customHeight="1" x14ac:dyDescent="0.15">
      <c r="B8" s="456" t="str">
        <f>IF(G4=2,"Total des montants admissibles des dons pour lesquels l’organisme a délivré des reçus officiels","Total eligible amount of gifts for which the organization issued official receipts")</f>
        <v>Total eligible amount of gifts for which the organization issued official receipts</v>
      </c>
      <c r="C8" s="410" t="s">
        <v>295</v>
      </c>
      <c r="D8" s="208" t="s">
        <v>36</v>
      </c>
      <c r="E8" s="445">
        <v>12</v>
      </c>
      <c r="F8" s="431">
        <f>'T3010'!G50</f>
        <v>0</v>
      </c>
      <c r="H8" s="183"/>
      <c r="I8" s="183"/>
      <c r="J8" s="183"/>
      <c r="K8" s="183"/>
      <c r="L8" s="183"/>
      <c r="M8" s="183"/>
      <c r="O8" s="20"/>
    </row>
    <row r="9" spans="2:21" s="1" customFormat="1" ht="36" customHeight="1" x14ac:dyDescent="0.15">
      <c r="B9" s="456" t="str">
        <f>IF(G4=2,"Total des dons reçus d’autres organismes ayant le même statut fiscal","Total gifts received from other organizations with the same tax status")</f>
        <v>Total gifts received from other organizations with the same tax status</v>
      </c>
      <c r="C9" s="410" t="s">
        <v>296</v>
      </c>
      <c r="D9" s="208" t="s">
        <v>37</v>
      </c>
      <c r="E9" s="445">
        <v>13</v>
      </c>
      <c r="F9" s="431">
        <f>'T3010'!G51</f>
        <v>0</v>
      </c>
      <c r="H9" s="457"/>
      <c r="I9" s="457"/>
      <c r="J9" s="457"/>
      <c r="K9" s="457"/>
      <c r="L9" s="457"/>
      <c r="M9" s="457"/>
      <c r="O9" s="20"/>
    </row>
    <row r="10" spans="2:21" s="1" customFormat="1" ht="36" customHeight="1" x14ac:dyDescent="0.15">
      <c r="B10" s="458" t="str">
        <f>IF(G4=2,"Partie du montant de la ligne 13 qui constitue des dons déterminés","Portion of the amount from line 13 that constitutes specified gifts")</f>
        <v>Portion of the amount from line 13 that constitutes specified gifts</v>
      </c>
      <c r="C10" s="410"/>
      <c r="D10" s="208" t="s">
        <v>150</v>
      </c>
      <c r="E10" s="445">
        <v>13.1</v>
      </c>
      <c r="F10" s="431"/>
      <c r="H10" s="368"/>
      <c r="I10" s="368"/>
      <c r="J10" s="368"/>
      <c r="K10" s="368"/>
      <c r="L10" s="368"/>
      <c r="M10" s="368"/>
      <c r="O10" s="20"/>
    </row>
    <row r="11" spans="2:21" s="1" customFormat="1" ht="36" customHeight="1" x14ac:dyDescent="0.15">
      <c r="B11" s="456" t="str">
        <f>IF(G4=2,"Autres dons. N’incluez pas les dons provenant d’autres organismes (ligne 13) ni les revenus de sources gouvernementales (ligne 15).","Other gifts for which the organization did not issue official receipts")</f>
        <v>Other gifts for which the organization did not issue official receipts</v>
      </c>
      <c r="C11" s="410" t="s">
        <v>297</v>
      </c>
      <c r="D11" s="208" t="s">
        <v>151</v>
      </c>
      <c r="E11" s="445">
        <v>14</v>
      </c>
      <c r="F11" s="431">
        <f>'T3010'!G52</f>
        <v>0</v>
      </c>
      <c r="H11" s="368"/>
      <c r="I11" s="368"/>
      <c r="J11" s="368"/>
      <c r="K11" s="368"/>
      <c r="L11" s="368"/>
      <c r="M11" s="368"/>
      <c r="O11" s="20"/>
    </row>
    <row r="12" spans="2:21" s="1" customFormat="1" ht="36" customHeight="1" x14ac:dyDescent="0.15">
      <c r="B12" s="456" t="str">
        <f>IF(G4=2,"Revenus de sources gouvernementales","Revenue from government sources")</f>
        <v>Revenue from government sources</v>
      </c>
      <c r="C12" s="410"/>
      <c r="D12" s="208" t="s">
        <v>152</v>
      </c>
      <c r="E12" s="206">
        <v>15</v>
      </c>
      <c r="F12" s="431">
        <f>'T3010'!G16</f>
        <v>0</v>
      </c>
      <c r="H12" s="368"/>
      <c r="I12" s="368"/>
      <c r="J12" s="368"/>
      <c r="K12" s="368"/>
      <c r="L12" s="368"/>
      <c r="M12" s="368"/>
      <c r="O12" s="20"/>
    </row>
    <row r="13" spans="2:21" s="1" customFormat="1" ht="36" customHeight="1" x14ac:dyDescent="0.15">
      <c r="B13" s="458" t="str">
        <f>IF(G4=2,"du gouvernement fédéral","the federal government")</f>
        <v>the federal government</v>
      </c>
      <c r="C13" s="410" t="s">
        <v>520</v>
      </c>
      <c r="D13" s="208" t="s">
        <v>153</v>
      </c>
      <c r="E13" s="445">
        <v>15.1</v>
      </c>
      <c r="F13" s="431">
        <f>'T3010'!G53</f>
        <v>0</v>
      </c>
      <c r="H13" s="368"/>
      <c r="I13" s="368"/>
      <c r="J13" s="368"/>
      <c r="K13" s="368"/>
      <c r="L13" s="368"/>
      <c r="M13" s="368"/>
      <c r="O13" s="20"/>
    </row>
    <row r="14" spans="2:21" s="1" customFormat="1" ht="36" customHeight="1" x14ac:dyDescent="0.15">
      <c r="B14" s="458" t="str">
        <f>IF(G4=2,"du gouvernement d’une province","a provincial government")</f>
        <v>a provincial government</v>
      </c>
      <c r="C14" s="410" t="s">
        <v>314</v>
      </c>
      <c r="D14" s="208" t="s">
        <v>154</v>
      </c>
      <c r="E14" s="420">
        <v>15.2</v>
      </c>
      <c r="F14" s="431">
        <f>'T3010'!G54</f>
        <v>0</v>
      </c>
      <c r="I14" s="459"/>
      <c r="J14" s="459"/>
      <c r="K14" s="459"/>
      <c r="L14" s="459"/>
      <c r="M14" s="459"/>
      <c r="O14" s="20"/>
    </row>
    <row r="15" spans="2:21" s="1" customFormat="1" ht="36" customHeight="1" x14ac:dyDescent="0.15">
      <c r="B15" s="458" t="str">
        <f>IF(G4=2,"d’une administration municipale ou régionale","a municipal or regional administration")</f>
        <v>a municipal or regional administration</v>
      </c>
      <c r="C15" s="410" t="s">
        <v>316</v>
      </c>
      <c r="D15" s="208" t="s">
        <v>155</v>
      </c>
      <c r="E15" s="420">
        <v>15.3</v>
      </c>
      <c r="F15" s="431">
        <f>'T3010'!G55</f>
        <v>0</v>
      </c>
      <c r="H15" s="411"/>
      <c r="I15" s="411"/>
      <c r="J15" s="411"/>
      <c r="K15" s="411"/>
      <c r="L15" s="411"/>
      <c r="M15" s="411"/>
      <c r="O15" s="20"/>
    </row>
    <row r="16" spans="2:21" s="1" customFormat="1" ht="36" customHeight="1" x14ac:dyDescent="0.15">
      <c r="B16" s="456" t="str">
        <f>IF(G4=2,"Revenus de placement (intérêts et dividendes)","Investment income (interest and dividends)")</f>
        <v>Investment income (interest and dividends)</v>
      </c>
      <c r="C16" s="410">
        <v>4640</v>
      </c>
      <c r="D16" s="208" t="s">
        <v>156</v>
      </c>
      <c r="E16" s="420">
        <v>17</v>
      </c>
      <c r="F16" s="431">
        <f>'T3010'!G57</f>
        <v>0</v>
      </c>
      <c r="H16" s="411"/>
      <c r="I16" s="411"/>
      <c r="J16" s="411"/>
      <c r="K16" s="411"/>
      <c r="L16" s="411"/>
      <c r="M16" s="411"/>
      <c r="O16" s="20"/>
    </row>
    <row r="17" spans="2:15" s="1" customFormat="1" ht="36" customHeight="1" x14ac:dyDescent="0.15">
      <c r="B17" s="456" t="str">
        <f>IF(G4=2,"Revenus de location de terrains et d’immeubles","Rental income from land and buildings")</f>
        <v>Rental income from land and buildings</v>
      </c>
      <c r="C17" s="410"/>
      <c r="D17" s="208" t="s">
        <v>157</v>
      </c>
      <c r="E17" s="420">
        <v>18</v>
      </c>
      <c r="F17" s="431"/>
      <c r="H17" s="411"/>
      <c r="I17" s="411"/>
      <c r="J17" s="411"/>
      <c r="K17" s="411"/>
      <c r="L17" s="411"/>
      <c r="M17" s="411"/>
      <c r="O17" s="20"/>
    </row>
    <row r="18" spans="2:15" s="1" customFormat="1" ht="36" customHeight="1" x14ac:dyDescent="0.15">
      <c r="B18" s="456" t="str">
        <f>IF(G4=2,"Cotisations des membres et droits d’adhésion, sauf ceux déclarés à la ligne 12","Membership fees or dues for which the organization did not issue official receipts")</f>
        <v>Membership fees or dues for which the organization did not issue official receipts</v>
      </c>
      <c r="C18" s="410"/>
      <c r="D18" s="208" t="s">
        <v>158</v>
      </c>
      <c r="E18" s="420">
        <v>19</v>
      </c>
      <c r="F18" s="431"/>
      <c r="H18" s="411"/>
      <c r="I18" s="411"/>
      <c r="J18" s="411"/>
      <c r="K18" s="411"/>
      <c r="L18" s="411"/>
      <c r="M18" s="411"/>
      <c r="O18" s="20"/>
    </row>
    <row r="19" spans="2:15" s="1" customFormat="1" ht="36" customHeight="1" x14ac:dyDescent="0.15">
      <c r="B19" s="456" t="str">
        <f>IF(G4=2,"Revenus provenant d’activités de financement, sauf ceux déclarés aux lignes 12, 13 et 14","Revenue from fundraising activities for which the organization did not issue official receipts")</f>
        <v>Revenue from fundraising activities for which the organization did not issue official receipts</v>
      </c>
      <c r="C19" s="410" t="str">
        <f>IF($G$4=2,"4299, 4499 ( - Col. Dons)","4299, 4499 ( - Col. Donations)")</f>
        <v>4299, 4499 ( - Col. Donations)</v>
      </c>
      <c r="D19" s="208" t="s">
        <v>159</v>
      </c>
      <c r="E19" s="445">
        <v>20</v>
      </c>
      <c r="F19" s="431">
        <f>'T3010'!G62</f>
        <v>0</v>
      </c>
      <c r="O19" s="20"/>
    </row>
    <row r="20" spans="2:15" s="1" customFormat="1" ht="36" customHeight="1" x14ac:dyDescent="0.15">
      <c r="B20" s="456" t="str">
        <f>IF(G4=2,"Revenus provenant de la vente courante de produits et services","Income from sales of goods and services")</f>
        <v>Income from sales of goods and services</v>
      </c>
      <c r="C20" s="410"/>
      <c r="D20" s="208" t="s">
        <v>299</v>
      </c>
      <c r="E20" s="445">
        <v>21</v>
      </c>
      <c r="F20" s="431"/>
      <c r="O20" s="20"/>
    </row>
    <row r="21" spans="2:15" s="1" customFormat="1" ht="36" customHeight="1" x14ac:dyDescent="0.15">
      <c r="B21" s="456" t="str">
        <f>IF(G4=2,"Montant net des gains (ou des pertes) en capital","Net capital gain (or loss) from the disposition of property")</f>
        <v>Net capital gain (or loss) from the disposition of property</v>
      </c>
      <c r="C21" s="410"/>
      <c r="D21" s="208" t="s">
        <v>300</v>
      </c>
      <c r="E21" s="445">
        <v>22</v>
      </c>
      <c r="F21" s="431"/>
      <c r="H21" s="2"/>
      <c r="I21" s="2"/>
      <c r="J21" s="2"/>
      <c r="K21" s="2"/>
      <c r="L21" s="2"/>
      <c r="M21" s="2"/>
      <c r="O21" s="20"/>
    </row>
    <row r="22" spans="2:15" s="1" customFormat="1" ht="36" customHeight="1" x14ac:dyDescent="0.15">
      <c r="B22" s="456" t="str">
        <f>IF(G4=2,"Total des montants qui n’est pas compris dans les montants mentionnés ci-dessus","Other revenue")</f>
        <v>Other revenue</v>
      </c>
      <c r="C22" s="410" t="s">
        <v>516</v>
      </c>
      <c r="D22" s="208" t="s">
        <v>303</v>
      </c>
      <c r="E22" s="445">
        <v>23</v>
      </c>
      <c r="F22" s="431">
        <f>'T3010'!G64</f>
        <v>0</v>
      </c>
      <c r="O22" s="20"/>
    </row>
    <row r="23" spans="2:15" s="1" customFormat="1" ht="36" customHeight="1" x14ac:dyDescent="0.15">
      <c r="B23" s="423" t="str">
        <f>IF(G4=2,"Total des revenus","Total Revenue")</f>
        <v>Total Revenue</v>
      </c>
      <c r="C23" s="451" t="str">
        <f>IF(G4=2,"(a) + (b) + (d) + (e) + Somme (i) à (o)","(a) + (b) + (d) +(e) + Sum (i) to (o)")</f>
        <v>(a) + (b) + (d) +(e) + Sum (i) to (o)</v>
      </c>
      <c r="D23" s="437" t="s">
        <v>305</v>
      </c>
      <c r="E23" s="426">
        <v>24</v>
      </c>
      <c r="F23" s="428">
        <f>SUM(F8,F9,F11,F12,F16:F22)</f>
        <v>0</v>
      </c>
      <c r="H23" s="1828"/>
      <c r="I23" s="1828"/>
      <c r="J23" s="1828"/>
      <c r="K23" s="1828"/>
      <c r="L23" s="1828"/>
      <c r="M23" s="1828"/>
      <c r="O23" s="20"/>
    </row>
    <row r="24" spans="2:15" s="1" customFormat="1" ht="36" customHeight="1" x14ac:dyDescent="0.15">
      <c r="B24" s="1830" t="str">
        <f>IF(G4=2,"Dépenses et dons à des donataires reconnus","Expenditures and gifts to qualified donees")</f>
        <v>Expenditures and gifts to qualified donees</v>
      </c>
      <c r="C24" s="1830"/>
      <c r="D24" s="1830"/>
      <c r="E24" s="1830"/>
      <c r="F24" s="1830"/>
      <c r="O24" s="20"/>
    </row>
    <row r="25" spans="2:15" s="1" customFormat="1" ht="36" customHeight="1" x14ac:dyDescent="0.15">
      <c r="B25" s="460" t="str">
        <f>IF(G4=2,"Frais de publicité et de promotion","Advertising and promotional costs")</f>
        <v>Advertising and promotional costs</v>
      </c>
      <c r="C25" s="422">
        <v>5080</v>
      </c>
      <c r="D25" s="208" t="s">
        <v>307</v>
      </c>
      <c r="E25" s="429">
        <v>25</v>
      </c>
      <c r="F25" s="190">
        <f>'T3010'!G67</f>
        <v>0</v>
      </c>
      <c r="H25" s="2"/>
      <c r="I25" s="2"/>
      <c r="J25" s="2"/>
      <c r="K25" s="2"/>
      <c r="L25" s="2"/>
      <c r="M25" s="2"/>
      <c r="O25" s="20"/>
    </row>
    <row r="26" spans="2:15" s="1" customFormat="1" ht="36" customHeight="1" x14ac:dyDescent="0.15">
      <c r="B26" s="456" t="str">
        <f>IF(G4=2,"Frais de déplacement et d’utilisation d’un véhicule","Travel and vehicle expenditures")</f>
        <v>Travel and vehicle expenditures</v>
      </c>
      <c r="C26" s="410">
        <v>5150</v>
      </c>
      <c r="D26" s="208" t="s">
        <v>308</v>
      </c>
      <c r="E26" s="445">
        <v>26</v>
      </c>
      <c r="F26" s="190">
        <f>'T3010'!G68</f>
        <v>0</v>
      </c>
      <c r="H26" s="2"/>
      <c r="I26" s="2"/>
      <c r="J26" s="2"/>
      <c r="K26" s="2"/>
      <c r="L26" s="2"/>
      <c r="M26" s="2"/>
      <c r="O26" s="20"/>
    </row>
    <row r="27" spans="2:15" s="1" customFormat="1" ht="36" customHeight="1" x14ac:dyDescent="0.15">
      <c r="B27" s="456" t="str">
        <f>IF(G4=2,"Intérêts et autres frais financiers","Interest and other carrying charges")</f>
        <v>Interest and other carrying charges</v>
      </c>
      <c r="C27" s="422">
        <v>5110</v>
      </c>
      <c r="D27" s="208" t="s">
        <v>310</v>
      </c>
      <c r="E27" s="461">
        <v>27</v>
      </c>
      <c r="F27" s="190">
        <f>'T3010'!G69</f>
        <v>0</v>
      </c>
      <c r="H27" s="2"/>
      <c r="I27" s="2"/>
      <c r="J27" s="2"/>
      <c r="K27" s="2"/>
      <c r="L27" s="2"/>
      <c r="M27" s="2"/>
      <c r="O27" s="20"/>
    </row>
    <row r="28" spans="2:15" s="1" customFormat="1" ht="36" customHeight="1" x14ac:dyDescent="0.15">
      <c r="B28" s="456" t="str">
        <f>IF(G4=2,"Frais de bureau et coût des fournitures","Office expenditures and supplies")</f>
        <v>Office expenditures and supplies</v>
      </c>
      <c r="C28" s="422" t="s">
        <v>333</v>
      </c>
      <c r="D28" s="208" t="s">
        <v>315</v>
      </c>
      <c r="E28" s="461">
        <v>28</v>
      </c>
      <c r="F28" s="190">
        <f>'T3010'!G71</f>
        <v>0</v>
      </c>
      <c r="H28" s="2"/>
      <c r="I28" s="2"/>
      <c r="J28" s="2"/>
      <c r="K28" s="2"/>
      <c r="L28" s="2"/>
      <c r="M28" s="2"/>
      <c r="O28" s="20"/>
    </row>
    <row r="29" spans="2:15" s="1" customFormat="1" ht="36" customHeight="1" x14ac:dyDescent="0.15">
      <c r="B29" s="456" t="str">
        <f>IF(G4=2,"Coûts d'occupation","Occupancy Costs")</f>
        <v>Occupancy Costs</v>
      </c>
      <c r="C29" s="422" t="s">
        <v>517</v>
      </c>
      <c r="D29" s="208" t="s">
        <v>317</v>
      </c>
      <c r="E29" s="461">
        <v>29</v>
      </c>
      <c r="F29" s="190">
        <f>'T3010'!G72</f>
        <v>0</v>
      </c>
      <c r="H29" s="2"/>
      <c r="I29" s="2"/>
      <c r="J29" s="2"/>
      <c r="K29" s="2"/>
      <c r="L29" s="2"/>
      <c r="M29" s="2"/>
      <c r="O29" s="20"/>
    </row>
    <row r="30" spans="2:15" s="1" customFormat="1" ht="36" customHeight="1" x14ac:dyDescent="0.15">
      <c r="B30" s="456" t="str">
        <f>IF(G4=2,"Total des dépenses de l’organisme de bienfaisance pour des honoraires de professionnels ou de consultants","Professional and consulting fees")</f>
        <v>Professional and consulting fees</v>
      </c>
      <c r="C30" s="410">
        <v>5120</v>
      </c>
      <c r="D30" s="208" t="s">
        <v>318</v>
      </c>
      <c r="E30" s="445">
        <v>30</v>
      </c>
      <c r="F30" s="190">
        <f>'T3010'!G73</f>
        <v>0</v>
      </c>
      <c r="H30" s="2"/>
      <c r="I30" s="2"/>
      <c r="J30" s="2"/>
      <c r="K30" s="2"/>
      <c r="L30" s="2"/>
      <c r="M30" s="2"/>
      <c r="O30" s="20"/>
    </row>
    <row r="31" spans="2:15" s="1" customFormat="1" ht="36" customHeight="1" x14ac:dyDescent="0.15">
      <c r="B31" s="456" t="str">
        <f>IF(G4=2,"Frais de formation du personnel et des bénévoles","Training costs (personnel and volunteers)")</f>
        <v>Training costs (personnel and volunteers)</v>
      </c>
      <c r="C31" s="422">
        <v>5060</v>
      </c>
      <c r="D31" s="208" t="s">
        <v>319</v>
      </c>
      <c r="E31" s="461">
        <v>31</v>
      </c>
      <c r="F31" s="190">
        <f>'T3010'!G74</f>
        <v>0</v>
      </c>
      <c r="H31" s="2"/>
      <c r="I31" s="2"/>
      <c r="J31" s="2"/>
      <c r="K31" s="2"/>
      <c r="L31" s="2"/>
      <c r="M31" s="2"/>
      <c r="O31" s="20"/>
    </row>
    <row r="32" spans="2:15" s="1" customFormat="1" ht="36" customHeight="1" x14ac:dyDescent="0.15">
      <c r="B32" s="456" t="str">
        <f>IF(G4=2,"Traitements, salaires, avantages et honoraires","Wages and salaries, benefits and fees")</f>
        <v>Wages and salaries, benefits and fees</v>
      </c>
      <c r="C32" s="422">
        <v>5130</v>
      </c>
      <c r="D32" s="208" t="s">
        <v>320</v>
      </c>
      <c r="E32" s="461">
        <v>32</v>
      </c>
      <c r="F32" s="190">
        <f>'T3010'!G75</f>
        <v>0</v>
      </c>
      <c r="H32" s="2"/>
      <c r="I32" s="2"/>
      <c r="J32" s="2"/>
      <c r="K32" s="2"/>
      <c r="L32" s="2"/>
      <c r="M32" s="2"/>
      <c r="O32" s="20"/>
    </row>
    <row r="33" spans="2:16" s="1" customFormat="1" ht="36" customHeight="1" x14ac:dyDescent="0.15">
      <c r="B33" s="456" t="str">
        <f>IF(G4=2,"Fournitures et biens achetés ou reçus en donation, qui ont été utilisés au cours de l’exercice","Cost of supplies and property purchased")</f>
        <v>Cost of supplies and property purchased</v>
      </c>
      <c r="C33" s="410"/>
      <c r="D33" s="208" t="s">
        <v>321</v>
      </c>
      <c r="E33" s="461">
        <v>33</v>
      </c>
      <c r="F33" s="190"/>
      <c r="H33" s="2"/>
      <c r="I33" s="2"/>
      <c r="J33" s="2"/>
      <c r="K33" s="2"/>
      <c r="L33" s="2"/>
      <c r="M33" s="2"/>
      <c r="O33" s="20"/>
    </row>
    <row r="34" spans="2:16" s="1" customFormat="1" ht="36" customHeight="1" x14ac:dyDescent="0.15">
      <c r="B34" s="456" t="str">
        <f>IF(G4=2,"Subventions de recherche et bourses versées dans le cadre d’activités liées aux objectifs de l’organisme","Research grants, bursaries and scholarships paid as part of the activities related to the organization’s objectives")</f>
        <v>Research grants, bursaries and scholarships paid as part of the activities related to the organization’s objectives</v>
      </c>
      <c r="C34" s="410">
        <v>5530</v>
      </c>
      <c r="D34" s="208" t="s">
        <v>322</v>
      </c>
      <c r="E34" s="420">
        <v>35</v>
      </c>
      <c r="F34" s="190">
        <f>'T3010'!G79</f>
        <v>0</v>
      </c>
      <c r="H34"/>
      <c r="I34"/>
      <c r="J34"/>
      <c r="K34"/>
      <c r="L34"/>
      <c r="M34"/>
      <c r="O34" s="20"/>
    </row>
    <row r="35" spans="2:16" s="1" customFormat="1" ht="70" x14ac:dyDescent="0.15">
      <c r="B35" s="456" t="str">
        <f>IF(G4=2,"Autres dépenses","Other expenditures")</f>
        <v>Other expenditures</v>
      </c>
      <c r="C35" s="447" t="s">
        <v>522</v>
      </c>
      <c r="D35" s="208" t="s">
        <v>323</v>
      </c>
      <c r="E35" s="462">
        <v>36</v>
      </c>
      <c r="F35" s="190">
        <f>'T3010'!G70+'T3010'!G80</f>
        <v>0</v>
      </c>
      <c r="H35"/>
      <c r="I35"/>
      <c r="J35"/>
      <c r="K35"/>
      <c r="L35"/>
      <c r="M35"/>
      <c r="O35" s="20"/>
    </row>
    <row r="36" spans="2:16" s="1" customFormat="1" ht="36" customHeight="1" x14ac:dyDescent="0.15">
      <c r="B36" s="463" t="str">
        <f>IF(G4=2,"Sous-Total","Sub-Total")</f>
        <v>Sub-Total</v>
      </c>
      <c r="C36" s="451" t="str">
        <f>IF(G4=2,"Somme (q) à (aa)","Sum (q) to (aa)")</f>
        <v>Sum (q) to (aa)</v>
      </c>
      <c r="D36" s="464" t="s">
        <v>324</v>
      </c>
      <c r="E36" s="465">
        <v>37</v>
      </c>
      <c r="F36" s="428">
        <f>SUM(F25:F35)</f>
        <v>0</v>
      </c>
      <c r="H36" s="2"/>
      <c r="I36" s="2"/>
      <c r="J36" s="2"/>
      <c r="K36" s="2"/>
      <c r="L36" s="2"/>
      <c r="M36" s="2"/>
      <c r="O36" s="20"/>
    </row>
    <row r="37" spans="2:16" s="1" customFormat="1" ht="36" customHeight="1" x14ac:dyDescent="0.15">
      <c r="B37" s="456" t="str">
        <f>IF(G4=2,"Partie du montant de la ligne 37 qui se rapporte à:","Portion of the amount from line 37 that pertains to:")</f>
        <v>Portion of the amount from line 37 that pertains to:</v>
      </c>
      <c r="C37" s="466"/>
      <c r="D37" s="435"/>
      <c r="E37" s="467"/>
      <c r="F37" s="468"/>
      <c r="H37" s="2"/>
      <c r="I37" s="2"/>
      <c r="J37" s="2"/>
      <c r="K37" s="2"/>
      <c r="L37" s="2"/>
      <c r="M37" s="2"/>
      <c r="O37" s="20"/>
    </row>
    <row r="38" spans="2:16" s="1" customFormat="1" ht="63" customHeight="1" x14ac:dyDescent="0.15">
      <c r="B38" s="458" t="str">
        <f>IF(G4=2,"aux activités liées aux objectifs de l’organisme","activities related to the organization’s objectives")</f>
        <v>activities related to the organization’s objectives</v>
      </c>
      <c r="C38" s="410" t="s">
        <v>518</v>
      </c>
      <c r="D38" s="435" t="s">
        <v>325</v>
      </c>
      <c r="E38" s="445">
        <v>37.1</v>
      </c>
      <c r="F38" s="190">
        <f>'T3010'!F82</f>
        <v>0</v>
      </c>
      <c r="H38" s="2"/>
      <c r="I38" s="2"/>
      <c r="J38" s="2"/>
      <c r="K38" s="2"/>
      <c r="L38" s="2"/>
      <c r="M38" s="2"/>
      <c r="O38" s="20"/>
    </row>
    <row r="39" spans="2:16" s="1" customFormat="1" ht="36" customHeight="1" x14ac:dyDescent="0.15">
      <c r="B39" s="458" t="str">
        <f>IF(G4=2,"à la gestion et à l’administration générale","management and general administration")</f>
        <v>management and general administration</v>
      </c>
      <c r="C39" s="410" t="s">
        <v>467</v>
      </c>
      <c r="D39" s="435" t="s">
        <v>326</v>
      </c>
      <c r="E39" s="445">
        <v>37.200000000000003</v>
      </c>
      <c r="F39" s="190">
        <f>'T3010'!F83</f>
        <v>0</v>
      </c>
      <c r="H39" s="1828"/>
      <c r="I39" s="1828"/>
      <c r="J39" s="1828"/>
      <c r="K39" s="1828"/>
      <c r="L39" s="1828"/>
      <c r="M39" s="1828"/>
      <c r="O39" s="20"/>
    </row>
    <row r="40" spans="2:16" s="1" customFormat="1" ht="36" customHeight="1" x14ac:dyDescent="0.15">
      <c r="B40" s="458" t="str">
        <f>IF(G4=2,"aux activités de financement","fundraising activities")</f>
        <v>fundraising activities</v>
      </c>
      <c r="C40" s="410" t="s">
        <v>466</v>
      </c>
      <c r="D40" s="435" t="s">
        <v>327</v>
      </c>
      <c r="E40" s="445">
        <v>37.299999999999997</v>
      </c>
      <c r="F40" s="190">
        <f>'T3010'!F84</f>
        <v>0</v>
      </c>
      <c r="O40" s="20"/>
    </row>
    <row r="41" spans="2:16" s="1" customFormat="1" ht="36" customHeight="1" x14ac:dyDescent="0.15">
      <c r="B41" s="458" t="str">
        <f>IF(G4=2,"aux activités politiques","political activities")</f>
        <v>political activities</v>
      </c>
      <c r="C41" s="410"/>
      <c r="D41" s="208" t="s">
        <v>328</v>
      </c>
      <c r="E41" s="445">
        <v>37.4</v>
      </c>
      <c r="F41" s="431"/>
      <c r="O41" s="20"/>
    </row>
    <row r="42" spans="2:16" s="1" customFormat="1" ht="36" customHeight="1" x14ac:dyDescent="0.15">
      <c r="B42" s="458" t="str">
        <f>IF(G4=2,"aux biens accumulés avec l’autorisation de Revenu Québec","other activities")</f>
        <v>other activities</v>
      </c>
      <c r="C42" s="410"/>
      <c r="D42" s="208" t="s">
        <v>329</v>
      </c>
      <c r="E42" s="445">
        <v>37.5</v>
      </c>
      <c r="F42" s="431"/>
      <c r="O42" s="20"/>
    </row>
    <row r="43" spans="2:16" s="1" customFormat="1" ht="36" customHeight="1" x14ac:dyDescent="0.15">
      <c r="B43" s="456" t="str">
        <f>IF(G4=2,"Total des dons faits à des donataires reconnus","Total gifts made to qualified donees (see Part 4)")</f>
        <v>Total gifts made to qualified donees (see Part 4)</v>
      </c>
      <c r="C43" s="410">
        <v>5810</v>
      </c>
      <c r="D43" s="208" t="s">
        <v>330</v>
      </c>
      <c r="E43" s="445">
        <v>38</v>
      </c>
      <c r="F43" s="431">
        <f>'T3010'!G87</f>
        <v>0</v>
      </c>
      <c r="H43" s="1264" t="str">
        <f>IF(G4=2,IF(F43&gt;0,"←  L'annexe C doit être complétée","L'annexe C n'est pas nécessaire"),IF(G4=1,IF(F43&lt;&gt;0,"← Annex C must be filled out","Annex C is not required")))</f>
        <v>Annex C is not required</v>
      </c>
      <c r="I43" s="1265"/>
      <c r="J43" s="1265"/>
      <c r="K43" s="1265"/>
      <c r="L43" s="1265"/>
      <c r="M43" s="1265"/>
      <c r="O43" s="20"/>
    </row>
    <row r="44" spans="2:16" s="1" customFormat="1" ht="47.25" customHeight="1" x14ac:dyDescent="0.15">
      <c r="B44" s="469" t="str">
        <f>IF(G4=2,"Partie du montant de la ligne 38 qui constitue des dons déterminés (total des montants inscrits aux lignes « Montant des dons déterminés » de l’annexe C","Portion of the amount from line 38 that constitutes designated gifts (total of the amounts entered on the “Amount of designated gifts“ lines in Schedule C).")</f>
        <v>Portion of the amount from line 38 that constitutes designated gifts (total of the amounts entered on the “Amount of designated gifts“ lines in Schedule C).</v>
      </c>
      <c r="C44" s="410"/>
      <c r="D44" s="208" t="s">
        <v>332</v>
      </c>
      <c r="E44" s="445">
        <v>38.1</v>
      </c>
      <c r="F44" s="431"/>
      <c r="H44" s="2"/>
      <c r="I44" s="2"/>
      <c r="J44" s="2"/>
      <c r="K44" s="2"/>
      <c r="L44" s="2"/>
      <c r="M44" s="2"/>
      <c r="O44" s="20"/>
    </row>
    <row r="45" spans="2:16" s="1" customFormat="1" ht="36" customHeight="1" x14ac:dyDescent="0.15">
      <c r="B45" s="423" t="str">
        <f>IF(G4=2,"Total des dépenses","Total Expenditures")</f>
        <v>Total Expenditures</v>
      </c>
      <c r="C45" s="424" t="s">
        <v>357</v>
      </c>
      <c r="D45" s="437" t="s">
        <v>334</v>
      </c>
      <c r="E45" s="426">
        <v>39</v>
      </c>
      <c r="F45" s="428">
        <f>SUM(F36,F43)</f>
        <v>0</v>
      </c>
      <c r="O45" s="20"/>
    </row>
    <row r="46" spans="2:16" s="1" customFormat="1" ht="36" customHeight="1" x14ac:dyDescent="0.15">
      <c r="B46" s="440" t="str">
        <f>IF(G4=2,"Actif","Assets")</f>
        <v>Assets</v>
      </c>
      <c r="C46" s="441"/>
      <c r="D46" s="441"/>
      <c r="E46" s="441"/>
      <c r="F46" s="442"/>
      <c r="H46" s="2"/>
      <c r="I46" s="2"/>
      <c r="J46" s="2"/>
      <c r="K46" s="2"/>
      <c r="L46" s="2"/>
      <c r="M46" s="2"/>
      <c r="O46" s="20"/>
    </row>
    <row r="47" spans="2:16" s="1" customFormat="1" ht="36" customHeight="1" x14ac:dyDescent="0.15">
      <c r="B47" s="456" t="str">
        <f>IF(G4=2,"Liquidités","Liquid assets")</f>
        <v>Liquid assets</v>
      </c>
      <c r="C47" s="410" t="s">
        <v>521</v>
      </c>
      <c r="D47" s="407" t="s">
        <v>335</v>
      </c>
      <c r="E47" s="420">
        <v>40</v>
      </c>
      <c r="F47" s="190">
        <f>'T3010'!G33</f>
        <v>0</v>
      </c>
      <c r="H47" s="2"/>
      <c r="I47" s="2"/>
      <c r="J47" s="2"/>
      <c r="K47" s="2"/>
      <c r="L47" s="2"/>
      <c r="M47" s="2"/>
    </row>
    <row r="48" spans="2:16" s="1" customFormat="1" ht="75.75" customHeight="1" x14ac:dyDescent="0.15">
      <c r="B48" s="470" t="str">
        <f>IF(G4=2,O48,P48)</f>
        <v>Amounts receivable from founders, officers, directors, members, shareholders, trustees or any organization not dealing at arm’s length with such persons</v>
      </c>
      <c r="C48" s="422"/>
      <c r="D48" s="407" t="s">
        <v>336</v>
      </c>
      <c r="E48" s="420">
        <v>41</v>
      </c>
      <c r="F48" s="190"/>
      <c r="H48" s="2"/>
      <c r="I48" s="2"/>
      <c r="J48" s="2"/>
      <c r="K48" s="2"/>
      <c r="L48" s="2"/>
      <c r="M48" s="2"/>
      <c r="O48" s="234" t="s">
        <v>358</v>
      </c>
      <c r="P48" s="234" t="s">
        <v>359</v>
      </c>
    </row>
    <row r="49" spans="2:16" s="1" customFormat="1" ht="36" customHeight="1" x14ac:dyDescent="0.15">
      <c r="B49" s="456" t="str">
        <f>IF(G4=2,"Sommes à recevoir d’autres sources","Amounts receivable from other sources")</f>
        <v>Amounts receivable from other sources</v>
      </c>
      <c r="C49" s="497" t="s">
        <v>524</v>
      </c>
      <c r="D49" s="407" t="s">
        <v>337</v>
      </c>
      <c r="E49" s="420">
        <v>42</v>
      </c>
      <c r="F49" s="190">
        <f>'T3010'!G35</f>
        <v>0</v>
      </c>
      <c r="H49" s="2"/>
      <c r="I49" s="2"/>
      <c r="J49" s="2"/>
      <c r="K49" s="2"/>
      <c r="L49" s="2"/>
      <c r="M49" s="2"/>
    </row>
    <row r="50" spans="2:16" s="1" customFormat="1" ht="36" customHeight="1" x14ac:dyDescent="0.15">
      <c r="B50" s="456" t="str">
        <f>IF(G4=2,"Placements à long terme","Long-term Investments")</f>
        <v>Long-term Investments</v>
      </c>
      <c r="C50" s="422">
        <v>1300</v>
      </c>
      <c r="D50" s="407" t="s">
        <v>338</v>
      </c>
      <c r="E50" s="420">
        <v>43</v>
      </c>
      <c r="F50" s="190">
        <f>'T3010'!G37</f>
        <v>0</v>
      </c>
    </row>
    <row r="51" spans="2:16" s="1" customFormat="1" ht="36" customHeight="1" x14ac:dyDescent="0.15">
      <c r="B51" s="456" t="str">
        <f>IF(G4=2,"Stocks servant aux activités liées aux objectifs de l’organisme","Inventory used in activities related to the organization’s objectives")</f>
        <v>Inventory used in activities related to the organization’s objectives</v>
      </c>
      <c r="C51" s="410" t="s">
        <v>312</v>
      </c>
      <c r="D51" s="208" t="s">
        <v>339</v>
      </c>
      <c r="E51" s="420">
        <v>44</v>
      </c>
      <c r="F51" s="190">
        <f>'T3010'!G38</f>
        <v>0</v>
      </c>
      <c r="H51" s="2"/>
      <c r="I51" s="2"/>
      <c r="J51" s="2"/>
      <c r="K51" s="2"/>
      <c r="L51" s="2"/>
      <c r="M51" s="2"/>
    </row>
    <row r="52" spans="2:16" s="1" customFormat="1" ht="36" customHeight="1" x14ac:dyDescent="0.15">
      <c r="B52" s="456" t="str">
        <f>IF(G4=2,"Immobilisations (terrains, bâtiments, véhicules, etc.)","Capital Property (land, building, vehicles, etc.)")</f>
        <v>Capital Property (land, building, vehicles, etc.)</v>
      </c>
      <c r="C52" s="410" t="s">
        <v>313</v>
      </c>
      <c r="D52" s="208" t="s">
        <v>340</v>
      </c>
      <c r="E52" s="420">
        <v>45</v>
      </c>
      <c r="F52" s="190">
        <f>'T3010'!G39</f>
        <v>0</v>
      </c>
      <c r="H52" s="2"/>
      <c r="I52" s="2"/>
      <c r="J52" s="2"/>
      <c r="K52" s="2"/>
      <c r="L52" s="2"/>
      <c r="M52" s="2"/>
    </row>
    <row r="53" spans="2:16" s="1" customFormat="1" ht="35.25" customHeight="1" x14ac:dyDescent="0.15">
      <c r="B53" s="456" t="str">
        <f>IF(G4=2,"Autres éléments d'actif","Other Assets")</f>
        <v>Other Assets</v>
      </c>
      <c r="C53" s="422"/>
      <c r="D53" s="435" t="s">
        <v>341</v>
      </c>
      <c r="E53" s="420">
        <v>46</v>
      </c>
      <c r="F53" s="190"/>
      <c r="H53" s="2"/>
      <c r="I53" s="2"/>
      <c r="J53" s="2"/>
      <c r="K53" s="2"/>
      <c r="L53" s="2"/>
      <c r="M53" s="2"/>
    </row>
    <row r="54" spans="2:16" s="1" customFormat="1" ht="36" customHeight="1" x14ac:dyDescent="0.15">
      <c r="B54" s="423" t="str">
        <f>IF(G4=2,"Total de l’actif","Total Assets")</f>
        <v>Total Assets</v>
      </c>
      <c r="C54" s="424" t="str">
        <f>IF(G4=2,"Somme (ak) à (aq)","Sum (ak) to (aq)")</f>
        <v>Sum (ak) to (aq)</v>
      </c>
      <c r="D54" s="425" t="s">
        <v>342</v>
      </c>
      <c r="E54" s="426">
        <v>47</v>
      </c>
      <c r="F54" s="428">
        <f>SUM(F47:F53)</f>
        <v>0</v>
      </c>
      <c r="H54" s="2"/>
      <c r="I54" s="2"/>
      <c r="J54" s="2"/>
      <c r="K54" s="2"/>
      <c r="L54" s="2"/>
      <c r="M54" s="2"/>
    </row>
    <row r="55" spans="2:16" s="1" customFormat="1" ht="36" customHeight="1" x14ac:dyDescent="0.15">
      <c r="B55" s="440" t="str">
        <f>IF(G4=2,"Passif","Liabilities")</f>
        <v>Liabilities</v>
      </c>
      <c r="C55" s="441"/>
      <c r="D55" s="441"/>
      <c r="E55" s="441"/>
      <c r="F55" s="442"/>
      <c r="H55" s="2"/>
      <c r="I55" s="2"/>
      <c r="J55" s="2"/>
      <c r="K55" s="454"/>
      <c r="L55" s="2"/>
      <c r="M55" s="2"/>
    </row>
    <row r="56" spans="2:16" s="1" customFormat="1" ht="36" customHeight="1" x14ac:dyDescent="0.15">
      <c r="B56" s="456" t="str">
        <f>IF(G4=2,"Comptes fournisseurs et charges à payer","Trade accounts payable and accrued liabilities")</f>
        <v>Trade accounts payable and accrued liabilities</v>
      </c>
      <c r="C56" s="422">
        <v>2100</v>
      </c>
      <c r="D56" s="208" t="s">
        <v>343</v>
      </c>
      <c r="E56" s="429">
        <v>50</v>
      </c>
      <c r="F56" s="190">
        <f>'T3010'!G44</f>
        <v>0</v>
      </c>
      <c r="H56" s="2"/>
      <c r="I56" s="2"/>
      <c r="J56" s="2"/>
      <c r="K56" s="2"/>
      <c r="L56" s="2"/>
      <c r="M56" s="2"/>
    </row>
    <row r="57" spans="2:16" s="1" customFormat="1" ht="84.75" customHeight="1" x14ac:dyDescent="0.15">
      <c r="B57" s="456" t="str">
        <f>IF(G4=2,O57,P57)</f>
        <v>Amounts payable to founders, officers, directors, members, shareholders, trustees or any organization not dealing at arm’s length with such persons</v>
      </c>
      <c r="C57" s="410"/>
      <c r="D57" s="208" t="s">
        <v>344</v>
      </c>
      <c r="E57" s="420">
        <v>51</v>
      </c>
      <c r="F57" s="431"/>
      <c r="H57" s="2"/>
      <c r="I57" s="2"/>
      <c r="J57" s="2"/>
      <c r="K57" s="2"/>
      <c r="L57" s="2"/>
      <c r="M57" s="2"/>
      <c r="O57" s="1" t="s">
        <v>360</v>
      </c>
      <c r="P57" s="1" t="s">
        <v>361</v>
      </c>
    </row>
    <row r="58" spans="2:16" s="1" customFormat="1" ht="36" customHeight="1" x14ac:dyDescent="0.15">
      <c r="B58" s="456" t="str">
        <f>IF(G4=2,"Autres sommes à payer","Other amounts payable")</f>
        <v>Other amounts payable</v>
      </c>
      <c r="C58" s="422"/>
      <c r="D58" s="208" t="s">
        <v>345</v>
      </c>
      <c r="E58" s="429">
        <v>52</v>
      </c>
      <c r="F58" s="190"/>
      <c r="H58" s="2"/>
      <c r="I58" s="2"/>
      <c r="J58" s="2"/>
      <c r="K58" s="2"/>
      <c r="L58" s="2"/>
      <c r="M58" s="2"/>
    </row>
    <row r="59" spans="2:16" s="2" customFormat="1" ht="36" customHeight="1" x14ac:dyDescent="0.15">
      <c r="B59" s="456" t="str">
        <f>IF(G4=2,"Autres éléments du passif","Other Liabilities")</f>
        <v>Other Liabilities</v>
      </c>
      <c r="C59" s="422">
        <v>2300</v>
      </c>
      <c r="D59" s="208" t="s">
        <v>346</v>
      </c>
      <c r="E59" s="429">
        <v>53</v>
      </c>
      <c r="F59" s="190">
        <f>'T3010'!G47</f>
        <v>0</v>
      </c>
    </row>
    <row r="60" spans="2:16" s="1" customFormat="1" ht="36" customHeight="1" x14ac:dyDescent="0.15">
      <c r="B60" s="423" t="str">
        <f>IF(G4=2,"Total du passif","Total Liabilities")</f>
        <v>Total Liabilities</v>
      </c>
      <c r="C60" s="424" t="str">
        <f>IF(G4=2,"Somme (as) à (av)","Sum (as) to (av)")</f>
        <v>Sum (as) to (av)</v>
      </c>
      <c r="D60" s="425" t="s">
        <v>347</v>
      </c>
      <c r="E60" s="426">
        <v>54</v>
      </c>
      <c r="F60" s="428">
        <f>SUM(F56:F59)</f>
        <v>0</v>
      </c>
      <c r="H60" s="2"/>
      <c r="I60" s="2"/>
      <c r="J60" s="2"/>
      <c r="K60" s="2"/>
      <c r="L60" s="2"/>
      <c r="M60" s="2"/>
    </row>
    <row r="61" spans="2:16" s="1" customFormat="1" ht="20" customHeight="1" x14ac:dyDescent="0.15">
      <c r="B61"/>
      <c r="C61" s="398"/>
      <c r="D61" s="91"/>
      <c r="E61" s="398"/>
      <c r="F61" s="399"/>
      <c r="H61"/>
      <c r="I61"/>
      <c r="J61"/>
      <c r="K61"/>
      <c r="L61"/>
      <c r="M61"/>
    </row>
    <row r="62" spans="2:16" x14ac:dyDescent="0.15">
      <c r="B62" s="1"/>
      <c r="C62" s="1"/>
      <c r="D62" s="1"/>
      <c r="E62" s="26"/>
      <c r="F62" s="1"/>
    </row>
  </sheetData>
  <sheetProtection algorithmName="SHA-512" hashValue="xGprxJ3I9TizWvwTtC+/H7xFI+Lf6HXZ9yamD8/sETuRi5Bza2wDJGALjRi4dx6cssuhvRMTtDIepA6xmrjHlg==" saltValue="RA+stOiFHuzJDhx4hlyR4g==" spinCount="100000" sheet="1" objects="1" scenarios="1" selectLockedCells="1" selectUnlockedCells="1"/>
  <mergeCells count="7">
    <mergeCell ref="B24:F24"/>
    <mergeCell ref="H39:M39"/>
    <mergeCell ref="B1:F1"/>
    <mergeCell ref="B2:F2"/>
    <mergeCell ref="B3:F3"/>
    <mergeCell ref="B7:F7"/>
    <mergeCell ref="H23:M23"/>
  </mergeCells>
  <pageMargins left="0.62986111111111098" right="0.196527777777778" top="0.74027777777777803" bottom="0.43263888888888902" header="0.511811023622047" footer="0.23611111111111099"/>
  <pageSetup scale="63" fitToHeight="0" orientation="portrait" horizontalDpi="300" verticalDpi="300" r:id="rId1"/>
  <headerFooter>
    <oddFooter>&amp;L&amp;D&amp;R&amp;P/&amp;N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pageSetUpPr fitToPage="1"/>
  </sheetPr>
  <dimension ref="A1:Z132"/>
  <sheetViews>
    <sheetView showGridLines="0" showZeros="0" topLeftCell="A68" zoomScale="85" zoomScaleNormal="85" zoomScalePageLayoutView="70" workbookViewId="0">
      <selection activeCell="B3" sqref="B3:G3"/>
    </sheetView>
  </sheetViews>
  <sheetFormatPr baseColWidth="10" defaultColWidth="8.6640625" defaultRowHeight="13" x14ac:dyDescent="0.15"/>
  <cols>
    <col min="1" max="1" width="4.83203125" customWidth="1"/>
    <col min="2" max="2" width="27.5" customWidth="1"/>
    <col min="3" max="3" width="18.83203125" customWidth="1"/>
    <col min="4" max="4" width="17.5" customWidth="1"/>
    <col min="5" max="5" width="18.33203125" customWidth="1"/>
    <col min="6" max="6" width="21.1640625" customWidth="1"/>
    <col min="7" max="7" width="18.5" customWidth="1"/>
    <col min="8" max="8" width="1.33203125" customWidth="1"/>
    <col min="9" max="26" width="9.1640625" hidden="1" customWidth="1"/>
    <col min="27" max="28" width="9.1640625" customWidth="1"/>
    <col min="29" max="29" width="4.5" customWidth="1"/>
    <col min="30" max="52" width="9.1640625" customWidth="1"/>
  </cols>
  <sheetData>
    <row r="1" spans="2:21" ht="16.5" customHeight="1" x14ac:dyDescent="0.15">
      <c r="L1" s="471">
        <f>'Set up ~ Config'!L10</f>
        <v>1</v>
      </c>
    </row>
    <row r="2" spans="2:21" ht="21" customHeight="1" x14ac:dyDescent="0.15"/>
    <row r="3" spans="2:21" ht="33.75" customHeight="1" x14ac:dyDescent="0.25">
      <c r="B3" s="1515" t="str">
        <f>IF(L1=2,"Calculs des remises de taxes","Tax Rebate Calculations")</f>
        <v>Tax Rebate Calculations</v>
      </c>
      <c r="C3" s="1515"/>
      <c r="D3" s="1515"/>
      <c r="E3" s="1515"/>
      <c r="F3" s="1515"/>
      <c r="G3" s="1515"/>
    </row>
    <row r="4" spans="2:21" ht="33.75" customHeight="1" x14ac:dyDescent="0.15">
      <c r="B4" s="1733" t="str">
        <f>'Set up ~ Config'!B2:J2</f>
        <v xml:space="preserve">SSC </v>
      </c>
      <c r="C4" s="1733"/>
      <c r="D4" s="1733"/>
      <c r="E4" s="1733"/>
      <c r="F4" s="1733"/>
      <c r="G4" s="1733"/>
    </row>
    <row r="5" spans="2:21" ht="27.75" customHeight="1" x14ac:dyDescent="0.2">
      <c r="B5" s="1841" t="e">
        <f>'Jrnl Rev'!B3:P3</f>
        <v>#VALUE!</v>
      </c>
      <c r="C5" s="1841"/>
      <c r="D5" s="1841"/>
      <c r="E5" s="1841"/>
      <c r="F5" s="1841"/>
      <c r="G5" s="1841"/>
    </row>
    <row r="6" spans="2:21" ht="7.5" customHeight="1" x14ac:dyDescent="0.2">
      <c r="B6" s="1132"/>
      <c r="C6" s="1132"/>
      <c r="D6" s="1132"/>
      <c r="E6" s="1132"/>
      <c r="F6" s="1132"/>
    </row>
    <row r="7" spans="2:21" ht="77.25" customHeight="1" x14ac:dyDescent="0.15">
      <c r="B7" s="1840" t="str">
        <f>IF(L1=2,U14,U9)</f>
        <v>Non Profit Organizations registered as charities (000000000RR0000) may claim a refund of a portion of the taxes paid during the fiscal year. Rates vary from province to other. In addition, government reimbursements (DND) including taxes must be deducted from the taxe calculations.
The percentages presented below were in effect in January 2024. Treasurers must check whether changes have occurred each year.</v>
      </c>
      <c r="C7" s="1840"/>
      <c r="D7" s="1840"/>
      <c r="E7" s="1840"/>
      <c r="F7" s="1840"/>
      <c r="G7" s="1840"/>
      <c r="U7" s="210" t="s">
        <v>527</v>
      </c>
    </row>
    <row r="8" spans="2:21" ht="8.25" customHeight="1" x14ac:dyDescent="0.2">
      <c r="B8" s="1133"/>
      <c r="C8" s="1133"/>
      <c r="D8" s="1133"/>
      <c r="E8" s="1133"/>
      <c r="F8" s="1133"/>
      <c r="G8" s="1134"/>
      <c r="U8" s="210" t="s">
        <v>526</v>
      </c>
    </row>
    <row r="9" spans="2:21" ht="63.75" customHeight="1" x14ac:dyDescent="0.15">
      <c r="B9" s="1840" t="str">
        <f>IF(L1=2,U15,U10)</f>
        <v>The most of provinces collect two taxes, one provincial and the other federal. Squadrons established in provinces participating in the HST must claim their provincial and federal rebates using Form RC7066 and GST66. For non-participating provinces, except for Quebec, the GST must be claimed on the form GST66, and the PST will be claimed on forms specific to each province, if applicable. In Quebec, the two sales taxes (GST and QST) are administered by the province and must be claimed using the FP-2066 Joint form (CRA and Revenu Québec) which is the same information than the GST66 Form.</v>
      </c>
      <c r="C9" s="1840"/>
      <c r="D9" s="1840"/>
      <c r="E9" s="1840"/>
      <c r="F9" s="1840"/>
      <c r="G9" s="1840"/>
      <c r="U9" s="20" t="s">
        <v>547</v>
      </c>
    </row>
    <row r="10" spans="2:21" ht="9" customHeight="1" x14ac:dyDescent="0.2">
      <c r="B10" s="1133"/>
      <c r="C10" s="1133"/>
      <c r="D10" s="1133"/>
      <c r="E10" s="1133"/>
      <c r="F10" s="1133"/>
      <c r="G10" s="1134"/>
      <c r="U10" s="20" t="s">
        <v>362</v>
      </c>
    </row>
    <row r="11" spans="2:21" ht="43.5" customHeight="1" x14ac:dyDescent="0.15">
      <c r="B11" s="1840" t="str">
        <f>IF(L1=2,U17,U11)</f>
        <v>All taxes on goods and services consist of a provincial tax and a federal tax (except if there is no provincial tax). The Federal tax is 5% for all provinces, the difference being the provincial tax. For purposes of the calculations, the taxes must be broken down (specifically for the HST).
All taxes on goods and services consist of a provincial tax and a federal tax. The latter is 5% for all provinces, the difference between the two being the provincial tax. For purposes of the calculations, the taxes must be broken down (specifically for the HST).</v>
      </c>
      <c r="C11" s="1840"/>
      <c r="D11" s="1840"/>
      <c r="E11" s="1840"/>
      <c r="F11" s="1840"/>
      <c r="G11" s="1840"/>
      <c r="U11" s="20" t="s">
        <v>363</v>
      </c>
    </row>
    <row r="12" spans="2:21" ht="27" customHeight="1" x14ac:dyDescent="0.15">
      <c r="B12" s="1840" t="str">
        <f>IF(L1=2,U7,U8)</f>
        <v>The Rebate Reimbursement may be claimed every 3 or 6 months or in a single request at the Year-End. The frequency of claim of the parent organization must be followed.</v>
      </c>
      <c r="C12" s="1840"/>
      <c r="D12" s="1840"/>
      <c r="E12" s="1840"/>
      <c r="F12" s="1840"/>
      <c r="G12" s="1840"/>
      <c r="U12" s="20"/>
    </row>
    <row r="13" spans="2:21" ht="12.75" customHeight="1" x14ac:dyDescent="0.15">
      <c r="B13" s="1135"/>
      <c r="C13" s="1135"/>
      <c r="D13" s="1135"/>
      <c r="E13" s="1135"/>
      <c r="F13" s="1135"/>
      <c r="G13" s="1135"/>
      <c r="U13" s="20"/>
    </row>
    <row r="14" spans="2:21" ht="18.75" customHeight="1" x14ac:dyDescent="0.15">
      <c r="B14" s="134"/>
      <c r="C14" s="134"/>
      <c r="D14" s="134"/>
      <c r="E14" s="134"/>
      <c r="F14" s="134"/>
      <c r="G14" s="134"/>
      <c r="U14" s="20" t="s">
        <v>548</v>
      </c>
    </row>
    <row r="15" spans="2:21" ht="44.25" customHeight="1" x14ac:dyDescent="0.15">
      <c r="B15" s="1136" t="str">
        <f>IF($L$1=2,IF('Set up ~ Config'!$G$32=6,"1er Trimestre
Juil-Août-Sept","1er Trimestre
 Sept-Oct-Nov"),IF('Set up ~ Config'!$G$32=6,"Quarter 1
Jul-Aug-Sep","Quarter 1
Sep-Oct-Nov"))</f>
        <v>Quarter 1
Sep-Oct-Nov</v>
      </c>
      <c r="C15" s="1137" t="str">
        <f>IF($L$1=2,"Taxes sur les dépenses","Taxes on Expenses")</f>
        <v>Taxes on Expenses</v>
      </c>
      <c r="D15" s="1137" t="str">
        <f>IF($L$1=2,"Taxes remboursées par le Gouv't","Taxes repaid by Gov't")</f>
        <v>Taxes repaid by Gov't</v>
      </c>
      <c r="E15" s="1137" t="str">
        <f>IF($L$1=2,"Taxes nettes payées","Net Taxes Paid")</f>
        <v>Net Taxes Paid</v>
      </c>
      <c r="F15" s="1137" t="str">
        <f>IF($L$1=2,"Taux de la taxe","Tax Rates")</f>
        <v>Tax Rates</v>
      </c>
      <c r="G15" s="1137" t="str">
        <f>IF($L$1=2,"TVH ventilée +TPS+TVP","HST Broken Down=GST+PST")</f>
        <v>HST Broken Down=GST+PST</v>
      </c>
      <c r="U15" s="20" t="s">
        <v>364</v>
      </c>
    </row>
    <row r="16" spans="2:21" ht="4.5" hidden="1" customHeight="1" x14ac:dyDescent="0.15">
      <c r="B16" s="1138"/>
      <c r="C16" s="1139"/>
      <c r="D16" s="1140"/>
      <c r="E16" s="1140"/>
      <c r="F16" s="1140"/>
      <c r="G16" s="1141"/>
      <c r="H16" s="399"/>
      <c r="I16" s="399"/>
      <c r="U16" s="472"/>
    </row>
    <row r="17" spans="2:26" ht="20" customHeight="1" x14ac:dyDescent="0.15">
      <c r="B17" s="1142" t="str">
        <f>IF($L$1=2,"TVH/Total","HST/Total")</f>
        <v>HST/Total</v>
      </c>
      <c r="C17" s="190">
        <f>SUMIF('Jrnl Exp ~ Dép'!$O$16:$O$515,1,'Jrnl Exp ~ Dép'!$K$16:$K$515)</f>
        <v>0</v>
      </c>
      <c r="D17" s="190">
        <f>SUMIF('Jrnl Rev'!$O$16:$O$140,1,'Jrnl Rev'!$K$16:$K$140)</f>
        <v>0</v>
      </c>
      <c r="E17" s="190">
        <f>C17-D17</f>
        <v>0</v>
      </c>
      <c r="F17" s="1143">
        <f>LOOKUP($V$21,$R$25:$S$37)+0.05</f>
        <v>0.15000000000000002</v>
      </c>
      <c r="G17" s="1144"/>
      <c r="H17" s="399"/>
      <c r="I17" s="399"/>
      <c r="U17" s="20" t="s">
        <v>365</v>
      </c>
    </row>
    <row r="18" spans="2:26" ht="4.5" hidden="1" customHeight="1" x14ac:dyDescent="0.15">
      <c r="B18" s="1145"/>
      <c r="C18" s="1146"/>
      <c r="D18" s="1146"/>
      <c r="E18" s="1146"/>
      <c r="F18" s="1147"/>
      <c r="G18" s="1147"/>
      <c r="H18" s="399"/>
      <c r="I18" s="399"/>
    </row>
    <row r="19" spans="2:26" ht="20" customHeight="1" x14ac:dyDescent="0.15">
      <c r="B19" s="1142" t="str">
        <f>IF($L$1=2,"TPS","GST")</f>
        <v>GST</v>
      </c>
      <c r="C19" s="190">
        <f>SUMIF('Jrnl Exp ~ Dép'!$O$16:$O$515,1,'Jrnl Exp ~ Dép'!$L$16:$L$515)</f>
        <v>0</v>
      </c>
      <c r="D19" s="190">
        <f>SUMIF('Jrnl Rev'!$O$16:$O$140,1,'Jrnl Rev'!$L$16:$L$140)</f>
        <v>0</v>
      </c>
      <c r="E19" s="190">
        <f>C19-D19</f>
        <v>0</v>
      </c>
      <c r="F19" s="1143">
        <f>$S$39</f>
        <v>0.05</v>
      </c>
      <c r="G19" s="190">
        <f>(E17*F19/F17)+E19</f>
        <v>0</v>
      </c>
      <c r="H19" s="399"/>
      <c r="I19" s="399"/>
      <c r="U19" s="19" t="s">
        <v>366</v>
      </c>
      <c r="V19" s="473">
        <f>'Set up ~ Config'!G38</f>
        <v>0</v>
      </c>
      <c r="W19" s="473"/>
    </row>
    <row r="20" spans="2:26" ht="16.5" hidden="1" customHeight="1" x14ac:dyDescent="0.15">
      <c r="B20" s="1145"/>
      <c r="C20" s="1146"/>
      <c r="D20" s="1146"/>
      <c r="E20" s="1146"/>
      <c r="F20" s="1148"/>
      <c r="G20" s="1149"/>
      <c r="H20" s="399"/>
      <c r="I20" s="399"/>
      <c r="U20" s="19" t="s">
        <v>367</v>
      </c>
      <c r="V20" s="473">
        <f>'Set up ~ Config'!G39</f>
        <v>0</v>
      </c>
      <c r="W20" s="473"/>
    </row>
    <row r="21" spans="2:26" ht="20" customHeight="1" x14ac:dyDescent="0.15">
      <c r="B21" s="1142" t="str">
        <f>IF($L$1=2,"TVP / TVQ","PST / QST")</f>
        <v>PST / QST</v>
      </c>
      <c r="C21" s="190">
        <f>SUMIF('Jrnl Exp ~ Dép'!$O$16:$O$515,1,'Jrnl Exp ~ Dép'!$M$16:$M$515)</f>
        <v>0</v>
      </c>
      <c r="D21" s="190">
        <f>SUMIF('Jrnl Rev'!$O$16:$O$140,1,'Jrnl Rev'!$M$16:$M$140)</f>
        <v>0</v>
      </c>
      <c r="E21" s="190">
        <f>C21-D21</f>
        <v>0</v>
      </c>
      <c r="F21" s="1143">
        <f>LOOKUP($V$21,$R$25:$S$37)</f>
        <v>0.1</v>
      </c>
      <c r="G21" s="190">
        <f>(E17*F21/F17)+E21</f>
        <v>0</v>
      </c>
      <c r="U21" s="19" t="s">
        <v>368</v>
      </c>
      <c r="V21" s="471" t="str">
        <f>'Set up ~ Config'!H125</f>
        <v>NL</v>
      </c>
      <c r="W21" s="473"/>
    </row>
    <row r="22" spans="2:26" ht="4.5" hidden="1" customHeight="1" x14ac:dyDescent="0.15">
      <c r="B22" s="1150"/>
      <c r="C22" s="1151"/>
      <c r="D22" s="1151"/>
      <c r="E22" s="1151"/>
      <c r="F22" s="1151"/>
      <c r="G22" s="1152"/>
    </row>
    <row r="23" spans="2:26" ht="10" customHeight="1" x14ac:dyDescent="0.15"/>
    <row r="24" spans="2:26" ht="21.75" customHeight="1" x14ac:dyDescent="0.15">
      <c r="B24" s="1153" t="str">
        <f>IF($L$1=2,"Taxes","Taxes")</f>
        <v>Taxes</v>
      </c>
      <c r="C24" s="1137" t="str">
        <f>IF($L$1=2,"% de remise","% of Rebate")</f>
        <v>% of Rebate</v>
      </c>
      <c r="D24" s="1137" t="str">
        <f>IF($L$1=2,"Formulaires","Forms")</f>
        <v>Forms</v>
      </c>
      <c r="E24" s="1137" t="str">
        <f>IF($L$1=2,"Ligne","Line")</f>
        <v>Line</v>
      </c>
      <c r="F24" s="1137" t="str">
        <f>IF($L$1=2,"Montant réclamé","Claimed Amount")</f>
        <v>Claimed Amount</v>
      </c>
      <c r="R24" s="1438" t="s">
        <v>369</v>
      </c>
      <c r="S24" s="1438"/>
      <c r="U24" s="1439" t="s">
        <v>370</v>
      </c>
      <c r="V24" s="1439"/>
      <c r="W24" s="19"/>
      <c r="X24" s="26"/>
      <c r="Y24" s="26"/>
      <c r="Z24" s="26"/>
    </row>
    <row r="25" spans="2:26" ht="16.5" hidden="1" customHeight="1" x14ac:dyDescent="0.15">
      <c r="B25" s="1154"/>
      <c r="C25" s="1154"/>
      <c r="D25" s="1154"/>
      <c r="E25" s="1154"/>
      <c r="F25" s="1154"/>
      <c r="R25" s="18" t="s">
        <v>9</v>
      </c>
      <c r="S25" s="473">
        <f t="shared" ref="S25:S30" si="0">D113</f>
        <v>0</v>
      </c>
      <c r="U25" s="18" t="s">
        <v>9</v>
      </c>
      <c r="V25" s="473">
        <f t="shared" ref="V25:V30" si="1">D123</f>
        <v>0</v>
      </c>
      <c r="W25" s="18" t="s">
        <v>9</v>
      </c>
      <c r="X25" s="26"/>
      <c r="Y25" s="18" t="s">
        <v>9</v>
      </c>
      <c r="Z25" s="26"/>
    </row>
    <row r="26" spans="2:26" ht="19.5" customHeight="1" x14ac:dyDescent="0.15">
      <c r="B26" s="1142" t="str">
        <f>IF($L$1=2,"Fédéral (TPS)","Federal (GST)")</f>
        <v>Federal (GST)</v>
      </c>
      <c r="C26" s="1155">
        <f>$V$39</f>
        <v>0.5</v>
      </c>
      <c r="D26" s="146" t="str">
        <f>IF($V$21="QC","FP-2066","GST66")</f>
        <v>GST66</v>
      </c>
      <c r="E26" s="146">
        <f>$X$39</f>
        <v>305</v>
      </c>
      <c r="F26" s="1156">
        <f>G19*C26</f>
        <v>0</v>
      </c>
      <c r="R26" s="18" t="s">
        <v>11</v>
      </c>
      <c r="S26" s="473">
        <f t="shared" si="0"/>
        <v>7.0000000000000007E-2</v>
      </c>
      <c r="U26" s="18" t="s">
        <v>11</v>
      </c>
      <c r="V26" s="473">
        <f t="shared" si="1"/>
        <v>0</v>
      </c>
      <c r="W26" s="18" t="s">
        <v>11</v>
      </c>
      <c r="X26" s="19"/>
      <c r="Y26" s="18" t="s">
        <v>11</v>
      </c>
      <c r="Z26" s="19"/>
    </row>
    <row r="27" spans="2:26" ht="21.75" hidden="1" customHeight="1" x14ac:dyDescent="0.15">
      <c r="B27" s="1145"/>
      <c r="C27" s="1157"/>
      <c r="D27" s="1157"/>
      <c r="E27" s="1157"/>
      <c r="F27" s="1158"/>
      <c r="R27" s="18" t="s">
        <v>13</v>
      </c>
      <c r="S27" s="473">
        <f t="shared" si="0"/>
        <v>7.0000000000000007E-2</v>
      </c>
      <c r="U27" s="18" t="s">
        <v>13</v>
      </c>
      <c r="V27" s="473">
        <f t="shared" si="1"/>
        <v>0</v>
      </c>
      <c r="W27" s="18" t="s">
        <v>13</v>
      </c>
      <c r="X27" s="26"/>
      <c r="Y27" s="18" t="s">
        <v>13</v>
      </c>
      <c r="Z27" s="26"/>
    </row>
    <row r="28" spans="2:26" ht="19.5" customHeight="1" x14ac:dyDescent="0.15">
      <c r="B28" s="1142" t="str">
        <f>IF($L$1=2,"Provincial (TVP / TVQ)","Provincial (PST / QST)")</f>
        <v>Provincial (PST / QST)</v>
      </c>
      <c r="C28" s="1155">
        <f>LOOKUP($V$21,$U$25:$V$37)</f>
        <v>0.5</v>
      </c>
      <c r="D28" s="146" t="str">
        <f>LOOKUP($V$21,$Y$25:$Z$37)</f>
        <v>RC7066</v>
      </c>
      <c r="E28" s="146" t="str">
        <f>LOOKUP($V$21,$W$25:$X$37)</f>
        <v>305-NL</v>
      </c>
      <c r="F28" s="1156">
        <f>G21*C28</f>
        <v>0</v>
      </c>
      <c r="R28" s="18" t="s">
        <v>14</v>
      </c>
      <c r="S28" s="473">
        <f t="shared" si="0"/>
        <v>0.1</v>
      </c>
      <c r="U28" s="18" t="s">
        <v>14</v>
      </c>
      <c r="V28" s="473">
        <f t="shared" si="1"/>
        <v>0.5</v>
      </c>
      <c r="W28" s="18" t="s">
        <v>14</v>
      </c>
      <c r="X28" s="19" t="s">
        <v>371</v>
      </c>
      <c r="Y28" s="18" t="s">
        <v>14</v>
      </c>
      <c r="Z28" s="19" t="s">
        <v>372</v>
      </c>
    </row>
    <row r="29" spans="2:26" ht="15.75" hidden="1" customHeight="1" x14ac:dyDescent="0.15">
      <c r="B29" s="1154"/>
      <c r="C29" s="1154"/>
      <c r="D29" s="1154"/>
      <c r="E29" s="1154"/>
      <c r="F29" s="1159"/>
      <c r="R29" s="18" t="s">
        <v>16</v>
      </c>
      <c r="S29" s="473">
        <f t="shared" si="0"/>
        <v>0.1</v>
      </c>
      <c r="U29" s="18" t="s">
        <v>16</v>
      </c>
      <c r="V29" s="473">
        <f t="shared" si="1"/>
        <v>0.5</v>
      </c>
      <c r="W29" s="18" t="s">
        <v>16</v>
      </c>
      <c r="X29" s="19" t="s">
        <v>373</v>
      </c>
      <c r="Y29" s="18" t="s">
        <v>16</v>
      </c>
      <c r="Z29" s="19" t="s">
        <v>372</v>
      </c>
    </row>
    <row r="30" spans="2:26" ht="19.5" customHeight="1" x14ac:dyDescent="0.2">
      <c r="B30" s="1839" t="str">
        <f>IF($L$1=2,"Remise de taxes réclamée","Rebate to be claimed")</f>
        <v>Rebate to be claimed</v>
      </c>
      <c r="C30" s="1839"/>
      <c r="D30" s="1839"/>
      <c r="E30" s="1160" t="str">
        <f>IF(V21="QC","","409")</f>
        <v>409</v>
      </c>
      <c r="F30" s="1161">
        <f>SUM(F26,F28)</f>
        <v>0</v>
      </c>
      <c r="R30" s="18" t="s">
        <v>17</v>
      </c>
      <c r="S30" s="473">
        <f t="shared" si="0"/>
        <v>0.1</v>
      </c>
      <c r="U30" s="18" t="s">
        <v>17</v>
      </c>
      <c r="V30" s="473">
        <f t="shared" si="1"/>
        <v>0.5</v>
      </c>
      <c r="W30" s="18" t="s">
        <v>17</v>
      </c>
      <c r="X30" s="19" t="s">
        <v>374</v>
      </c>
      <c r="Y30" s="18" t="s">
        <v>17</v>
      </c>
      <c r="Z30" s="19" t="s">
        <v>372</v>
      </c>
    </row>
    <row r="31" spans="2:26" ht="16.5" hidden="1" customHeight="1" x14ac:dyDescent="0.15">
      <c r="B31" s="1150"/>
      <c r="C31" s="1151"/>
      <c r="D31" s="1152"/>
      <c r="E31" s="1152"/>
      <c r="F31" s="1152"/>
      <c r="R31" s="18" t="s">
        <v>19</v>
      </c>
      <c r="S31" s="473">
        <f t="shared" ref="S31:S37" si="2">F112</f>
        <v>0</v>
      </c>
      <c r="U31" s="18" t="s">
        <v>19</v>
      </c>
      <c r="V31" s="473">
        <f t="shared" ref="V31:V37" si="3">F122</f>
        <v>0</v>
      </c>
      <c r="W31" s="18" t="s">
        <v>19</v>
      </c>
      <c r="X31" s="26"/>
      <c r="Y31" s="18" t="s">
        <v>19</v>
      </c>
      <c r="Z31" s="26"/>
    </row>
    <row r="32" spans="2:26" ht="49.5" customHeight="1" x14ac:dyDescent="0.15">
      <c r="R32" s="18" t="s">
        <v>20</v>
      </c>
      <c r="S32" s="473">
        <f t="shared" si="2"/>
        <v>0</v>
      </c>
      <c r="U32" s="18" t="s">
        <v>20</v>
      </c>
      <c r="V32" s="473">
        <f t="shared" si="3"/>
        <v>0</v>
      </c>
      <c r="W32" s="18" t="s">
        <v>20</v>
      </c>
      <c r="X32" s="26"/>
      <c r="Y32" s="18" t="s">
        <v>20</v>
      </c>
      <c r="Z32" s="26"/>
    </row>
    <row r="33" spans="2:26" ht="44.25" customHeight="1" x14ac:dyDescent="0.15">
      <c r="B33" s="1162" t="str">
        <f>IF($L$1=2,IF('Set up ~ Config'!$G$32=6,"2e Trimestre
Oct-Nov-Déc","2e Trimestre
 Déc-Jan-Fév"),IF('Set up ~ Config'!$G$32=6,"Quarter 2
Oct-Nov-Dec","Quarter 2
Dec-Jan-Feb"))</f>
        <v>Quarter 2
Dec-Jan-Feb</v>
      </c>
      <c r="C33" s="1163" t="str">
        <f>IF($L$1=2,"Taxes sur les dépenses","Taxes on Expenses")</f>
        <v>Taxes on Expenses</v>
      </c>
      <c r="D33" s="1163" t="str">
        <f>IF($L$1=2,"Taxes remboursées par le Gouv't","Taxes repaid by Gov't")</f>
        <v>Taxes repaid by Gov't</v>
      </c>
      <c r="E33" s="1163" t="str">
        <f>IF($L$1=2,"Taxes nettes payées","Net Taxes Paid")</f>
        <v>Net Taxes Paid</v>
      </c>
      <c r="F33" s="1163" t="str">
        <f>IF($L$1=2,"Taux de la taxe","Tax Rates")</f>
        <v>Tax Rates</v>
      </c>
      <c r="G33" s="1163" t="str">
        <f>IF($L$1=2,"TVH ventilée +TPS+TVP","HST Broken Down=GST+PST")</f>
        <v>HST Broken Down=GST+PST</v>
      </c>
      <c r="R33" s="18" t="s">
        <v>21</v>
      </c>
      <c r="S33" s="473">
        <f t="shared" si="2"/>
        <v>0.08</v>
      </c>
      <c r="U33" s="18" t="s">
        <v>21</v>
      </c>
      <c r="V33" s="473">
        <f t="shared" si="3"/>
        <v>0.82</v>
      </c>
      <c r="W33" s="18" t="s">
        <v>21</v>
      </c>
      <c r="X33" s="19" t="s">
        <v>375</v>
      </c>
      <c r="Y33" s="18" t="s">
        <v>21</v>
      </c>
      <c r="Z33" s="19" t="s">
        <v>372</v>
      </c>
    </row>
    <row r="34" spans="2:26" ht="16.5" hidden="1" customHeight="1" x14ac:dyDescent="0.15">
      <c r="B34" s="1154"/>
      <c r="C34" s="1154"/>
      <c r="D34" s="1164"/>
      <c r="E34" s="1164"/>
      <c r="F34" s="1164"/>
      <c r="G34" s="1164"/>
      <c r="R34" s="18" t="s">
        <v>22</v>
      </c>
      <c r="S34" s="473">
        <f t="shared" si="2"/>
        <v>0.1</v>
      </c>
      <c r="U34" s="18" t="s">
        <v>22</v>
      </c>
      <c r="V34" s="473">
        <f t="shared" si="3"/>
        <v>0.35</v>
      </c>
      <c r="W34" s="18" t="s">
        <v>22</v>
      </c>
      <c r="X34" s="19" t="s">
        <v>376</v>
      </c>
      <c r="Y34" s="18" t="s">
        <v>22</v>
      </c>
      <c r="Z34" s="19" t="s">
        <v>372</v>
      </c>
    </row>
    <row r="35" spans="2:26" ht="19.5" customHeight="1" x14ac:dyDescent="0.15">
      <c r="B35" s="1142" t="str">
        <f>IF($L$1=2,"TVH/Total","HST/Total")</f>
        <v>HST/Total</v>
      </c>
      <c r="C35" s="190">
        <f>SUMIF('Jrnl Exp ~ Dép'!$O$16:$O$515,2,'Jrnl Exp ~ Dép'!$K$16:$K$515)</f>
        <v>0</v>
      </c>
      <c r="D35" s="190">
        <f>SUMIF('Jrnl Rev'!$O$16:$O$140,2,'Jrnl Rev'!$K$16:$K$140)</f>
        <v>0</v>
      </c>
      <c r="E35" s="190">
        <f>C35-D35</f>
        <v>0</v>
      </c>
      <c r="F35" s="1143">
        <f>LOOKUP($V$21,$R$25:$S$37)+0.05</f>
        <v>0.15000000000000002</v>
      </c>
      <c r="G35" s="1144"/>
      <c r="R35" s="18" t="s">
        <v>25</v>
      </c>
      <c r="S35" s="474">
        <f t="shared" si="2"/>
        <v>9.9750000000000005E-2</v>
      </c>
      <c r="U35" s="18" t="s">
        <v>25</v>
      </c>
      <c r="V35" s="473">
        <f t="shared" si="3"/>
        <v>0.5</v>
      </c>
      <c r="W35" s="18" t="s">
        <v>25</v>
      </c>
      <c r="X35" s="26" t="s">
        <v>418</v>
      </c>
      <c r="Y35" s="18" t="s">
        <v>25</v>
      </c>
      <c r="Z35" s="19" t="s">
        <v>417</v>
      </c>
    </row>
    <row r="36" spans="2:26" ht="19.5" hidden="1" customHeight="1" x14ac:dyDescent="0.15">
      <c r="B36" s="1145"/>
      <c r="C36" s="1147"/>
      <c r="D36" s="1147"/>
      <c r="E36" s="1147"/>
      <c r="F36" s="1147"/>
      <c r="G36" s="1147"/>
      <c r="R36" s="18" t="s">
        <v>27</v>
      </c>
      <c r="S36" s="473">
        <f t="shared" si="2"/>
        <v>0.06</v>
      </c>
      <c r="U36" s="18" t="s">
        <v>27</v>
      </c>
      <c r="V36" s="473">
        <f t="shared" si="3"/>
        <v>0</v>
      </c>
      <c r="W36" s="18" t="s">
        <v>27</v>
      </c>
      <c r="X36" s="26"/>
      <c r="Y36" s="18" t="s">
        <v>27</v>
      </c>
      <c r="Z36" s="26"/>
    </row>
    <row r="37" spans="2:26" ht="19.5" customHeight="1" x14ac:dyDescent="0.15">
      <c r="B37" s="1142" t="str">
        <f>IF($L$1=2,"TPS","GST")</f>
        <v>GST</v>
      </c>
      <c r="C37" s="190">
        <f>SUMIF('Jrnl Exp ~ Dép'!$O$16:$O$515,2,'Jrnl Exp ~ Dép'!$L$16:$L$515)</f>
        <v>0</v>
      </c>
      <c r="D37" s="190">
        <f>SUMIF('Jrnl Rev'!$O$16:$O$140,2,'Jrnl Rev'!$L$16:$L$140)</f>
        <v>0</v>
      </c>
      <c r="E37" s="190">
        <f>C37-D37</f>
        <v>0</v>
      </c>
      <c r="F37" s="1143">
        <f>$S$39</f>
        <v>0.05</v>
      </c>
      <c r="G37" s="190">
        <f>(E35*F37/F35)+E37</f>
        <v>0</v>
      </c>
      <c r="R37" s="18" t="s">
        <v>28</v>
      </c>
      <c r="S37" s="473">
        <f t="shared" si="2"/>
        <v>0</v>
      </c>
      <c r="U37" s="18" t="s">
        <v>28</v>
      </c>
      <c r="V37" s="473">
        <f t="shared" si="3"/>
        <v>0</v>
      </c>
      <c r="W37" s="18" t="s">
        <v>28</v>
      </c>
      <c r="X37" s="26"/>
      <c r="Y37" s="18" t="s">
        <v>28</v>
      </c>
      <c r="Z37" s="26"/>
    </row>
    <row r="38" spans="2:26" ht="4.5" hidden="1" customHeight="1" x14ac:dyDescent="0.15">
      <c r="B38" s="1145"/>
      <c r="C38" s="1147"/>
      <c r="D38" s="1147"/>
      <c r="E38" s="1147"/>
      <c r="F38" s="1148"/>
      <c r="G38" s="1149"/>
      <c r="R38" s="18"/>
      <c r="S38" s="473"/>
      <c r="U38" s="18"/>
      <c r="V38" s="473"/>
      <c r="W38" s="18"/>
      <c r="X38" s="26"/>
      <c r="Y38" s="18"/>
      <c r="Z38" s="26"/>
    </row>
    <row r="39" spans="2:26" ht="19.5" customHeight="1" x14ac:dyDescent="0.15">
      <c r="B39" s="1142" t="str">
        <f>IF($L$1=2,"TVP / TVQ","PST / QST")</f>
        <v>PST / QST</v>
      </c>
      <c r="C39" s="190">
        <f>SUMIF('Jrnl Exp ~ Dép'!$O$16:$O$515,2,'Jrnl Exp ~ Dép'!$M$16:$M$515)</f>
        <v>0</v>
      </c>
      <c r="D39" s="190">
        <f>SUMIF('Jrnl Rev'!$O$16:$O$140,2,'Jrnl Rev'!$M$16:$M$140)</f>
        <v>0</v>
      </c>
      <c r="E39" s="190">
        <f>C39-D39</f>
        <v>0</v>
      </c>
      <c r="F39" s="1143">
        <f>LOOKUP($V$21,$R$25:$S$37)</f>
        <v>0.1</v>
      </c>
      <c r="G39" s="190">
        <f>(E35*F39/F35)+E39</f>
        <v>0</v>
      </c>
      <c r="R39" s="18" t="s">
        <v>377</v>
      </c>
      <c r="S39" s="473">
        <f>D112</f>
        <v>0.05</v>
      </c>
      <c r="U39" s="18" t="s">
        <v>377</v>
      </c>
      <c r="V39" s="473">
        <f>D122</f>
        <v>0.5</v>
      </c>
      <c r="W39" s="475" t="s">
        <v>377</v>
      </c>
      <c r="X39" s="26">
        <v>305</v>
      </c>
      <c r="Y39" s="18" t="s">
        <v>377</v>
      </c>
      <c r="Z39" s="26"/>
    </row>
    <row r="40" spans="2:26" ht="14.25" hidden="1" customHeight="1" x14ac:dyDescent="0.15">
      <c r="B40" s="1150"/>
      <c r="C40" s="1151"/>
      <c r="D40" s="1151"/>
      <c r="E40" s="1151"/>
      <c r="F40" s="1151"/>
      <c r="G40" s="1152"/>
    </row>
    <row r="41" spans="2:26" ht="16.5" customHeight="1" x14ac:dyDescent="0.15"/>
    <row r="42" spans="2:26" ht="21.75" customHeight="1" x14ac:dyDescent="0.15">
      <c r="B42" s="1165" t="str">
        <f>IF($L$1=2,"Taxes","Taxes")</f>
        <v>Taxes</v>
      </c>
      <c r="C42" s="1163" t="str">
        <f>IF($L$1=2,"% de remise","% of Rebate")</f>
        <v>% of Rebate</v>
      </c>
      <c r="D42" s="1163" t="str">
        <f>IF($L$1=2,"Formulaires","Forms")</f>
        <v>Forms</v>
      </c>
      <c r="E42" s="1163" t="str">
        <f>IF($L$1=2,"Ligne","Line")</f>
        <v>Line</v>
      </c>
      <c r="F42" s="1163" t="str">
        <f>IF($L$1=2,"Montant réclamé","Claimed Amount")</f>
        <v>Claimed Amount</v>
      </c>
      <c r="U42" s="24" t="s">
        <v>378</v>
      </c>
    </row>
    <row r="43" spans="2:26" ht="4.5" hidden="1" customHeight="1" x14ac:dyDescent="0.15">
      <c r="B43" s="1154"/>
      <c r="C43" s="1154"/>
      <c r="D43" s="1154"/>
      <c r="E43" s="1154"/>
      <c r="F43" s="1154"/>
      <c r="U43" s="472"/>
    </row>
    <row r="44" spans="2:26" ht="19.5" customHeight="1" x14ac:dyDescent="0.15">
      <c r="B44" s="1142" t="str">
        <f>IF($L$1=2,"Fédéral (TPS)","Federal (GST)")</f>
        <v>Federal (GST)</v>
      </c>
      <c r="C44" s="1155">
        <f>$V$39</f>
        <v>0.5</v>
      </c>
      <c r="D44" s="146" t="str">
        <f>IF($V$21="QC","FP-2066","GST66")</f>
        <v>GST66</v>
      </c>
      <c r="E44" s="146">
        <f>$X$39</f>
        <v>305</v>
      </c>
      <c r="F44" s="1156">
        <f>G37*C44</f>
        <v>0</v>
      </c>
      <c r="U44" s="210" t="s">
        <v>379</v>
      </c>
    </row>
    <row r="45" spans="2:26" ht="4.5" hidden="1" customHeight="1" x14ac:dyDescent="0.15">
      <c r="B45" s="1145"/>
      <c r="C45" s="1157"/>
      <c r="D45" s="1157"/>
      <c r="E45" s="1157"/>
      <c r="F45" s="1166"/>
    </row>
    <row r="46" spans="2:26" ht="19.5" customHeight="1" x14ac:dyDescent="0.15">
      <c r="B46" s="1142" t="str">
        <f>IF($L$1=2,"Provincial (TVP / TVQ)","Provincial (PST / QST)")</f>
        <v>Provincial (PST / QST)</v>
      </c>
      <c r="C46" s="1155">
        <f>LOOKUP($V$21,$U$25:$V$37)</f>
        <v>0.5</v>
      </c>
      <c r="D46" s="146" t="str">
        <f>LOOKUP($V$21,$Y$25:$Z$37)</f>
        <v>RC7066</v>
      </c>
      <c r="E46" s="146" t="str">
        <f>LOOKUP($V$21,$W$25:$X$37)</f>
        <v>305-NL</v>
      </c>
      <c r="F46" s="1156">
        <f>G39*C46</f>
        <v>0</v>
      </c>
    </row>
    <row r="47" spans="2:26" ht="4.5" hidden="1" customHeight="1" x14ac:dyDescent="0.15">
      <c r="B47" s="1154"/>
      <c r="C47" s="1154"/>
      <c r="D47" s="1154"/>
      <c r="E47" s="1154"/>
      <c r="F47" s="1154"/>
    </row>
    <row r="48" spans="2:26" ht="19.5" customHeight="1" x14ac:dyDescent="0.2">
      <c r="B48" s="1839" t="str">
        <f>IF($L$1=2,"Remise de taxes réclamée","Rebate to be claimed")</f>
        <v>Rebate to be claimed</v>
      </c>
      <c r="C48" s="1839"/>
      <c r="D48" s="1839"/>
      <c r="E48" s="1160" t="str">
        <f>IF(V40="QC","","409")</f>
        <v>409</v>
      </c>
      <c r="F48" s="1161">
        <f>SUM(F44,F46)</f>
        <v>0</v>
      </c>
    </row>
    <row r="49" spans="1:7" ht="4.5" hidden="1" customHeight="1" x14ac:dyDescent="0.15">
      <c r="B49" s="1150"/>
      <c r="C49" s="1151"/>
      <c r="D49" s="1152"/>
      <c r="E49" s="1152"/>
      <c r="F49" s="1152"/>
    </row>
    <row r="50" spans="1:7" s="1167" customFormat="1" ht="50.25" customHeight="1" x14ac:dyDescent="0.25"/>
    <row r="51" spans="1:7" ht="46.5" customHeight="1" x14ac:dyDescent="0.15">
      <c r="B51" s="1168" t="str">
        <f>IF($L$1=2,IF('Set up ~ Config'!$G$32=6,"3e Trimestre
Jan-Fév-Mar","3e Trimestre
 Mar-Avr-Mai"),IF('Set up ~ Config'!$G$32=6,"Quarter 3
Jan-Feb-Mar","Quarter 3
Mar-Apr-May"))</f>
        <v>Quarter 3
Mar-Apr-May</v>
      </c>
      <c r="C51" s="1169" t="str">
        <f>IF($L$1=2,"Taxes sur les dépenses","Taxes on Expenses")</f>
        <v>Taxes on Expenses</v>
      </c>
      <c r="D51" s="1169" t="str">
        <f>IF($L$1=2,"Taxes remboursées par le Gouv't","Taxes repaid by Gov't")</f>
        <v>Taxes repaid by Gov't</v>
      </c>
      <c r="E51" s="1169" t="str">
        <f>IF($L$1=2,"Taxes nettes payées","Net Taxes Paid")</f>
        <v>Net Taxes Paid</v>
      </c>
      <c r="F51" s="1169" t="str">
        <f>IF($L$1=2,"Taux de la taxe","Tax Rates")</f>
        <v>Tax Rates</v>
      </c>
      <c r="G51" s="1169" t="str">
        <f>IF($L$1=2,"TVH ventilée +TPS+TVP","HST Broken Down=GST+PST")</f>
        <v>HST Broken Down=GST+PST</v>
      </c>
    </row>
    <row r="52" spans="1:7" ht="4.5" hidden="1" customHeight="1" x14ac:dyDescent="0.15">
      <c r="B52" s="1154"/>
      <c r="C52" s="1154"/>
      <c r="D52" s="1164"/>
      <c r="E52" s="1164"/>
      <c r="F52" s="1164"/>
      <c r="G52" s="1164"/>
    </row>
    <row r="53" spans="1:7" ht="19.5" customHeight="1" x14ac:dyDescent="0.15">
      <c r="B53" s="1142" t="str">
        <f>IF($L$1=2,"TVH/Total","HST/Total")</f>
        <v>HST/Total</v>
      </c>
      <c r="C53" s="190">
        <f>SUMIF('Jrnl Exp ~ Dép'!$O$16:$O$515,3,'Jrnl Exp ~ Dép'!$K$16:$K$515)</f>
        <v>0</v>
      </c>
      <c r="D53" s="190">
        <f>SUMIF('Jrnl Rev'!$O$16:$O$140,3,'Jrnl Rev'!$K$16:$K$140)</f>
        <v>0</v>
      </c>
      <c r="E53" s="190">
        <f>C53-D53</f>
        <v>0</v>
      </c>
      <c r="F53" s="1143">
        <f>LOOKUP($V$21,$R$25:$S$37)+0.05</f>
        <v>0.15000000000000002</v>
      </c>
      <c r="G53" s="1144"/>
    </row>
    <row r="54" spans="1:7" ht="4.5" hidden="1" customHeight="1" x14ac:dyDescent="0.15">
      <c r="B54" s="1145"/>
      <c r="C54" s="1147"/>
      <c r="D54" s="1147"/>
      <c r="E54" s="1147"/>
      <c r="F54" s="1147"/>
      <c r="G54" s="1147"/>
    </row>
    <row r="55" spans="1:7" ht="19.5" customHeight="1" x14ac:dyDescent="0.15">
      <c r="B55" s="1142" t="str">
        <f>IF($L$1=2,"TPS","GST")</f>
        <v>GST</v>
      </c>
      <c r="C55" s="190">
        <f>SUMIF('Jrnl Exp ~ Dép'!$O$16:$O$515,3,'Jrnl Exp ~ Dép'!$L$16:$L$515)</f>
        <v>0</v>
      </c>
      <c r="D55" s="190">
        <f>SUMIF('Jrnl Rev'!$O$16:$O$140,3,'Jrnl Rev'!$L$16:$L$140)</f>
        <v>0</v>
      </c>
      <c r="E55" s="190">
        <f>C55-D55</f>
        <v>0</v>
      </c>
      <c r="F55" s="1143">
        <f>$S$39</f>
        <v>0.05</v>
      </c>
      <c r="G55" s="190">
        <f>(E53*F55/F53)+E55</f>
        <v>0</v>
      </c>
    </row>
    <row r="56" spans="1:7" ht="4.5" hidden="1" customHeight="1" x14ac:dyDescent="0.15">
      <c r="B56" s="1145"/>
      <c r="C56" s="1147"/>
      <c r="D56" s="1147"/>
      <c r="E56" s="1147"/>
      <c r="F56" s="1148"/>
      <c r="G56" s="1149"/>
    </row>
    <row r="57" spans="1:7" ht="19.5" customHeight="1" x14ac:dyDescent="0.15">
      <c r="B57" s="1142" t="str">
        <f>IF($L$1=2,"TVP / TVQ","PST / QST")</f>
        <v>PST / QST</v>
      </c>
      <c r="C57" s="190">
        <f>SUMIF('Jrnl Exp ~ Dép'!$O$16:$O$515,3,'Jrnl Exp ~ Dép'!$M$16:$M$515)</f>
        <v>0</v>
      </c>
      <c r="D57" s="190">
        <f>SUMIF('Jrnl Rev'!$O$16:$O$140,3,'Jrnl Rev'!$M$16:$M$140)</f>
        <v>0</v>
      </c>
      <c r="E57" s="190">
        <f>C57-D57</f>
        <v>0</v>
      </c>
      <c r="F57" s="1143">
        <f>LOOKUP($V$21,$R$25:$S$37)</f>
        <v>0.1</v>
      </c>
      <c r="G57" s="190">
        <f>(E53*F57/F53)+E57</f>
        <v>0</v>
      </c>
    </row>
    <row r="58" spans="1:7" ht="4.5" hidden="1" customHeight="1" x14ac:dyDescent="0.15">
      <c r="B58" s="1150"/>
      <c r="C58" s="1151"/>
      <c r="D58" s="1151"/>
      <c r="E58" s="1151"/>
      <c r="F58" s="1151"/>
      <c r="G58" s="1152"/>
    </row>
    <row r="59" spans="1:7" ht="4.5" customHeight="1" x14ac:dyDescent="0.15"/>
    <row r="60" spans="1:7" ht="21.75" customHeight="1" x14ac:dyDescent="0.15">
      <c r="B60" s="1170" t="str">
        <f>IF($L$1=2,"Taxes","Taxes")</f>
        <v>Taxes</v>
      </c>
      <c r="C60" s="1169" t="str">
        <f>IF($L$1=2,"% de remise","% of Rebate")</f>
        <v>% of Rebate</v>
      </c>
      <c r="D60" s="1169" t="str">
        <f>IF($L$1=2,"Formulaires","Forms")</f>
        <v>Forms</v>
      </c>
      <c r="E60" s="1169" t="str">
        <f>IF($L$1=2,"Ligne","Line")</f>
        <v>Line</v>
      </c>
      <c r="F60" s="1169" t="str">
        <f>IF($L$1=2,"Montant réclamé","Claimed Amount")</f>
        <v>Claimed Amount</v>
      </c>
    </row>
    <row r="61" spans="1:7" ht="4.5" hidden="1" customHeight="1" x14ac:dyDescent="0.15">
      <c r="B61" s="1154"/>
      <c r="C61" s="1154"/>
      <c r="D61" s="1154"/>
      <c r="E61" s="1154"/>
      <c r="F61" s="1154"/>
    </row>
    <row r="62" spans="1:7" ht="19.5" customHeight="1" x14ac:dyDescent="0.15">
      <c r="B62" s="1142" t="str">
        <f>IF($L$1=2,"Fédéral (TPS)","Federal (GST)")</f>
        <v>Federal (GST)</v>
      </c>
      <c r="C62" s="1155">
        <f>$V$39</f>
        <v>0.5</v>
      </c>
      <c r="D62" s="146" t="str">
        <f>IF($V$21="QC","FP-2066","GST66")</f>
        <v>GST66</v>
      </c>
      <c r="E62" s="146">
        <f>$X$39</f>
        <v>305</v>
      </c>
      <c r="F62" s="1156">
        <f>G55*C62</f>
        <v>0</v>
      </c>
    </row>
    <row r="63" spans="1:7" ht="4.5" hidden="1" customHeight="1" x14ac:dyDescent="0.15">
      <c r="A63" t="s">
        <v>380</v>
      </c>
      <c r="B63" s="1145"/>
      <c r="C63" s="1157"/>
      <c r="D63" s="1157"/>
      <c r="E63" s="1157"/>
      <c r="F63" s="1166"/>
    </row>
    <row r="64" spans="1:7" ht="19.5" customHeight="1" x14ac:dyDescent="0.15">
      <c r="B64" s="1142" t="str">
        <f>IF($L$1=2,"Provincial (TVP / TVQ)","Provincial (PST / QST)")</f>
        <v>Provincial (PST / QST)</v>
      </c>
      <c r="C64" s="1155">
        <f>LOOKUP($V$21,$U$25:$V$37)</f>
        <v>0.5</v>
      </c>
      <c r="D64" s="146" t="str">
        <f>LOOKUP($V$21,$Y$25:$Z$37)</f>
        <v>RC7066</v>
      </c>
      <c r="E64" s="146" t="str">
        <f>LOOKUP($V$21,$W$25:$X$37)</f>
        <v>305-NL</v>
      </c>
      <c r="F64" s="1156">
        <f>G57*C64</f>
        <v>0</v>
      </c>
    </row>
    <row r="65" spans="1:7" ht="4.5" hidden="1" customHeight="1" x14ac:dyDescent="0.15">
      <c r="B65" s="1154"/>
      <c r="C65" s="1154"/>
      <c r="D65" s="1154"/>
      <c r="E65" s="1154"/>
      <c r="F65" s="1154"/>
    </row>
    <row r="66" spans="1:7" ht="19.5" customHeight="1" x14ac:dyDescent="0.2">
      <c r="B66" s="1839" t="str">
        <f>IF($L$1=2,"Remise de taxes réclamée","Rebate to be claimed")</f>
        <v>Rebate to be claimed</v>
      </c>
      <c r="C66" s="1839"/>
      <c r="D66" s="1839"/>
      <c r="E66" s="1160" t="str">
        <f>IF(V58="QC","","409")</f>
        <v>409</v>
      </c>
      <c r="F66" s="1161">
        <f>SUM(F62,F64)</f>
        <v>0</v>
      </c>
    </row>
    <row r="67" spans="1:7" ht="4.5" hidden="1" customHeight="1" x14ac:dyDescent="0.15">
      <c r="A67" t="s">
        <v>380</v>
      </c>
      <c r="B67" s="1150"/>
      <c r="C67" s="1151"/>
      <c r="D67" s="1152"/>
      <c r="E67" s="1152"/>
      <c r="F67" s="1152"/>
    </row>
    <row r="68" spans="1:7" ht="50.25" customHeight="1" x14ac:dyDescent="0.15"/>
    <row r="69" spans="1:7" ht="46.5" customHeight="1" x14ac:dyDescent="0.15">
      <c r="B69" s="1171" t="str">
        <f>IF($L$1=2,IF('Set up ~ Config'!$G$32=6,"4e Trimestre
Avr-Mai-Juin","4e Trimestre
 Juin-Juil-Août"),IF('Set up ~ Config'!$G$32=6,"Quarter 4
Apr-May-Jun","Quarter 4
Jun-Jul-Aug"))</f>
        <v>Quarter 4
Jun-Jul-Aug</v>
      </c>
      <c r="C69" s="1172" t="str">
        <f>IF($L$1=2,"Taxes sur les dépenses","Taxes on Expenses")</f>
        <v>Taxes on Expenses</v>
      </c>
      <c r="D69" s="1172" t="str">
        <f>IF($L$1=2,"Taxes remboursées par le Gouv't","Taxes repaid by Gov't")</f>
        <v>Taxes repaid by Gov't</v>
      </c>
      <c r="E69" s="1172" t="str">
        <f>IF($L$1=2,"Taxes nettes payées","Net Taxes Paid")</f>
        <v>Net Taxes Paid</v>
      </c>
      <c r="F69" s="1172" t="str">
        <f>IF($L$1=2,"Taux de la taxe","Tax Rates")</f>
        <v>Tax Rates</v>
      </c>
      <c r="G69" s="1172" t="str">
        <f>IF($L$1=2,"TVH ventilée +TPS+TVP","HST Broken Down=GST+PST")</f>
        <v>HST Broken Down=GST+PST</v>
      </c>
    </row>
    <row r="70" spans="1:7" ht="4.5" hidden="1" customHeight="1" x14ac:dyDescent="0.15">
      <c r="B70" s="1154"/>
      <c r="C70" s="1154"/>
      <c r="D70" s="1164"/>
      <c r="E70" s="1164"/>
      <c r="F70" s="1164"/>
      <c r="G70" s="1164"/>
    </row>
    <row r="71" spans="1:7" ht="19.5" customHeight="1" x14ac:dyDescent="0.15">
      <c r="B71" s="1142" t="str">
        <f>IF($L$1=2,"TVH/Total","HST/Total")</f>
        <v>HST/Total</v>
      </c>
      <c r="C71" s="190">
        <f>SUMIF('Jrnl Exp ~ Dép'!$O$16:$O$515,4,'Jrnl Exp ~ Dép'!$K$16:$K$515)</f>
        <v>0</v>
      </c>
      <c r="D71" s="190">
        <f>SUMIF('Jrnl Rev'!$O$16:$O$140,4,'Jrnl Rev'!$K$16:$K$140)</f>
        <v>0</v>
      </c>
      <c r="E71" s="190">
        <f>C71-D71</f>
        <v>0</v>
      </c>
      <c r="F71" s="1143">
        <f>LOOKUP($V$21,$R$25:$S$37)+0.05</f>
        <v>0.15000000000000002</v>
      </c>
      <c r="G71" s="1144"/>
    </row>
    <row r="72" spans="1:7" ht="4.5" hidden="1" customHeight="1" x14ac:dyDescent="0.15">
      <c r="B72" s="1145"/>
      <c r="C72" s="1147"/>
      <c r="D72" s="1147"/>
      <c r="E72" s="1147"/>
      <c r="F72" s="1147"/>
      <c r="G72" s="1147"/>
    </row>
    <row r="73" spans="1:7" ht="19.5" customHeight="1" x14ac:dyDescent="0.15">
      <c r="B73" s="1142" t="str">
        <f>IF($L$1=2,"TPS","GST")</f>
        <v>GST</v>
      </c>
      <c r="C73" s="190">
        <f>SUMIF('Jrnl Exp ~ Dép'!$O$16:$O$515,4,'Jrnl Exp ~ Dép'!$L$16:$L$515)</f>
        <v>0</v>
      </c>
      <c r="D73" s="190">
        <f>SUMIF('Jrnl Rev'!$O$16:$O$140,4,'Jrnl Rev'!$L$16:$L$140)</f>
        <v>0</v>
      </c>
      <c r="E73" s="190">
        <f>C73-D73</f>
        <v>0</v>
      </c>
      <c r="F73" s="1143">
        <f>$S$39</f>
        <v>0.05</v>
      </c>
      <c r="G73" s="190">
        <f>(E71*F73/F71)+E73</f>
        <v>0</v>
      </c>
    </row>
    <row r="74" spans="1:7" ht="4.5" hidden="1" customHeight="1" x14ac:dyDescent="0.15">
      <c r="B74" s="1145"/>
      <c r="C74" s="1147"/>
      <c r="D74" s="1147"/>
      <c r="E74" s="1147"/>
      <c r="F74" s="1148"/>
      <c r="G74" s="1149"/>
    </row>
    <row r="75" spans="1:7" ht="19.5" customHeight="1" x14ac:dyDescent="0.15">
      <c r="B75" s="1142" t="str">
        <f>IF($L$1=2,"TVP / TVQ","PST / QST")</f>
        <v>PST / QST</v>
      </c>
      <c r="C75" s="190">
        <f>SUMIF('Jrnl Exp ~ Dép'!$O$16:$O$515,4,'Jrnl Exp ~ Dép'!$M$16:$M$515)</f>
        <v>0</v>
      </c>
      <c r="D75" s="190">
        <f>SUMIF('Jrnl Rev'!$O$16:$O$140,4,'Jrnl Rev'!$M$16:$M$140)</f>
        <v>0</v>
      </c>
      <c r="E75" s="190">
        <f>C75-D75</f>
        <v>0</v>
      </c>
      <c r="F75" s="1143">
        <f>LOOKUP($V$21,$R$25:$S$37)</f>
        <v>0.1</v>
      </c>
      <c r="G75" s="190">
        <f>(E71*F75/F71)+E75</f>
        <v>0</v>
      </c>
    </row>
    <row r="76" spans="1:7" ht="4.5" hidden="1" customHeight="1" x14ac:dyDescent="0.15">
      <c r="B76" s="1150"/>
      <c r="C76" s="1151"/>
      <c r="D76" s="1151"/>
      <c r="E76" s="1151"/>
      <c r="F76" s="1151"/>
      <c r="G76" s="1152"/>
    </row>
    <row r="77" spans="1:7" ht="4.5" customHeight="1" x14ac:dyDescent="0.15"/>
    <row r="78" spans="1:7" ht="21.75" customHeight="1" x14ac:dyDescent="0.15">
      <c r="B78" s="1173" t="str">
        <f>IF($L$1=2,"Taxes","Taxes")</f>
        <v>Taxes</v>
      </c>
      <c r="C78" s="1172" t="str">
        <f>IF($L$1=2,"% de remise","% of Rebate")</f>
        <v>% of Rebate</v>
      </c>
      <c r="D78" s="1172" t="str">
        <f>IF($L$1=2,"Formulaires","Forms")</f>
        <v>Forms</v>
      </c>
      <c r="E78" s="1172" t="str">
        <f>IF($L$1=2,"Ligne","Line")</f>
        <v>Line</v>
      </c>
      <c r="F78" s="1172" t="str">
        <f>IF($L$1=2,"Montant réclamé","Claimed Amount")</f>
        <v>Claimed Amount</v>
      </c>
    </row>
    <row r="79" spans="1:7" ht="4.5" hidden="1" customHeight="1" x14ac:dyDescent="0.15">
      <c r="B79" s="1154"/>
      <c r="C79" s="1154"/>
      <c r="D79" s="1154"/>
      <c r="E79" s="1154"/>
      <c r="F79" s="1154"/>
    </row>
    <row r="80" spans="1:7" ht="19.5" customHeight="1" x14ac:dyDescent="0.15">
      <c r="B80" s="1142" t="str">
        <f>IF($L$1=2,"Fédéral (TPS)","Federal (GST)")</f>
        <v>Federal (GST)</v>
      </c>
      <c r="C80" s="1155">
        <f>$V$39</f>
        <v>0.5</v>
      </c>
      <c r="D80" s="146" t="str">
        <f>IF($V$21="QC","FP-2066","GST66")</f>
        <v>GST66</v>
      </c>
      <c r="E80" s="146">
        <f>$X$39</f>
        <v>305</v>
      </c>
      <c r="F80" s="1156">
        <f>G73*C80</f>
        <v>0</v>
      </c>
    </row>
    <row r="81" spans="2:7" ht="4.5" hidden="1" customHeight="1" x14ac:dyDescent="0.15">
      <c r="B81" s="1145"/>
      <c r="C81" s="1157"/>
      <c r="D81" s="1157"/>
      <c r="E81" s="1157"/>
      <c r="F81" s="1166"/>
    </row>
    <row r="82" spans="2:7" ht="19.5" customHeight="1" x14ac:dyDescent="0.15">
      <c r="B82" s="1142" t="str">
        <f>IF($L$1=2,"Provincial (TVP / TVQ)","Provincial (PST / QST)")</f>
        <v>Provincial (PST / QST)</v>
      </c>
      <c r="C82" s="1155">
        <f>LOOKUP($V$21,$U$25:$V$37)</f>
        <v>0.5</v>
      </c>
      <c r="D82" s="146" t="str">
        <f>LOOKUP($V$21,$Y$25:$Z$37)</f>
        <v>RC7066</v>
      </c>
      <c r="E82" s="146" t="str">
        <f>LOOKUP($V$21,$W$25:$X$37)</f>
        <v>305-NL</v>
      </c>
      <c r="F82" s="1156">
        <f>G75*C82</f>
        <v>0</v>
      </c>
    </row>
    <row r="83" spans="2:7" ht="4.5" hidden="1" customHeight="1" x14ac:dyDescent="0.15">
      <c r="B83" s="1154"/>
      <c r="C83" s="1154"/>
      <c r="D83" s="1154"/>
      <c r="E83" s="1154"/>
      <c r="F83" s="1154"/>
    </row>
    <row r="84" spans="2:7" ht="19.5" customHeight="1" x14ac:dyDescent="0.2">
      <c r="B84" s="1839" t="str">
        <f>IF($L$1=2,"Remise de taxes réclamée","Rebate to be claimed")</f>
        <v>Rebate to be claimed</v>
      </c>
      <c r="C84" s="1839"/>
      <c r="D84" s="1839"/>
      <c r="E84" s="1160" t="str">
        <f>IF(V76="QC","","409")</f>
        <v>409</v>
      </c>
      <c r="F84" s="1161">
        <f>SUM(F80,F82)</f>
        <v>0</v>
      </c>
    </row>
    <row r="85" spans="2:7" ht="4.5" hidden="1" customHeight="1" x14ac:dyDescent="0.15">
      <c r="B85" s="1150"/>
      <c r="C85" s="1151"/>
      <c r="D85" s="1152"/>
      <c r="E85" s="1152"/>
      <c r="F85" s="1152"/>
    </row>
    <row r="86" spans="2:7" ht="50.25" customHeight="1" x14ac:dyDescent="0.15"/>
    <row r="87" spans="2:7" ht="46.5" customHeight="1" x14ac:dyDescent="0.15">
      <c r="B87" s="1174" t="str">
        <f>IF(L1=2,"Total pour l'année","Total for the year")</f>
        <v>Total for the year</v>
      </c>
      <c r="C87" s="1175" t="str">
        <f>IF($L$1=2,"Taxes sur les dépenses","Taxes on Expenses")</f>
        <v>Taxes on Expenses</v>
      </c>
      <c r="D87" s="1175" t="str">
        <f>IF($L$1=2,"Taxes remboursées par le Gouv't","Taxes repaid by Gov't")</f>
        <v>Taxes repaid by Gov't</v>
      </c>
      <c r="E87" s="1175" t="str">
        <f>IF($L$1=2,"Taxes nettes payées","Net Taxes Paid")</f>
        <v>Net Taxes Paid</v>
      </c>
      <c r="F87" s="1175" t="str">
        <f>IF($L$1=2,"Taux de la taxe","Tax Rates")</f>
        <v>Tax Rates</v>
      </c>
      <c r="G87" s="1175" t="str">
        <f>IF($L$1=2,"TVH ventilée +TPS+TVP","HST Broken Down=GST+PST")</f>
        <v>HST Broken Down=GST+PST</v>
      </c>
    </row>
    <row r="88" spans="2:7" ht="4.5" hidden="1" customHeight="1" x14ac:dyDescent="0.15">
      <c r="B88" s="1154"/>
      <c r="C88" s="1154"/>
      <c r="D88" s="1164"/>
      <c r="E88" s="1164"/>
      <c r="F88" s="1164"/>
      <c r="G88" s="1164"/>
    </row>
    <row r="89" spans="2:7" ht="19.5" customHeight="1" x14ac:dyDescent="0.15">
      <c r="B89" s="1142" t="str">
        <f>IF($L$1=2,"TVH","HST")</f>
        <v>HST</v>
      </c>
      <c r="C89" s="190">
        <f>'Jrnl Exp ~ Dép'!K516</f>
        <v>0</v>
      </c>
      <c r="D89" s="190">
        <f>'Jrnl Rev'!$K$516</f>
        <v>0</v>
      </c>
      <c r="E89" s="190">
        <f>C89-D89</f>
        <v>0</v>
      </c>
      <c r="F89" s="1143">
        <f>LOOKUP($V$21,$R$25:$S$37)+0.05</f>
        <v>0.15000000000000002</v>
      </c>
      <c r="G89" s="1144"/>
    </row>
    <row r="90" spans="2:7" ht="4.5" hidden="1" customHeight="1" x14ac:dyDescent="0.15">
      <c r="B90" s="1145"/>
      <c r="C90" s="1147"/>
      <c r="D90" s="1147"/>
      <c r="E90" s="1147"/>
      <c r="F90" s="1147"/>
      <c r="G90" s="1147"/>
    </row>
    <row r="91" spans="2:7" ht="19.5" customHeight="1" x14ac:dyDescent="0.15">
      <c r="B91" s="1142" t="str">
        <f>IF($L$1=2,"TPS","GST")</f>
        <v>GST</v>
      </c>
      <c r="C91" s="190">
        <f>'Jrnl Exp ~ Dép'!$L$516</f>
        <v>0</v>
      </c>
      <c r="D91" s="190">
        <f>'Jrnl Rev'!$L$516</f>
        <v>0</v>
      </c>
      <c r="E91" s="190">
        <f>C91-D91</f>
        <v>0</v>
      </c>
      <c r="F91" s="1143">
        <f>$S$39</f>
        <v>0.05</v>
      </c>
      <c r="G91" s="190">
        <f>(E89*F91/F89)+E91</f>
        <v>0</v>
      </c>
    </row>
    <row r="92" spans="2:7" ht="4.5" hidden="1" customHeight="1" x14ac:dyDescent="0.15">
      <c r="B92" s="1145"/>
      <c r="C92" s="1147"/>
      <c r="D92" s="1147"/>
      <c r="E92" s="1147"/>
      <c r="F92" s="1148"/>
      <c r="G92" s="1149"/>
    </row>
    <row r="93" spans="2:7" ht="19.5" customHeight="1" x14ac:dyDescent="0.15">
      <c r="B93" s="1142" t="str">
        <f>IF($L$1=2,"TVP / TVQ","PST / QST")</f>
        <v>PST / QST</v>
      </c>
      <c r="C93" s="190">
        <f>'Jrnl Exp ~ Dép'!$M$516</f>
        <v>0</v>
      </c>
      <c r="D93" s="190">
        <f>'Jrnl Rev'!$M$516</f>
        <v>0</v>
      </c>
      <c r="E93" s="190">
        <f>C93-D93</f>
        <v>0</v>
      </c>
      <c r="F93" s="1143">
        <f>LOOKUP($V$21,$R$25:$S$37)</f>
        <v>0.1</v>
      </c>
      <c r="G93" s="190">
        <f>(E89*F93/F89)+E93</f>
        <v>0</v>
      </c>
    </row>
    <row r="94" spans="2:7" ht="4.5" hidden="1" customHeight="1" x14ac:dyDescent="0.15">
      <c r="B94" s="1150"/>
      <c r="C94" s="1151"/>
      <c r="D94" s="1151"/>
      <c r="E94" s="1151"/>
      <c r="F94" s="1151"/>
      <c r="G94" s="1152"/>
    </row>
    <row r="95" spans="2:7" ht="4.5" customHeight="1" x14ac:dyDescent="0.15">
      <c r="G95" s="399"/>
    </row>
    <row r="96" spans="2:7" ht="21.75" customHeight="1" x14ac:dyDescent="0.15">
      <c r="B96" s="1176" t="str">
        <f>IF($L$1=2,"Taxes","Taxes")</f>
        <v>Taxes</v>
      </c>
      <c r="C96" s="1175" t="str">
        <f>IF($L$1=2,"% de remise","% of Rebate")</f>
        <v>% of Rebate</v>
      </c>
      <c r="D96" s="1175" t="str">
        <f>IF($L$1=2,"Formulaires","Forms")</f>
        <v>Forms</v>
      </c>
      <c r="E96" s="1175" t="str">
        <f>IF($L$1=2,"Ligne","Line")</f>
        <v>Line</v>
      </c>
      <c r="F96" s="1175" t="str">
        <f>IF($L$1=2,"Montant réclamé","Claimed Amount")</f>
        <v>Claimed Amount</v>
      </c>
    </row>
    <row r="97" spans="2:10" ht="4.5" hidden="1" customHeight="1" x14ac:dyDescent="0.15">
      <c r="B97" s="1154"/>
      <c r="C97" s="1154"/>
      <c r="D97" s="1154"/>
      <c r="E97" s="1154"/>
      <c r="F97" s="1154"/>
    </row>
    <row r="98" spans="2:10" ht="19.5" customHeight="1" x14ac:dyDescent="0.15">
      <c r="B98" s="1142" t="str">
        <f>IF($L$1=2,"Fédéral (TPS)","Federal (GST)")</f>
        <v>Federal (GST)</v>
      </c>
      <c r="C98" s="1155">
        <f>$V$39</f>
        <v>0.5</v>
      </c>
      <c r="D98" s="146" t="str">
        <f>IF($V$21="QC","FP-2066","GST66")</f>
        <v>GST66</v>
      </c>
      <c r="E98" s="146">
        <f>$X$39</f>
        <v>305</v>
      </c>
      <c r="F98" s="1156">
        <f>G91*C98</f>
        <v>0</v>
      </c>
    </row>
    <row r="99" spans="2:10" ht="4.5" hidden="1" customHeight="1" x14ac:dyDescent="0.15">
      <c r="B99" s="1145"/>
      <c r="C99" s="1157"/>
      <c r="D99" s="1157"/>
      <c r="E99" s="1157"/>
      <c r="F99" s="1166"/>
    </row>
    <row r="100" spans="2:10" ht="19.5" customHeight="1" x14ac:dyDescent="0.15">
      <c r="B100" s="1142" t="str">
        <f>IF($L$1=2,"Provincial (TVP / TVQ)","Provincial (PST / QST)")</f>
        <v>Provincial (PST / QST)</v>
      </c>
      <c r="C100" s="1155">
        <f>LOOKUP($V$21,$U$25:$V$37)</f>
        <v>0.5</v>
      </c>
      <c r="D100" s="146" t="str">
        <f>LOOKUP($V$21,$Y$25:$Z$37)</f>
        <v>RC7066</v>
      </c>
      <c r="E100" s="146" t="str">
        <f>LOOKUP($V$21,$W$25:$X$37)</f>
        <v>305-NL</v>
      </c>
      <c r="F100" s="1156">
        <f>G93*C100</f>
        <v>0</v>
      </c>
    </row>
    <row r="101" spans="2:10" ht="4.5" hidden="1" customHeight="1" x14ac:dyDescent="0.15">
      <c r="B101" s="1154"/>
      <c r="C101" s="1154"/>
      <c r="D101" s="1154"/>
      <c r="E101" s="1154"/>
      <c r="F101" s="1154"/>
    </row>
    <row r="102" spans="2:10" ht="19.5" customHeight="1" x14ac:dyDescent="0.2">
      <c r="B102" s="1839" t="str">
        <f>IF($L$1=2,"Remise de taxes totale réclamée","Total Rebate to be claimed")</f>
        <v>Total Rebate to be claimed</v>
      </c>
      <c r="C102" s="1839"/>
      <c r="D102" s="1839"/>
      <c r="E102" s="1160" t="str">
        <f>IF(V94="QC","","409")</f>
        <v>409</v>
      </c>
      <c r="F102" s="1161">
        <f>SUM(F98,F100)</f>
        <v>0</v>
      </c>
      <c r="J102" s="399">
        <f>F30+F48+F66+F84</f>
        <v>0</v>
      </c>
    </row>
    <row r="103" spans="2:10" ht="4.5" hidden="1" customHeight="1" x14ac:dyDescent="0.15">
      <c r="B103" s="1150"/>
      <c r="C103" s="1151"/>
      <c r="D103" s="1152"/>
      <c r="E103" s="1152"/>
      <c r="F103" s="1152"/>
    </row>
    <row r="104" spans="2:10" ht="4.5" customHeight="1" x14ac:dyDescent="0.15"/>
    <row r="105" spans="2:10" ht="1.5" customHeight="1" x14ac:dyDescent="0.15"/>
    <row r="106" spans="2:10" ht="16" x14ac:dyDescent="0.15">
      <c r="B106" s="4" t="str">
        <f>IF(L1=2,"TVH =","HST =")</f>
        <v>HST =</v>
      </c>
      <c r="C106" s="1838" t="str">
        <f>IF(L1=2,"Taxe de vente harmonisée","Harmonized Sales Tax")</f>
        <v>Harmonized Sales Tax</v>
      </c>
      <c r="D106" s="1838"/>
      <c r="E106" s="1838"/>
      <c r="F106" s="1838"/>
      <c r="J106" s="1837">
        <f>J102-F102</f>
        <v>0</v>
      </c>
    </row>
    <row r="107" spans="2:10" ht="16" x14ac:dyDescent="0.15">
      <c r="B107" s="4" t="str">
        <f>IF(L1=2,"TPS =","GST =")</f>
        <v>GST =</v>
      </c>
      <c r="C107" s="1838" t="str">
        <f>IF(L1=2,"Taxe sur les produits et services","Goods and Services Tax")</f>
        <v>Goods and Services Tax</v>
      </c>
      <c r="D107" s="1838"/>
      <c r="E107" s="1838"/>
      <c r="F107" s="1838"/>
      <c r="J107" s="1837"/>
    </row>
    <row r="108" spans="2:10" ht="16" x14ac:dyDescent="0.15">
      <c r="B108" s="4" t="str">
        <f>IF(L1=2,"TVP / TVQ =","PST / QST =")</f>
        <v>PST / QST =</v>
      </c>
      <c r="C108" s="1838" t="str">
        <f>IF(L1=2,"Taxe de vente provinciale / Taxe de vente du Québec","Provincial Sale Tax / Quebec Sales Tax")</f>
        <v>Provincial Sale Tax / Quebec Sales Tax</v>
      </c>
      <c r="D108" s="1838"/>
      <c r="E108" s="1838"/>
      <c r="F108" s="1838"/>
    </row>
    <row r="109" spans="2:10" ht="16" x14ac:dyDescent="0.15">
      <c r="B109" s="4" t="str">
        <f>IF(L1=2,"ARC =","CRA =")</f>
        <v>CRA =</v>
      </c>
      <c r="C109" s="1838" t="str">
        <f>IF(L1=2,"Agence du revenu du Canada","Canada Revenue Agency")</f>
        <v>Canada Revenue Agency</v>
      </c>
      <c r="D109" s="1838"/>
      <c r="E109" s="1838"/>
      <c r="F109" s="1838"/>
    </row>
    <row r="111" spans="2:10" ht="16" hidden="1" x14ac:dyDescent="0.15">
      <c r="C111" s="1835" t="str">
        <f>IF(L1=2,"Taux de TPS et de TVP par province","GST and PST Rate by Province")</f>
        <v>GST and PST Rate by Province</v>
      </c>
      <c r="D111" s="1835"/>
      <c r="E111" s="1835"/>
      <c r="F111" s="1835"/>
    </row>
    <row r="112" spans="2:10" hidden="1" x14ac:dyDescent="0.15">
      <c r="C112" s="1177" t="s">
        <v>528</v>
      </c>
      <c r="D112" s="1186">
        <f>'Set up ~ Config'!F173</f>
        <v>0.05</v>
      </c>
      <c r="E112" s="1179" t="s">
        <v>19</v>
      </c>
      <c r="F112" s="1185">
        <f>'Set up ~ Config'!H173</f>
        <v>0</v>
      </c>
    </row>
    <row r="113" spans="3:6" hidden="1" x14ac:dyDescent="0.15">
      <c r="C113" s="1181" t="s">
        <v>9</v>
      </c>
      <c r="D113" s="1186">
        <f>'Set up ~ Config'!F174</f>
        <v>0</v>
      </c>
      <c r="E113" s="1182" t="s">
        <v>20</v>
      </c>
      <c r="F113" s="1185">
        <f>'Set up ~ Config'!H174</f>
        <v>0</v>
      </c>
    </row>
    <row r="114" spans="3:6" hidden="1" x14ac:dyDescent="0.15">
      <c r="C114" s="1181" t="s">
        <v>11</v>
      </c>
      <c r="D114" s="1186">
        <f>'Set up ~ Config'!F175</f>
        <v>7.0000000000000007E-2</v>
      </c>
      <c r="E114" s="1182" t="s">
        <v>21</v>
      </c>
      <c r="F114" s="1185">
        <f>'Set up ~ Config'!H175</f>
        <v>0.08</v>
      </c>
    </row>
    <row r="115" spans="3:6" hidden="1" x14ac:dyDescent="0.15">
      <c r="C115" s="1181" t="s">
        <v>13</v>
      </c>
      <c r="D115" s="1186">
        <f>'Set up ~ Config'!F176</f>
        <v>7.0000000000000007E-2</v>
      </c>
      <c r="E115" s="1182" t="s">
        <v>22</v>
      </c>
      <c r="F115" s="1185">
        <f>'Set up ~ Config'!H176</f>
        <v>0.1</v>
      </c>
    </row>
    <row r="116" spans="3:6" hidden="1" x14ac:dyDescent="0.15">
      <c r="C116" s="1181" t="s">
        <v>14</v>
      </c>
      <c r="D116" s="1186">
        <f>'Set up ~ Config'!F177</f>
        <v>0.1</v>
      </c>
      <c r="E116" s="1182" t="s">
        <v>25</v>
      </c>
      <c r="F116" s="1185">
        <f>'Set up ~ Config'!H177</f>
        <v>9.9750000000000005E-2</v>
      </c>
    </row>
    <row r="117" spans="3:6" hidden="1" x14ac:dyDescent="0.15">
      <c r="C117" s="1181" t="s">
        <v>16</v>
      </c>
      <c r="D117" s="1186">
        <f>'Set up ~ Config'!F178</f>
        <v>0.1</v>
      </c>
      <c r="E117" s="1182" t="s">
        <v>27</v>
      </c>
      <c r="F117" s="1185">
        <f>'Set up ~ Config'!H178</f>
        <v>0.06</v>
      </c>
    </row>
    <row r="118" spans="3:6" hidden="1" x14ac:dyDescent="0.15">
      <c r="C118" s="1183" t="s">
        <v>17</v>
      </c>
      <c r="D118" s="1186">
        <f>'Set up ~ Config'!F179</f>
        <v>0.1</v>
      </c>
      <c r="E118" s="1184" t="s">
        <v>28</v>
      </c>
      <c r="F118" s="1185">
        <f>'Set up ~ Config'!H179</f>
        <v>0</v>
      </c>
    </row>
    <row r="119" spans="3:6" ht="26.25" hidden="1" customHeight="1" x14ac:dyDescent="0.15">
      <c r="C119" s="1834" t="str">
        <f>IF(L1=2,U42,U44)</f>
        <v>The Rebate and Tax Level are extracted from the different Website of each province. It is strongly recommended that these informations be verified with the government.</v>
      </c>
      <c r="D119" s="1834"/>
      <c r="E119" s="1834"/>
      <c r="F119" s="1834"/>
    </row>
    <row r="120" spans="3:6" ht="25.5" hidden="1" customHeight="1" x14ac:dyDescent="0.15">
      <c r="C120" s="1834"/>
      <c r="D120" s="1834"/>
      <c r="E120" s="1834"/>
      <c r="F120" s="1834"/>
    </row>
    <row r="121" spans="3:6" ht="16" hidden="1" x14ac:dyDescent="0.15">
      <c r="C121" s="1835" t="str">
        <f>IF(L1=2,"% de remise de taxe fédéral et provincial","% of Provincial and Federal Tax Rebate")</f>
        <v>% of Provincial and Federal Tax Rebate</v>
      </c>
      <c r="D121" s="1835"/>
      <c r="E121" s="1835"/>
      <c r="F121" s="1835"/>
    </row>
    <row r="122" spans="3:6" hidden="1" x14ac:dyDescent="0.15">
      <c r="C122" s="1177" t="s">
        <v>528</v>
      </c>
      <c r="D122" s="1178">
        <f>'Set up ~ Config'!F183</f>
        <v>0.5</v>
      </c>
      <c r="E122" s="1179" t="s">
        <v>19</v>
      </c>
      <c r="F122" s="1180">
        <f>'Set up ~ Config'!H183</f>
        <v>0</v>
      </c>
    </row>
    <row r="123" spans="3:6" hidden="1" x14ac:dyDescent="0.15">
      <c r="C123" s="1181" t="s">
        <v>9</v>
      </c>
      <c r="D123" s="1178">
        <f>'Set up ~ Config'!F184</f>
        <v>0</v>
      </c>
      <c r="E123" s="1182" t="s">
        <v>20</v>
      </c>
      <c r="F123" s="1180">
        <f>'Set up ~ Config'!H184</f>
        <v>0</v>
      </c>
    </row>
    <row r="124" spans="3:6" hidden="1" x14ac:dyDescent="0.15">
      <c r="C124" s="1181" t="s">
        <v>11</v>
      </c>
      <c r="D124" s="1178">
        <f>'Set up ~ Config'!F185</f>
        <v>0</v>
      </c>
      <c r="E124" s="1182" t="s">
        <v>21</v>
      </c>
      <c r="F124" s="1180">
        <f>'Set up ~ Config'!H185</f>
        <v>0.82</v>
      </c>
    </row>
    <row r="125" spans="3:6" hidden="1" x14ac:dyDescent="0.15">
      <c r="C125" s="1181" t="s">
        <v>13</v>
      </c>
      <c r="D125" s="1178">
        <f>'Set up ~ Config'!F186</f>
        <v>0</v>
      </c>
      <c r="E125" s="1182" t="s">
        <v>22</v>
      </c>
      <c r="F125" s="1180">
        <f>'Set up ~ Config'!H186</f>
        <v>0.35</v>
      </c>
    </row>
    <row r="126" spans="3:6" hidden="1" x14ac:dyDescent="0.15">
      <c r="C126" s="1181" t="s">
        <v>14</v>
      </c>
      <c r="D126" s="1178">
        <f>'Set up ~ Config'!F187</f>
        <v>0.5</v>
      </c>
      <c r="E126" s="1182" t="s">
        <v>25</v>
      </c>
      <c r="F126" s="1180">
        <f>'Set up ~ Config'!H187</f>
        <v>0.5</v>
      </c>
    </row>
    <row r="127" spans="3:6" hidden="1" x14ac:dyDescent="0.15">
      <c r="C127" s="1181" t="s">
        <v>16</v>
      </c>
      <c r="D127" s="1178">
        <f>'Set up ~ Config'!F188</f>
        <v>0.5</v>
      </c>
      <c r="E127" s="1182" t="s">
        <v>27</v>
      </c>
      <c r="F127" s="1180">
        <f>'Set up ~ Config'!H188</f>
        <v>0</v>
      </c>
    </row>
    <row r="128" spans="3:6" hidden="1" x14ac:dyDescent="0.15">
      <c r="C128" s="1183" t="s">
        <v>17</v>
      </c>
      <c r="D128" s="1178">
        <f>'Set up ~ Config'!F189</f>
        <v>0.5</v>
      </c>
      <c r="E128" s="1184" t="s">
        <v>28</v>
      </c>
      <c r="F128" s="1180">
        <f>'Set up ~ Config'!H189</f>
        <v>0</v>
      </c>
    </row>
    <row r="129" spans="7:7" hidden="1" x14ac:dyDescent="0.15"/>
    <row r="130" spans="7:7" hidden="1" x14ac:dyDescent="0.15"/>
    <row r="131" spans="7:7" x14ac:dyDescent="0.15">
      <c r="G131" s="1836"/>
    </row>
    <row r="132" spans="7:7" x14ac:dyDescent="0.15">
      <c r="G132" s="1836"/>
    </row>
  </sheetData>
  <sheetProtection algorithmName="SHA-512" hashValue="uZL112+xuRdCrM6lN+mcthCtTuttVjvmnD5wGsJ2C9wCgbrR7uVw2giMbjdtbwtRedzwev1G9oMeuZ/8OO82Aw==" saltValue="TYJbMFIerRbnZLetHkt30g==" spinCount="100000" sheet="1" objects="1" scenarios="1" selectLockedCells="1" selectUnlockedCells="1"/>
  <mergeCells count="23">
    <mergeCell ref="B3:G3"/>
    <mergeCell ref="B4:G4"/>
    <mergeCell ref="B5:G5"/>
    <mergeCell ref="B7:G7"/>
    <mergeCell ref="B9:G9"/>
    <mergeCell ref="B11:G11"/>
    <mergeCell ref="B12:G12"/>
    <mergeCell ref="R24:S24"/>
    <mergeCell ref="U24:V24"/>
    <mergeCell ref="B30:D30"/>
    <mergeCell ref="B48:D48"/>
    <mergeCell ref="B66:D66"/>
    <mergeCell ref="B84:D84"/>
    <mergeCell ref="B102:D102"/>
    <mergeCell ref="C106:F106"/>
    <mergeCell ref="C119:F120"/>
    <mergeCell ref="C121:F121"/>
    <mergeCell ref="G131:G132"/>
    <mergeCell ref="J106:J107"/>
    <mergeCell ref="C107:F107"/>
    <mergeCell ref="C108:F108"/>
    <mergeCell ref="C109:F109"/>
    <mergeCell ref="C111:F111"/>
  </mergeCells>
  <conditionalFormatting sqref="D28:E28">
    <cfRule type="cellIs" dxfId="17" priority="2" operator="equal">
      <formula>0</formula>
    </cfRule>
  </conditionalFormatting>
  <conditionalFormatting sqref="D46:E46">
    <cfRule type="cellIs" dxfId="16" priority="3" operator="equal">
      <formula>0</formula>
    </cfRule>
  </conditionalFormatting>
  <conditionalFormatting sqref="D64:E64">
    <cfRule type="cellIs" dxfId="15" priority="4" operator="equal">
      <formula>0</formula>
    </cfRule>
  </conditionalFormatting>
  <conditionalFormatting sqref="D82:E82">
    <cfRule type="cellIs" dxfId="14" priority="5" operator="equal">
      <formula>0</formula>
    </cfRule>
  </conditionalFormatting>
  <conditionalFormatting sqref="D100:E100">
    <cfRule type="cellIs" dxfId="13" priority="6" operator="equal">
      <formula>0</formula>
    </cfRule>
  </conditionalFormatting>
  <printOptions horizontalCentered="1"/>
  <pageMargins left="0.55138888888888904" right="0.15763888888888899" top="0.55138888888888904" bottom="0.15763888888888899" header="0.511811023622047" footer="0.15763888888888899"/>
  <pageSetup scale="80" fitToHeight="0" orientation="portrait" horizontalDpi="300" verticalDpi="300" r:id="rId1"/>
  <headerFooter>
    <oddFooter>&amp;L&amp;D&amp;R&amp;P/&amp;N</oddFooter>
  </headerFooter>
  <rowBreaks count="2" manualBreakCount="2">
    <brk id="49" max="16383" man="1"/>
    <brk id="10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filterMode="1">
    <tabColor rgb="FF0070C0"/>
    <pageSetUpPr fitToPage="1"/>
  </sheetPr>
  <dimension ref="A1:AMJ584"/>
  <sheetViews>
    <sheetView showGridLines="0" showZeros="0" topLeftCell="A67" zoomScale="85" zoomScaleNormal="85" workbookViewId="0">
      <selection activeCell="Q81" sqref="Q81"/>
    </sheetView>
  </sheetViews>
  <sheetFormatPr baseColWidth="10" defaultColWidth="11.5" defaultRowHeight="13" x14ac:dyDescent="0.15"/>
  <cols>
    <col min="1" max="1" width="5.5" style="1" customWidth="1"/>
    <col min="2" max="2" width="4.6640625" style="26" hidden="1" customWidth="1"/>
    <col min="3" max="3" width="14" style="26" customWidth="1"/>
    <col min="4" max="4" width="37" style="26" customWidth="1"/>
    <col min="5" max="5" width="19.1640625" style="1" customWidth="1"/>
    <col min="6" max="6" width="21.1640625" style="1" customWidth="1"/>
    <col min="7" max="7" width="13.5" style="1" customWidth="1"/>
    <col min="8" max="8" width="23.6640625" style="26" customWidth="1"/>
    <col min="9" max="9" width="11.83203125" style="26" hidden="1" customWidth="1"/>
    <col min="10" max="10" width="5.5" style="1" hidden="1" customWidth="1"/>
    <col min="11" max="11" width="10.33203125" style="2" hidden="1" customWidth="1"/>
    <col min="12" max="12" width="5.1640625" style="1" hidden="1" customWidth="1"/>
    <col min="13" max="13" width="5" style="1" hidden="1" customWidth="1"/>
    <col min="14" max="14" width="4.5" style="1" hidden="1" customWidth="1"/>
    <col min="15" max="15" width="5.83203125" style="860" hidden="1" customWidth="1"/>
    <col min="16" max="16" width="9.5" style="1" customWidth="1"/>
    <col min="17" max="17" width="7.5" style="1" customWidth="1"/>
    <col min="18" max="19" width="9.1640625" style="1" customWidth="1"/>
    <col min="20" max="20" width="11.5" style="1"/>
    <col min="21" max="21" width="9.6640625" style="1" hidden="1" customWidth="1"/>
    <col min="22" max="24" width="9.1640625" style="1" hidden="1" customWidth="1"/>
    <col min="25" max="25" width="15.5" style="1" hidden="1" customWidth="1"/>
    <col min="26" max="26" width="42.5" style="1" hidden="1" customWidth="1"/>
    <col min="27" max="27" width="9.1640625" style="1" hidden="1" customWidth="1"/>
    <col min="28" max="263" width="9.1640625" style="1" customWidth="1"/>
    <col min="264" max="1024" width="11.5" style="1"/>
  </cols>
  <sheetData>
    <row r="1" spans="2:26" ht="33.75" customHeight="1" x14ac:dyDescent="0.25">
      <c r="B1" s="1842" t="str">
        <f>IF(M1=2,"Données à reporter dans la prochaine année","Data to be reported in the Next Year")</f>
        <v>Data to be reported in the Next Year</v>
      </c>
      <c r="C1" s="1842"/>
      <c r="D1" s="1842"/>
      <c r="E1" s="1842"/>
      <c r="F1" s="1842"/>
      <c r="G1" s="1842"/>
      <c r="H1" s="1842"/>
      <c r="I1" s="779"/>
      <c r="M1" s="780">
        <f>'Set up ~ Config'!L10</f>
        <v>1</v>
      </c>
      <c r="N1" s="780"/>
      <c r="P1" s="21">
        <v>1</v>
      </c>
    </row>
    <row r="2" spans="2:26" ht="33.75" customHeight="1" x14ac:dyDescent="0.15">
      <c r="B2" s="872"/>
      <c r="C2" s="1598" t="str">
        <f>'Set up ~ Config'!B2</f>
        <v xml:space="preserve">SSC </v>
      </c>
      <c r="D2" s="1598"/>
      <c r="E2" s="1598"/>
      <c r="F2" s="1598"/>
      <c r="G2" s="1598"/>
      <c r="H2" s="1598"/>
      <c r="I2" s="779"/>
    </row>
    <row r="3" spans="2:26" s="2" customFormat="1" ht="46.5" customHeight="1" x14ac:dyDescent="0.15">
      <c r="B3" s="1850" t="e">
        <f>IF(M1=2,K11,K7)</f>
        <v>#VALUE!</v>
      </c>
      <c r="C3" s="1851"/>
      <c r="D3" s="1851"/>
      <c r="E3" s="1851"/>
      <c r="F3" s="1851"/>
      <c r="G3" s="1851"/>
      <c r="H3" s="1851"/>
      <c r="I3" s="781"/>
      <c r="J3" s="782"/>
      <c r="L3" s="783"/>
      <c r="O3" s="873"/>
      <c r="P3" s="1188"/>
      <c r="T3" s="20"/>
      <c r="V3" s="784">
        <f>M1</f>
        <v>1</v>
      </c>
      <c r="W3" s="785">
        <f>O3</f>
        <v>0</v>
      </c>
    </row>
    <row r="4" spans="2:26" s="2" customFormat="1" ht="39.75" customHeight="1" x14ac:dyDescent="0.15">
      <c r="B4" s="1845" t="str">
        <f>IF($M$1=2,IF(J78="True","Votre rapport balance et est prêt pour l’impression","Votre rapport ne balance pas"),IF(J78="True","Your report is balanced and ready to be printed","Your report is not balanced"))</f>
        <v>Your report is balanced and ready to be printed</v>
      </c>
      <c r="C4" s="1846"/>
      <c r="D4" s="1846"/>
      <c r="E4" s="1846"/>
      <c r="F4" s="1846"/>
      <c r="G4" s="1846"/>
      <c r="H4" s="1846"/>
      <c r="I4" s="651"/>
      <c r="J4" s="782"/>
      <c r="L4" s="783"/>
      <c r="M4" s="780"/>
      <c r="N4" s="780"/>
      <c r="O4" s="873"/>
      <c r="P4" s="783"/>
      <c r="T4" s="20"/>
      <c r="V4" s="784"/>
      <c r="W4" s="785"/>
    </row>
    <row r="5" spans="2:26" s="786" customFormat="1" ht="11.25" customHeight="1" thickBot="1" x14ac:dyDescent="0.2">
      <c r="B5" s="787"/>
      <c r="C5" s="787"/>
      <c r="D5" s="787"/>
      <c r="E5" s="787"/>
      <c r="F5" s="787"/>
      <c r="H5" s="788"/>
      <c r="I5" s="788"/>
      <c r="J5" s="789"/>
      <c r="L5" s="790"/>
      <c r="M5" s="791"/>
      <c r="N5" s="791"/>
      <c r="O5" s="874"/>
      <c r="P5" s="790"/>
      <c r="T5" s="792"/>
      <c r="V5" s="793"/>
      <c r="W5" s="794"/>
    </row>
    <row r="6" spans="2:26" s="786" customFormat="1" ht="25.5" customHeight="1" thickTop="1" thickBot="1" x14ac:dyDescent="0.2">
      <c r="B6" s="910" t="str">
        <f>'Set up ~ Config'!B41</f>
        <v>E-2 - Last Year's ACC9 Information (Informations on accounts)</v>
      </c>
      <c r="C6" s="1847" t="str">
        <f>'Set up ~ Config'!B41</f>
        <v>E-2 - Last Year's ACC9 Information (Informations on accounts)</v>
      </c>
      <c r="D6" s="1848"/>
      <c r="E6" s="1848"/>
      <c r="F6" s="1848"/>
      <c r="G6" s="1848"/>
      <c r="H6" s="1849"/>
      <c r="I6" s="788"/>
      <c r="J6" s="789"/>
      <c r="L6" s="790"/>
      <c r="M6" s="791"/>
      <c r="N6" s="791"/>
      <c r="O6" s="874"/>
      <c r="P6" s="790"/>
      <c r="T6" s="792"/>
      <c r="V6" s="793"/>
      <c r="W6" s="794"/>
    </row>
    <row r="7" spans="2:26" ht="18" customHeight="1" thickTop="1" x14ac:dyDescent="0.15">
      <c r="B7" s="1413" t="str">
        <f>'ACC9 (Page 7-8) Bal Sh~Bilan'!C7</f>
        <v>1000 - Current Assets:</v>
      </c>
      <c r="C7" s="1333"/>
      <c r="D7" s="1844"/>
      <c r="E7" s="1333"/>
      <c r="F7" s="900"/>
      <c r="J7" s="7"/>
      <c r="K7" s="1187" t="e">
        <f>CONCATENATE("Print out and transfer this information in the ACC9 'Set up' tab for the FY ",'Set up ~ Config'!G31," - ",'Set up ~ Config'!G31+1)</f>
        <v>#VALUE!</v>
      </c>
    </row>
    <row r="8" spans="2:26" ht="8.25" customHeight="1" x14ac:dyDescent="0.15">
      <c r="B8" s="894"/>
      <c r="C8" s="1359"/>
      <c r="D8" s="1843"/>
      <c r="E8" s="1359"/>
      <c r="F8" s="796"/>
      <c r="J8" s="7"/>
      <c r="K8" s="1187"/>
    </row>
    <row r="9" spans="2:26" ht="18" customHeight="1" x14ac:dyDescent="0.15">
      <c r="B9" s="1359" t="str">
        <f>CONCATENATE('ACC9 (Page 7-8) Bal Sh~Bilan'!$E8," - ",'ACC9 (Page 7-8) Bal Sh~Bilan'!$F8)</f>
        <v>1010 - Other Cash in hand</v>
      </c>
      <c r="C9" s="1359"/>
      <c r="D9" s="1843"/>
      <c r="E9" s="1360"/>
      <c r="F9" s="797">
        <f>'ACC9 (Page 7-8) Bal Sh~Bilan'!$M8</f>
        <v>0</v>
      </c>
      <c r="J9" s="7"/>
      <c r="K9" s="1187"/>
    </row>
    <row r="10" spans="2:26" ht="18" x14ac:dyDescent="0.15">
      <c r="B10" s="1359" t="str">
        <f>CONCATENATE('ACC9 (Page 7-8) Bal Sh~Bilan'!$E9," - ",'ACC9 (Page 7-8) Bal Sh~Bilan'!$F9)</f>
        <v>1015 - Main Bank Account</v>
      </c>
      <c r="C10" s="1359"/>
      <c r="D10" s="1843"/>
      <c r="E10" s="1360"/>
      <c r="F10" s="797">
        <f>'ACC9 (Page 7-8) Bal Sh~Bilan'!$M9</f>
        <v>0</v>
      </c>
      <c r="J10" s="7"/>
      <c r="K10" s="1187"/>
    </row>
    <row r="11" spans="2:26" ht="18" customHeight="1" x14ac:dyDescent="0.15">
      <c r="B11" s="1359" t="str">
        <f>CONCATENATE('ACC9 (Page 7-8) Bal Sh~Bilan'!$E10," - ",'ACC9 (Page 7-8) Bal Sh~Bilan'!$F10)</f>
        <v>1020 - Canteen</v>
      </c>
      <c r="C11" s="1359"/>
      <c r="D11" s="1843"/>
      <c r="E11" s="1360"/>
      <c r="F11" s="797">
        <f>'ACC9 (Page 7-8) Bal Sh~Bilan'!$M10</f>
        <v>0</v>
      </c>
      <c r="J11" s="7"/>
      <c r="K11" s="1187" t="e">
        <f>CONCATENATE("Imprimez ces renseignements et remplissez l'onglet 'Configuration' dans l'ACC9 pour l`année ",'Set up ~ Config'!G31," - ",'Set up ~ Config'!G31+1)</f>
        <v>#VALUE!</v>
      </c>
      <c r="Y11" s="1" t="s">
        <v>381</v>
      </c>
      <c r="Z11" s="25" t="s">
        <v>382</v>
      </c>
    </row>
    <row r="12" spans="2:26" ht="18" customHeight="1" x14ac:dyDescent="0.15">
      <c r="B12" s="1359" t="str">
        <f>CONCATENATE('ACC9 (Page 7-8) Bal Sh~Bilan'!$E11," - ",'ACC9 (Page 7-8) Bal Sh~Bilan'!$F11)</f>
        <v>1025 - Petty Cash</v>
      </c>
      <c r="C12" s="1359"/>
      <c r="D12" s="1843"/>
      <c r="E12" s="1360"/>
      <c r="F12" s="797">
        <f>'ACC9 (Page 7-8) Bal Sh~Bilan'!$M11</f>
        <v>0</v>
      </c>
      <c r="Y12" s="1" t="s">
        <v>383</v>
      </c>
      <c r="Z12" s="20" t="s">
        <v>384</v>
      </c>
    </row>
    <row r="13" spans="2:26" ht="18" x14ac:dyDescent="0.15">
      <c r="B13" s="1359" t="str">
        <f>CONCATENATE('ACC9 (Page 7-8) Bal Sh~Bilan'!$E12," - ",'ACC9 (Page 7-8) Bal Sh~Bilan'!$F12)</f>
        <v>1030 - Receivables - Short Term</v>
      </c>
      <c r="C13" s="1359"/>
      <c r="D13" s="1843"/>
      <c r="E13" s="1360"/>
      <c r="F13" s="797">
        <f>'ACC9 (Page 7-8) Bal Sh~Bilan'!$M12</f>
        <v>0</v>
      </c>
      <c r="Y13" s="1" t="s">
        <v>385</v>
      </c>
      <c r="Z13" s="12" t="s">
        <v>386</v>
      </c>
    </row>
    <row r="14" spans="2:26" ht="18" x14ac:dyDescent="0.15">
      <c r="B14" s="1359" t="str">
        <f>CONCATENATE('ACC9 (Page 7-8) Bal Sh~Bilan'!$E13," - ",'ACC9 (Page 7-8) Bal Sh~Bilan'!$F13)</f>
        <v>1035 - Available</v>
      </c>
      <c r="C14" s="1413"/>
      <c r="D14" s="1852"/>
      <c r="E14" s="1414"/>
      <c r="F14" s="797">
        <f>'ACC9 (Page 7-8) Bal Sh~Bilan'!$M13</f>
        <v>0</v>
      </c>
      <c r="T14" s="12"/>
      <c r="Y14" s="1" t="s">
        <v>387</v>
      </c>
      <c r="Z14" s="1" t="s">
        <v>388</v>
      </c>
    </row>
    <row r="15" spans="2:26" ht="18" customHeight="1" x14ac:dyDescent="0.15">
      <c r="B15" s="1359" t="str">
        <f>CONCATENATE('ACC9 (Page 7-8) Bal Sh~Bilan'!$E14," - ",'ACC9 (Page 7-8) Bal Sh~Bilan'!$F14)</f>
        <v>1040 - Available</v>
      </c>
      <c r="C15" s="1359"/>
      <c r="D15" s="1843"/>
      <c r="E15" s="1360"/>
      <c r="F15" s="797">
        <f>'ACC9 (Page 7-8) Bal Sh~Bilan'!$M14</f>
        <v>0</v>
      </c>
      <c r="Y15" s="12" t="s">
        <v>389</v>
      </c>
      <c r="Z15" s="20" t="s">
        <v>390</v>
      </c>
    </row>
    <row r="16" spans="2:26" ht="18" customHeight="1" x14ac:dyDescent="0.15">
      <c r="B16" s="1359" t="str">
        <f>CONCATENATE('ACC9 (Page 7-8) Bal Sh~Bilan'!$E15," - ",'ACC9 (Page 7-8) Bal Sh~Bilan'!$F15)</f>
        <v>1045 - Available</v>
      </c>
      <c r="C16" s="1359"/>
      <c r="D16" s="1843"/>
      <c r="E16" s="1360"/>
      <c r="F16" s="797">
        <f>'ACC9 (Page 7-8) Bal Sh~Bilan'!$M15</f>
        <v>0</v>
      </c>
      <c r="Y16" s="12" t="s">
        <v>391</v>
      </c>
      <c r="Z16" s="20" t="s">
        <v>392</v>
      </c>
    </row>
    <row r="17" spans="2:26" ht="18" customHeight="1" x14ac:dyDescent="0.15">
      <c r="B17" s="1359" t="str">
        <f>CONCATENATE('ACC9 (Page 7-8) Bal Sh~Bilan'!$E16," - ",'ACC9 (Page 7-8) Bal Sh~Bilan'!$F16)</f>
        <v>1050 - Available</v>
      </c>
      <c r="C17" s="1359"/>
      <c r="D17" s="1843"/>
      <c r="E17" s="1360"/>
      <c r="F17" s="797">
        <f>'ACC9 (Page 7-8) Bal Sh~Bilan'!$M16</f>
        <v>0</v>
      </c>
      <c r="Y17" s="12"/>
      <c r="Z17" s="20"/>
    </row>
    <row r="18" spans="2:26" ht="18" customHeight="1" x14ac:dyDescent="0.15">
      <c r="B18" s="1359" t="str">
        <f>CONCATENATE('ACC9 (Page 7-8) Bal Sh~Bilan'!$E17," - ",'ACC9 (Page 7-8) Bal Sh~Bilan'!$F17)</f>
        <v>1055 - Available</v>
      </c>
      <c r="C18" s="1359"/>
      <c r="D18" s="1843"/>
      <c r="E18" s="1360"/>
      <c r="F18" s="797">
        <f>'ACC9 (Page 7-8) Bal Sh~Bilan'!$M17</f>
        <v>0</v>
      </c>
      <c r="Y18" s="12"/>
      <c r="Z18" s="20"/>
    </row>
    <row r="19" spans="2:26" ht="18" customHeight="1" x14ac:dyDescent="0.15">
      <c r="B19" s="1359" t="str">
        <f>CONCATENATE('ACC9 (Page 7-8) Bal Sh~Bilan'!$E18," - ",'ACC9 (Page 7-8) Bal Sh~Bilan'!$F18)</f>
        <v>1060 - Available</v>
      </c>
      <c r="C19" s="1359"/>
      <c r="D19" s="1843"/>
      <c r="E19" s="1360"/>
      <c r="F19" s="797">
        <f>'ACC9 (Page 7-8) Bal Sh~Bilan'!$M18</f>
        <v>0</v>
      </c>
      <c r="Y19" s="12"/>
      <c r="Z19" s="20"/>
    </row>
    <row r="20" spans="2:26" ht="18" customHeight="1" x14ac:dyDescent="0.15">
      <c r="B20" s="1359" t="str">
        <f>CONCATENATE('ACC9 (Page 7-8) Bal Sh~Bilan'!$E19," - ",'ACC9 (Page 7-8) Bal Sh~Bilan'!$F19)</f>
        <v>1065 - Available</v>
      </c>
      <c r="C20" s="1359"/>
      <c r="D20" s="1843"/>
      <c r="E20" s="1360"/>
      <c r="F20" s="797">
        <f>'ACC9 (Page 7-8) Bal Sh~Bilan'!$M19</f>
        <v>0</v>
      </c>
      <c r="Y20" s="12"/>
      <c r="Z20" s="20"/>
    </row>
    <row r="21" spans="2:26" ht="18" customHeight="1" x14ac:dyDescent="0.15">
      <c r="B21" s="1359" t="str">
        <f>CONCATENATE('ACC9 (Page 7-8) Bal Sh~Bilan'!$E20," - ",'ACC9 (Page 7-8) Bal Sh~Bilan'!$F20)</f>
        <v>1070 - Available</v>
      </c>
      <c r="C21" s="1359"/>
      <c r="D21" s="1843"/>
      <c r="E21" s="1360"/>
      <c r="F21" s="797">
        <f>'ACC9 (Page 7-8) Bal Sh~Bilan'!$M20</f>
        <v>0</v>
      </c>
      <c r="Y21" s="12"/>
      <c r="Z21" s="20"/>
    </row>
    <row r="22" spans="2:26" ht="18" customHeight="1" x14ac:dyDescent="0.15">
      <c r="B22" s="1359" t="str">
        <f>CONCATENATE('ACC9 (Page 7-8) Bal Sh~Bilan'!$E21," - ",'ACC9 (Page 7-8) Bal Sh~Bilan'!$F21)</f>
        <v>1075 - Available</v>
      </c>
      <c r="C22" s="1359"/>
      <c r="D22" s="1843"/>
      <c r="E22" s="1360"/>
      <c r="F22" s="797">
        <f>'ACC9 (Page 7-8) Bal Sh~Bilan'!$M21</f>
        <v>0</v>
      </c>
      <c r="Y22" s="12"/>
      <c r="Z22" s="20"/>
    </row>
    <row r="23" spans="2:26" ht="18" customHeight="1" x14ac:dyDescent="0.15">
      <c r="B23" s="1359" t="str">
        <f>CONCATENATE('ACC9 (Page 7-8) Bal Sh~Bilan'!$E22," - ",'ACC9 (Page 7-8) Bal Sh~Bilan'!$F22)</f>
        <v>1080 - Available</v>
      </c>
      <c r="C23" s="1359"/>
      <c r="D23" s="1843"/>
      <c r="E23" s="1360"/>
      <c r="F23" s="797">
        <f>'ACC9 (Page 7-8) Bal Sh~Bilan'!$M22</f>
        <v>0</v>
      </c>
      <c r="Y23" s="12"/>
      <c r="Z23" s="20"/>
    </row>
    <row r="24" spans="2:26" ht="18" customHeight="1" x14ac:dyDescent="0.15">
      <c r="B24" s="1359" t="str">
        <f>CONCATENATE('ACC9 (Page 7-8) Bal Sh~Bilan'!$E23," - ",'ACC9 (Page 7-8) Bal Sh~Bilan'!$F23)</f>
        <v>1085 - Available</v>
      </c>
      <c r="C24" s="1359"/>
      <c r="D24" s="1843"/>
      <c r="E24" s="1360"/>
      <c r="F24" s="797">
        <f>'ACC9 (Page 7-8) Bal Sh~Bilan'!$M23</f>
        <v>0</v>
      </c>
      <c r="Y24" s="12"/>
      <c r="Z24" s="20"/>
    </row>
    <row r="25" spans="2:26" ht="18" customHeight="1" x14ac:dyDescent="0.15">
      <c r="B25" s="1359" t="str">
        <f>CONCATENATE('ACC9 (Page 7-8) Bal Sh~Bilan'!$E24," - ",'ACC9 (Page 7-8) Bal Sh~Bilan'!$F24)</f>
        <v>1090 - Available</v>
      </c>
      <c r="C25" s="1359"/>
      <c r="D25" s="1843"/>
      <c r="E25" s="1360"/>
      <c r="F25" s="797">
        <f>'ACC9 (Page 7-8) Bal Sh~Bilan'!$M24</f>
        <v>0</v>
      </c>
      <c r="Y25" s="12"/>
      <c r="Z25" s="20"/>
    </row>
    <row r="26" spans="2:26" ht="18" x14ac:dyDescent="0.15">
      <c r="B26" s="1359" t="str">
        <f>CONCATENATE('ACC9 (Page 7-8) Bal Sh~Bilan'!$E25," - ",'ACC9 (Page 7-8) Bal Sh~Bilan'!$F25)</f>
        <v>1095 - Available</v>
      </c>
      <c r="C26" s="1359"/>
      <c r="D26" s="1843"/>
      <c r="E26" s="1360"/>
      <c r="F26" s="797">
        <f>'ACC9 (Page 7-8) Bal Sh~Bilan'!$M25</f>
        <v>0</v>
      </c>
      <c r="Y26" s="12" t="s">
        <v>393</v>
      </c>
      <c r="Z26" s="12" t="s">
        <v>394</v>
      </c>
    </row>
    <row r="27" spans="2:26" ht="8.25" customHeight="1" x14ac:dyDescent="0.15">
      <c r="B27" s="894"/>
      <c r="C27" s="1359"/>
      <c r="D27" s="1843"/>
      <c r="E27" s="1359"/>
      <c r="F27" s="798"/>
      <c r="Y27" s="12"/>
      <c r="Z27" s="12"/>
    </row>
    <row r="28" spans="2:26" ht="18" x14ac:dyDescent="0.15">
      <c r="B28" s="1413" t="str">
        <f>'ACC9 (Page 7-8) Bal Sh~Bilan'!C27</f>
        <v>1200 - Long-Term Assets:</v>
      </c>
      <c r="C28" s="1333"/>
      <c r="D28" s="1844"/>
      <c r="E28" s="1333"/>
      <c r="F28" s="795"/>
      <c r="Y28" s="12" t="s">
        <v>395</v>
      </c>
      <c r="Z28" s="1" t="s">
        <v>396</v>
      </c>
    </row>
    <row r="29" spans="2:26" ht="8.25" customHeight="1" x14ac:dyDescent="0.15">
      <c r="B29" s="894"/>
      <c r="C29" s="1359"/>
      <c r="D29" s="1843"/>
      <c r="E29" s="1359"/>
      <c r="F29" s="796"/>
      <c r="Y29" s="12"/>
    </row>
    <row r="30" spans="2:26" ht="18" x14ac:dyDescent="0.15">
      <c r="B30" s="1359" t="str">
        <f>CONCATENATE('ACC9 (Page 7-8) Bal Sh~Bilan'!$E28," - ",'ACC9 (Page 7-8) Bal Sh~Bilan'!$F28)</f>
        <v>1210 - Investments GICs</v>
      </c>
      <c r="C30" s="1359"/>
      <c r="D30" s="1843"/>
      <c r="E30" s="1360"/>
      <c r="F30" s="797">
        <f>'ACC9 (Page 7-8) Bal Sh~Bilan'!M28</f>
        <v>0</v>
      </c>
      <c r="Y30" s="12"/>
    </row>
    <row r="31" spans="2:26" ht="18" x14ac:dyDescent="0.15">
      <c r="B31" s="1359" t="str">
        <f>CONCATENATE('ACC9 (Page 7-8) Bal Sh~Bilan'!$E29," - ",'ACC9 (Page 7-8) Bal Sh~Bilan'!$F29)</f>
        <v>1220 - Investments (Mutual Funds and such)</v>
      </c>
      <c r="C31" s="1359"/>
      <c r="D31" s="1843"/>
      <c r="E31" s="1360"/>
      <c r="F31" s="797">
        <f>'ACC9 (Page 7-8) Bal Sh~Bilan'!M29</f>
        <v>0</v>
      </c>
      <c r="Y31" s="12"/>
    </row>
    <row r="32" spans="2:26" ht="18" x14ac:dyDescent="0.15">
      <c r="B32" s="1359" t="str">
        <f>CONCATENATE('ACC9 (Page 7-8) Bal Sh~Bilan'!$E30," - ",'ACC9 (Page 7-8) Bal Sh~Bilan'!$F30)</f>
        <v>1230 - Available</v>
      </c>
      <c r="C32" s="1359"/>
      <c r="D32" s="1843"/>
      <c r="E32" s="1360"/>
      <c r="F32" s="797">
        <f>'ACC9 (Page 7-8) Bal Sh~Bilan'!M30</f>
        <v>0</v>
      </c>
      <c r="Y32" s="12"/>
    </row>
    <row r="33" spans="2:25" ht="18" x14ac:dyDescent="0.15">
      <c r="B33" s="1359" t="str">
        <f>CONCATENATE('ACC9 (Page 7-8) Bal Sh~Bilan'!$E31," - ",'ACC9 (Page 7-8) Bal Sh~Bilan'!$F31)</f>
        <v>1240 - Available</v>
      </c>
      <c r="C33" s="1359"/>
      <c r="D33" s="1843"/>
      <c r="E33" s="1360"/>
      <c r="F33" s="797">
        <f>'ACC9 (Page 7-8) Bal Sh~Bilan'!M31</f>
        <v>0</v>
      </c>
      <c r="Y33" s="12"/>
    </row>
    <row r="34" spans="2:25" ht="18" x14ac:dyDescent="0.15">
      <c r="B34" s="1359" t="str">
        <f>CONCATENATE('ACC9 (Page 7-8) Bal Sh~Bilan'!$E32," - ",'ACC9 (Page 7-8) Bal Sh~Bilan'!$F32)</f>
        <v>1250 - Available</v>
      </c>
      <c r="C34" s="1359"/>
      <c r="D34" s="1843"/>
      <c r="E34" s="1360"/>
      <c r="F34" s="797">
        <f>'ACC9 (Page 7-8) Bal Sh~Bilan'!M32</f>
        <v>0</v>
      </c>
      <c r="Y34" s="12"/>
    </row>
    <row r="35" spans="2:25" ht="18" x14ac:dyDescent="0.15">
      <c r="B35" s="1359" t="str">
        <f>CONCATENATE('ACC9 (Page 7-8) Bal Sh~Bilan'!$E33," - ",'ACC9 (Page 7-8) Bal Sh~Bilan'!$F33)</f>
        <v>1260 - Available</v>
      </c>
      <c r="C35" s="1359"/>
      <c r="D35" s="1843"/>
      <c r="E35" s="1360"/>
      <c r="F35" s="797">
        <f>'ACC9 (Page 7-8) Bal Sh~Bilan'!M33</f>
        <v>0</v>
      </c>
      <c r="Y35" s="12"/>
    </row>
    <row r="36" spans="2:25" ht="18" x14ac:dyDescent="0.15">
      <c r="B36" s="1359" t="str">
        <f>CONCATENATE('ACC9 (Page 7-8) Bal Sh~Bilan'!$E34," - ",'ACC9 (Page 7-8) Bal Sh~Bilan'!$F34)</f>
        <v>1270 - Available</v>
      </c>
      <c r="C36" s="1359"/>
      <c r="D36" s="1843"/>
      <c r="E36" s="1360"/>
      <c r="F36" s="797">
        <f>'ACC9 (Page 7-8) Bal Sh~Bilan'!M34</f>
        <v>0</v>
      </c>
      <c r="Y36" s="12"/>
    </row>
    <row r="37" spans="2:25" ht="18" x14ac:dyDescent="0.15">
      <c r="B37" s="1359" t="str">
        <f>CONCATENATE('ACC9 (Page 7-8) Bal Sh~Bilan'!$E35," - ",'ACC9 (Page 7-8) Bal Sh~Bilan'!$F35)</f>
        <v>1280 - Available</v>
      </c>
      <c r="C37" s="1359"/>
      <c r="D37" s="1843"/>
      <c r="E37" s="1360"/>
      <c r="F37" s="797">
        <f>'ACC9 (Page 7-8) Bal Sh~Bilan'!M35</f>
        <v>0</v>
      </c>
      <c r="Y37" s="12"/>
    </row>
    <row r="38" spans="2:25" ht="18" x14ac:dyDescent="0.15">
      <c r="B38" s="1359" t="str">
        <f>CONCATENATE('ACC9 (Page 7-8) Bal Sh~Bilan'!$E36," - ",'ACC9 (Page 7-8) Bal Sh~Bilan'!$F36)</f>
        <v>1290 - Available</v>
      </c>
      <c r="C38" s="1359"/>
      <c r="D38" s="1843"/>
      <c r="E38" s="1360"/>
      <c r="F38" s="797">
        <f>'ACC9 (Page 7-8) Bal Sh~Bilan'!M36</f>
        <v>0</v>
      </c>
      <c r="Y38" s="12"/>
    </row>
    <row r="39" spans="2:25" ht="8.25" customHeight="1" x14ac:dyDescent="0.15">
      <c r="B39" s="894"/>
      <c r="C39" s="1359"/>
      <c r="D39" s="1843"/>
      <c r="E39" s="1359"/>
      <c r="F39" s="798"/>
      <c r="Y39" s="12"/>
    </row>
    <row r="40" spans="2:25" ht="18" customHeight="1" x14ac:dyDescent="0.15">
      <c r="Y40" s="12"/>
    </row>
    <row r="41" spans="2:25" ht="8.25" customHeight="1" x14ac:dyDescent="0.15">
      <c r="B41" s="894"/>
      <c r="C41" s="777"/>
      <c r="D41" s="775"/>
      <c r="E41" s="777"/>
      <c r="F41" s="795"/>
      <c r="Y41" s="12"/>
    </row>
    <row r="42" spans="2:25" ht="8.25" customHeight="1" x14ac:dyDescent="0.15">
      <c r="B42" s="894"/>
      <c r="C42" s="777"/>
      <c r="D42" s="775"/>
      <c r="E42" s="777"/>
      <c r="F42" s="795"/>
      <c r="Y42" s="12"/>
    </row>
    <row r="43" spans="2:25" ht="18" x14ac:dyDescent="0.15">
      <c r="B43" s="1413" t="str">
        <f>'ACC9 (Page 7-8) Bal Sh~Bilan'!C59</f>
        <v>2000 - Current Liabilities:</v>
      </c>
      <c r="C43" s="1413"/>
      <c r="D43" s="1852"/>
      <c r="E43" s="1413"/>
      <c r="F43" s="795"/>
      <c r="Y43" s="12"/>
    </row>
    <row r="44" spans="2:25" ht="8.25" customHeight="1" x14ac:dyDescent="0.15">
      <c r="B44" s="894"/>
      <c r="C44" s="1359"/>
      <c r="D44" s="1843"/>
      <c r="E44" s="1359"/>
      <c r="F44" s="796"/>
      <c r="Y44" s="12"/>
    </row>
    <row r="45" spans="2:25" ht="18" x14ac:dyDescent="0.15">
      <c r="B45" s="1359" t="str">
        <f>CONCATENATE('ACC9 (Page 7-8) Bal Sh~Bilan'!$E60," - ",'ACC9 (Page 7-8) Bal Sh~Bilan'!$F60)</f>
        <v>2010 - Credit Card</v>
      </c>
      <c r="C45" s="1359"/>
      <c r="D45" s="1843"/>
      <c r="E45" s="1360"/>
      <c r="F45" s="797">
        <f>'ACC9 (Page 7-8) Bal Sh~Bilan'!M60</f>
        <v>0</v>
      </c>
      <c r="Y45" s="12"/>
    </row>
    <row r="46" spans="2:25" ht="18" x14ac:dyDescent="0.15">
      <c r="B46" s="1359" t="str">
        <f>CONCATENATE('ACC9 (Page 7-8) Bal Sh~Bilan'!$E61," - ",'ACC9 (Page 7-8) Bal Sh~Bilan'!$F61)</f>
        <v>2020 - Payables - Short Terms</v>
      </c>
      <c r="C46" s="1359"/>
      <c r="D46" s="1843"/>
      <c r="E46" s="1360"/>
      <c r="F46" s="797">
        <f>'ACC9 (Page 7-8) Bal Sh~Bilan'!M61</f>
        <v>0</v>
      </c>
      <c r="Y46" s="12"/>
    </row>
    <row r="47" spans="2:25" ht="18" x14ac:dyDescent="0.15">
      <c r="B47" s="1359" t="str">
        <f>CONCATENATE('ACC9 (Page 7-8) Bal Sh~Bilan'!$E62," - ",'ACC9 (Page 7-8) Bal Sh~Bilan'!$F62)</f>
        <v>2030 - Available</v>
      </c>
      <c r="C47" s="1359"/>
      <c r="D47" s="1843"/>
      <c r="E47" s="1360"/>
      <c r="F47" s="797">
        <f>'ACC9 (Page 7-8) Bal Sh~Bilan'!M62</f>
        <v>0</v>
      </c>
      <c r="Y47" s="12"/>
    </row>
    <row r="48" spans="2:25" ht="18" x14ac:dyDescent="0.15">
      <c r="B48" s="1359" t="str">
        <f>CONCATENATE('ACC9 (Page 7-8) Bal Sh~Bilan'!$E63," - ",'ACC9 (Page 7-8) Bal Sh~Bilan'!$F63)</f>
        <v>2040 - Available</v>
      </c>
      <c r="C48" s="1359"/>
      <c r="D48" s="1843"/>
      <c r="E48" s="1360"/>
      <c r="F48" s="797">
        <f>'ACC9 (Page 7-8) Bal Sh~Bilan'!M63</f>
        <v>0</v>
      </c>
      <c r="Y48" s="12"/>
    </row>
    <row r="49" spans="2:25" ht="18" x14ac:dyDescent="0.15">
      <c r="B49" s="1359" t="str">
        <f>CONCATENATE('ACC9 (Page 7-8) Bal Sh~Bilan'!$E64," - ",'ACC9 (Page 7-8) Bal Sh~Bilan'!$F64)</f>
        <v>2050 - Available</v>
      </c>
      <c r="C49" s="1359"/>
      <c r="D49" s="1843"/>
      <c r="E49" s="1360"/>
      <c r="F49" s="797">
        <f>'ACC9 (Page 7-8) Bal Sh~Bilan'!M64</f>
        <v>0</v>
      </c>
      <c r="Y49" s="12"/>
    </row>
    <row r="50" spans="2:25" ht="18" x14ac:dyDescent="0.15">
      <c r="B50" s="1359" t="str">
        <f>CONCATENATE('ACC9 (Page 7-8) Bal Sh~Bilan'!$E65," - ",'ACC9 (Page 7-8) Bal Sh~Bilan'!$F65)</f>
        <v>2060 - Available</v>
      </c>
      <c r="C50" s="1413"/>
      <c r="D50" s="1852"/>
      <c r="E50" s="1414"/>
      <c r="F50" s="797">
        <f>'ACC9 (Page 7-8) Bal Sh~Bilan'!M65</f>
        <v>0</v>
      </c>
      <c r="Y50" s="12"/>
    </row>
    <row r="51" spans="2:25" ht="18" x14ac:dyDescent="0.15">
      <c r="B51" s="1359" t="str">
        <f>CONCATENATE('ACC9 (Page 7-8) Bal Sh~Bilan'!$E66," - ",'ACC9 (Page 7-8) Bal Sh~Bilan'!$F66)</f>
        <v>2070 - Available</v>
      </c>
      <c r="C51" s="1359"/>
      <c r="D51" s="1843"/>
      <c r="E51" s="1360"/>
      <c r="F51" s="797">
        <f>'ACC9 (Page 7-8) Bal Sh~Bilan'!M66</f>
        <v>0</v>
      </c>
      <c r="Y51" s="12"/>
    </row>
    <row r="52" spans="2:25" ht="18" x14ac:dyDescent="0.15">
      <c r="B52" s="1359" t="str">
        <f>CONCATENATE('ACC9 (Page 7-8) Bal Sh~Bilan'!$E67," - ",'ACC9 (Page 7-8) Bal Sh~Bilan'!$F67)</f>
        <v>2080 - Available</v>
      </c>
      <c r="C52" s="1359"/>
      <c r="D52" s="1843"/>
      <c r="E52" s="1360"/>
      <c r="F52" s="797">
        <f>'ACC9 (Page 7-8) Bal Sh~Bilan'!M67</f>
        <v>0</v>
      </c>
      <c r="Y52" s="12"/>
    </row>
    <row r="53" spans="2:25" ht="18" x14ac:dyDescent="0.15">
      <c r="B53" s="1359" t="str">
        <f>CONCATENATE('ACC9 (Page 7-8) Bal Sh~Bilan'!$E68," - ",'ACC9 (Page 7-8) Bal Sh~Bilan'!$F68)</f>
        <v>2090 - Available</v>
      </c>
      <c r="C53" s="1359"/>
      <c r="D53" s="1843"/>
      <c r="E53" s="1360"/>
      <c r="F53" s="797">
        <f>'ACC9 (Page 7-8) Bal Sh~Bilan'!M68</f>
        <v>0</v>
      </c>
      <c r="Y53" s="12"/>
    </row>
    <row r="54" spans="2:25" ht="8.25" customHeight="1" x14ac:dyDescent="0.15">
      <c r="B54" s="894"/>
      <c r="C54" s="1359"/>
      <c r="D54" s="1843"/>
      <c r="E54" s="1359"/>
      <c r="F54" s="798"/>
      <c r="Y54" s="12"/>
    </row>
    <row r="55" spans="2:25" ht="18" x14ac:dyDescent="0.15">
      <c r="B55" s="1413" t="str">
        <f>'ACC9 (Page 7-8) Bal Sh~Bilan'!C70</f>
        <v>2200 - Long-Term Debts:</v>
      </c>
      <c r="C55" s="1413"/>
      <c r="D55" s="1852"/>
      <c r="E55" s="1413"/>
      <c r="F55" s="795"/>
      <c r="Y55" s="12"/>
    </row>
    <row r="56" spans="2:25" ht="8.25" customHeight="1" x14ac:dyDescent="0.15">
      <c r="B56" s="894"/>
      <c r="C56" s="1359"/>
      <c r="D56" s="1843"/>
      <c r="E56" s="1359"/>
      <c r="F56" s="796"/>
      <c r="Y56" s="12"/>
    </row>
    <row r="57" spans="2:25" ht="18" x14ac:dyDescent="0.15">
      <c r="B57" s="1359" t="str">
        <f>CONCATENATE('ACC9 (Page 7-8) Bal Sh~Bilan'!$E71," - ",'ACC9 (Page 7-8) Bal Sh~Bilan'!$F71)</f>
        <v>2210 - Mortgage</v>
      </c>
      <c r="C57" s="1359"/>
      <c r="D57" s="1843"/>
      <c r="E57" s="1360"/>
      <c r="F57" s="797">
        <f>'ACC9 (Page 7-8) Bal Sh~Bilan'!M71</f>
        <v>0</v>
      </c>
      <c r="Y57" s="12"/>
    </row>
    <row r="58" spans="2:25" ht="18" x14ac:dyDescent="0.15">
      <c r="B58" s="1359" t="str">
        <f>CONCATENATE('ACC9 (Page 7-8) Bal Sh~Bilan'!$E72," - ",'ACC9 (Page 7-8) Bal Sh~Bilan'!$F72)</f>
        <v>2220 - Bank Loan</v>
      </c>
      <c r="C58" s="1359"/>
      <c r="D58" s="1843"/>
      <c r="E58" s="1360"/>
      <c r="F58" s="797">
        <f>'ACC9 (Page 7-8) Bal Sh~Bilan'!M72</f>
        <v>0</v>
      </c>
      <c r="Y58" s="12"/>
    </row>
    <row r="59" spans="2:25" ht="18" x14ac:dyDescent="0.15">
      <c r="B59" s="1359" t="str">
        <f>CONCATENATE('ACC9 (Page 7-8) Bal Sh~Bilan'!$E73," - ",'ACC9 (Page 7-8) Bal Sh~Bilan'!$F73)</f>
        <v>2230 - Available</v>
      </c>
      <c r="C59" s="1359"/>
      <c r="D59" s="1843"/>
      <c r="E59" s="1360"/>
      <c r="F59" s="797">
        <f>'ACC9 (Page 7-8) Bal Sh~Bilan'!M73</f>
        <v>0</v>
      </c>
      <c r="Y59" s="12"/>
    </row>
    <row r="60" spans="2:25" ht="18" x14ac:dyDescent="0.15">
      <c r="B60" s="1359" t="str">
        <f>CONCATENATE('ACC9 (Page 7-8) Bal Sh~Bilan'!$E74," - ",'ACC9 (Page 7-8) Bal Sh~Bilan'!$F74)</f>
        <v>2240 - Available</v>
      </c>
      <c r="C60" s="1359"/>
      <c r="D60" s="1843"/>
      <c r="E60" s="1360"/>
      <c r="F60" s="797">
        <f>'ACC9 (Page 7-8) Bal Sh~Bilan'!M74</f>
        <v>0</v>
      </c>
      <c r="Y60" s="12"/>
    </row>
    <row r="61" spans="2:25" ht="18" x14ac:dyDescent="0.15">
      <c r="B61" s="1359" t="str">
        <f>CONCATENATE('ACC9 (Page 7-8) Bal Sh~Bilan'!$E75," - ",'ACC9 (Page 7-8) Bal Sh~Bilan'!$F75)</f>
        <v>2250 - Available</v>
      </c>
      <c r="C61" s="1359"/>
      <c r="D61" s="1843"/>
      <c r="E61" s="1360"/>
      <c r="F61" s="797">
        <f>'ACC9 (Page 7-8) Bal Sh~Bilan'!M75</f>
        <v>0</v>
      </c>
      <c r="Y61" s="12"/>
    </row>
    <row r="62" spans="2:25" ht="18" x14ac:dyDescent="0.15">
      <c r="B62" s="1359" t="str">
        <f>CONCATENATE('ACC9 (Page 7-8) Bal Sh~Bilan'!$E76," - ",'ACC9 (Page 7-8) Bal Sh~Bilan'!$F76)</f>
        <v>2260 - Available</v>
      </c>
      <c r="C62" s="1359"/>
      <c r="D62" s="1843"/>
      <c r="E62" s="1360"/>
      <c r="F62" s="797">
        <f>'ACC9 (Page 7-8) Bal Sh~Bilan'!M76</f>
        <v>0</v>
      </c>
      <c r="Y62" s="12"/>
    </row>
    <row r="63" spans="2:25" ht="18" x14ac:dyDescent="0.15">
      <c r="B63" s="1359" t="str">
        <f>CONCATENATE('ACC9 (Page 7-8) Bal Sh~Bilan'!$E77," - ",'ACC9 (Page 7-8) Bal Sh~Bilan'!$F77)</f>
        <v>2270 - Available</v>
      </c>
      <c r="C63" s="1359"/>
      <c r="D63" s="1843"/>
      <c r="E63" s="1360"/>
      <c r="F63" s="797">
        <f>'ACC9 (Page 7-8) Bal Sh~Bilan'!M77</f>
        <v>0</v>
      </c>
      <c r="Y63" s="12"/>
    </row>
    <row r="64" spans="2:25" ht="18" x14ac:dyDescent="0.15">
      <c r="B64" s="1359" t="str">
        <f>CONCATENATE('ACC9 (Page 7-8) Bal Sh~Bilan'!$E78," - ",'ACC9 (Page 7-8) Bal Sh~Bilan'!$F78)</f>
        <v>2280 - Available</v>
      </c>
      <c r="C64" s="1359"/>
      <c r="D64" s="1843"/>
      <c r="E64" s="1360"/>
      <c r="F64" s="797">
        <f>'ACC9 (Page 7-8) Bal Sh~Bilan'!M78</f>
        <v>0</v>
      </c>
      <c r="Y64" s="12"/>
    </row>
    <row r="65" spans="2:25" ht="18" x14ac:dyDescent="0.15">
      <c r="B65" s="1359" t="str">
        <f>CONCATENATE('ACC9 (Page 7-8) Bal Sh~Bilan'!$E79," - ",'ACC9 (Page 7-8) Bal Sh~Bilan'!$F79)</f>
        <v>2290 - Available</v>
      </c>
      <c r="C65" s="1359"/>
      <c r="D65" s="1843"/>
      <c r="E65" s="1360"/>
      <c r="F65" s="797">
        <f>'ACC9 (Page 7-8) Bal Sh~Bilan'!M79</f>
        <v>0</v>
      </c>
      <c r="Y65" s="12"/>
    </row>
    <row r="66" spans="2:25" ht="19" thickBot="1" x14ac:dyDescent="0.2">
      <c r="B66" s="777"/>
      <c r="C66" s="777"/>
      <c r="D66" s="775"/>
      <c r="E66" s="777"/>
      <c r="F66" s="900"/>
      <c r="Y66" s="12"/>
    </row>
    <row r="67" spans="2:25" ht="24.75" customHeight="1" thickTop="1" thickBot="1" x14ac:dyDescent="0.2">
      <c r="B67" s="777"/>
      <c r="C67" s="1855" t="str">
        <f>'Set up ~ Config'!B96</f>
        <v>E-3 - Last Year's ACC9 Information</v>
      </c>
      <c r="D67" s="1856"/>
      <c r="E67" s="1856"/>
      <c r="F67" s="1856"/>
      <c r="G67" s="1856"/>
      <c r="H67" s="1857"/>
      <c r="Y67" s="12"/>
    </row>
    <row r="68" spans="2:25" ht="24.75" customHeight="1" thickTop="1" x14ac:dyDescent="0.15">
      <c r="B68" s="777"/>
      <c r="C68" s="864"/>
      <c r="D68" s="864"/>
      <c r="E68" s="864"/>
      <c r="F68" s="864"/>
      <c r="G68" s="864"/>
      <c r="H68" s="864"/>
      <c r="Y68" s="12"/>
    </row>
    <row r="69" spans="2:25" ht="18" x14ac:dyDescent="0.15">
      <c r="B69" s="1862" t="str">
        <f>'Set up ~ Config'!C98</f>
        <v>Total Assets (line 1900)</v>
      </c>
      <c r="C69" s="1860"/>
      <c r="D69" s="1860"/>
      <c r="E69" s="1860"/>
      <c r="F69" s="1860"/>
      <c r="G69" s="1861"/>
      <c r="H69" s="801">
        <f>'ACC9 (Page 7-8) Bal Sh~Bilan'!N56</f>
        <v>0</v>
      </c>
      <c r="Y69" s="12"/>
    </row>
    <row r="70" spans="2:25" ht="18" x14ac:dyDescent="0.15">
      <c r="B70" s="902"/>
      <c r="C70" s="903"/>
      <c r="D70" s="904"/>
      <c r="E70" s="904"/>
      <c r="F70" s="894"/>
      <c r="G70" s="909"/>
      <c r="H70" s="218"/>
      <c r="Y70" s="12"/>
    </row>
    <row r="71" spans="2:25" ht="18" customHeight="1" x14ac:dyDescent="0.15">
      <c r="B71" s="1853" t="str">
        <f>'Set up ~ Config'!C99</f>
        <v>Retained Earnings (line 3100)</v>
      </c>
      <c r="C71" s="1853"/>
      <c r="D71" s="1853"/>
      <c r="E71" s="1853"/>
      <c r="F71" s="1853"/>
      <c r="G71" s="1854"/>
      <c r="H71" s="926">
        <f>'ACC9 (Page 7-8) Bal Sh~Bilan'!M85</f>
        <v>0</v>
      </c>
    </row>
    <row r="72" spans="2:25" ht="19" x14ac:dyDescent="0.15">
      <c r="B72" s="902"/>
      <c r="C72" s="903"/>
      <c r="D72" s="905"/>
      <c r="E72" s="905"/>
      <c r="F72" s="894"/>
      <c r="H72" s="799" t="s">
        <v>472</v>
      </c>
    </row>
    <row r="73" spans="2:25" s="2" customFormat="1" ht="18" customHeight="1" x14ac:dyDescent="0.15">
      <c r="B73" s="1853" t="str">
        <f>'Set up ~ Config'!B100</f>
        <v>Surplus/Deficit Revenue over Expenditures (line 3110)</v>
      </c>
      <c r="C73" s="1853"/>
      <c r="D73" s="1853"/>
      <c r="E73" s="1853"/>
      <c r="F73" s="1853"/>
      <c r="G73" s="1854"/>
      <c r="H73" s="926">
        <f>'ACC9 (Page 7-8) Bal Sh~Bilan'!M86</f>
        <v>0</v>
      </c>
      <c r="I73" s="651"/>
      <c r="O73" s="873"/>
    </row>
    <row r="74" spans="2:25" s="2" customFormat="1" ht="18" customHeight="1" x14ac:dyDescent="0.15">
      <c r="B74" s="906"/>
      <c r="C74" s="907"/>
      <c r="D74" s="905"/>
      <c r="E74" s="905"/>
      <c r="F74" s="908"/>
      <c r="H74" s="799" t="s">
        <v>472</v>
      </c>
      <c r="I74" s="651"/>
      <c r="O74" s="873"/>
    </row>
    <row r="75" spans="2:25" ht="18" customHeight="1" x14ac:dyDescent="0.15">
      <c r="B75" s="1853" t="str">
        <f>'Set up ~ Config'!C101</f>
        <v xml:space="preserve"> Current Liability (outstanding debt) (line 2400)</v>
      </c>
      <c r="C75" s="1853"/>
      <c r="D75" s="1853"/>
      <c r="E75" s="1853"/>
      <c r="F75" s="1853"/>
      <c r="G75" s="1854"/>
      <c r="H75" s="926">
        <f>'ACC9 (Page 7-8) Bal Sh~Bilan'!N81</f>
        <v>0</v>
      </c>
    </row>
    <row r="76" spans="2:25" ht="19" x14ac:dyDescent="0.15">
      <c r="B76" s="902"/>
      <c r="C76" s="903"/>
      <c r="D76" s="905"/>
      <c r="E76" s="905"/>
      <c r="F76" s="894"/>
      <c r="H76" s="799" t="s">
        <v>472</v>
      </c>
    </row>
    <row r="77" spans="2:25" s="2" customFormat="1" ht="17.25" customHeight="1" x14ac:dyDescent="0.15">
      <c r="B77" s="1860" t="str">
        <f>'Set up ~ Config'!C102</f>
        <v>Integer rounding adjustment (if used last year)</v>
      </c>
      <c r="C77" s="1860"/>
      <c r="D77" s="1860"/>
      <c r="E77" s="1860"/>
      <c r="F77" s="1860"/>
      <c r="G77" s="1861"/>
      <c r="H77" s="926">
        <f>'ACC9 (Page 7-8) Bal Sh~Bilan'!M87</f>
        <v>0</v>
      </c>
      <c r="I77" s="800"/>
      <c r="J77" s="476">
        <f>'ACC9 (Page 7-8) Bal Sh~Bilan'!Q80</f>
        <v>0</v>
      </c>
      <c r="K77" s="776"/>
      <c r="O77" s="873"/>
    </row>
    <row r="78" spans="2:25" ht="19" x14ac:dyDescent="0.15">
      <c r="B78" s="902"/>
      <c r="C78" s="907"/>
      <c r="D78" s="907"/>
      <c r="E78" s="907"/>
      <c r="F78" s="894"/>
      <c r="H78" s="925" t="s">
        <v>468</v>
      </c>
      <c r="I78" s="800"/>
      <c r="J78" s="1" t="str">
        <f>IF(J77=0,"True","False")</f>
        <v>True</v>
      </c>
      <c r="K78" s="776"/>
    </row>
    <row r="79" spans="2:25" ht="18" customHeight="1" x14ac:dyDescent="0.15">
      <c r="B79" s="1860" t="str">
        <f>IF(M1=2,"Total du passif et de l'avoir","Total Liabilities and Equity")</f>
        <v>Total Liabilities and Equity</v>
      </c>
      <c r="C79" s="1860"/>
      <c r="D79" s="1860"/>
      <c r="E79" s="1860"/>
      <c r="F79" s="1860"/>
      <c r="G79" s="1861"/>
      <c r="H79" s="901">
        <f>SUM(H71,H73,H75,H77)</f>
        <v>0</v>
      </c>
    </row>
    <row r="80" spans="2:25" ht="18" customHeight="1" thickBot="1" x14ac:dyDescent="0.2">
      <c r="C80" s="19"/>
      <c r="D80" s="19"/>
      <c r="E80" s="802"/>
      <c r="F80" s="607"/>
      <c r="H80" s="800"/>
      <c r="I80" s="800"/>
      <c r="J80" s="7"/>
      <c r="L80" s="2"/>
      <c r="M80" s="2"/>
      <c r="N80" s="2"/>
      <c r="O80" s="873"/>
    </row>
    <row r="81" spans="2:15" ht="48" customHeight="1" thickTop="1" thickBot="1" x14ac:dyDescent="0.2">
      <c r="C81" s="1858" t="str">
        <f>'Set up ~ Config'!B105</f>
        <v>E-4 - Cheques processed in previous year</v>
      </c>
      <c r="D81" s="1859"/>
      <c r="E81" s="1859"/>
      <c r="F81" s="1859"/>
      <c r="G81" s="1859"/>
      <c r="H81" s="1307" t="str">
        <f>IF(M1=2,"Cliquez une coche et re-cochez pour mettre à jour","Tick a box and tick it again to update")</f>
        <v>Tick a box and tick it again to update</v>
      </c>
      <c r="I81" s="866"/>
      <c r="J81" s="867"/>
      <c r="K81" s="867"/>
      <c r="L81" s="899"/>
      <c r="M81" s="873"/>
      <c r="O81" s="1"/>
    </row>
    <row r="82" spans="2:15" ht="31" thickBot="1" x14ac:dyDescent="0.2">
      <c r="C82" s="927" t="str">
        <f>'Set up ~ Config'!C107</f>
        <v>Ref #</v>
      </c>
      <c r="D82" s="928" t="str">
        <f>'Set up ~ Config'!D107</f>
        <v>Paid to</v>
      </c>
      <c r="E82" s="929" t="str">
        <f>'Set up ~ Config'!G107</f>
        <v>Amount</v>
      </c>
      <c r="F82" s="930" t="str">
        <f>'Set up ~ Config'!H107</f>
        <v>Date
(yyyy-mm-dd)</v>
      </c>
      <c r="G82" s="931">
        <f>'Set up ~ Config'!I107</f>
        <v>0</v>
      </c>
      <c r="H82" s="935"/>
      <c r="I82" s="876"/>
      <c r="J82" s="897"/>
      <c r="K82" s="897"/>
      <c r="L82" s="899"/>
      <c r="M82" s="873"/>
      <c r="O82" s="1"/>
    </row>
    <row r="83" spans="2:15" ht="16" thickBot="1" x14ac:dyDescent="0.2">
      <c r="C83" s="932" t="s">
        <v>525</v>
      </c>
      <c r="D83" s="933" t="s">
        <v>525</v>
      </c>
      <c r="E83" s="933" t="s">
        <v>525</v>
      </c>
      <c r="F83" s="934" t="s">
        <v>525</v>
      </c>
      <c r="G83" s="933" t="s">
        <v>525</v>
      </c>
      <c r="H83" s="924" t="s">
        <v>525</v>
      </c>
      <c r="I83" s="876"/>
      <c r="J83" s="876"/>
      <c r="K83" s="876"/>
      <c r="L83" s="899"/>
      <c r="M83" s="873"/>
      <c r="O83" s="26">
        <v>4</v>
      </c>
    </row>
    <row r="84" spans="2:15" ht="23.75" hidden="1" customHeight="1" thickTop="1" x14ac:dyDescent="0.15">
      <c r="B84" s="26">
        <f>'Jrnl Exp ~ Dép'!B16</f>
        <v>0</v>
      </c>
      <c r="C84" s="913">
        <f>'Jrnl Exp ~ Dép'!$D16</f>
        <v>0</v>
      </c>
      <c r="D84" s="911">
        <f>'Jrnl Exp ~ Dép'!$F16</f>
        <v>0</v>
      </c>
      <c r="E84" s="915">
        <f>'Jrnl Exp ~ Dép'!$G16</f>
        <v>0</v>
      </c>
      <c r="F84" s="916">
        <f>'Jrnl Exp ~ Dép'!$E16</f>
        <v>0</v>
      </c>
      <c r="G84" s="917" t="str">
        <f>LEFT('Jrnl Exp ~ Dép'!$H16,4)</f>
        <v/>
      </c>
      <c r="H84" s="921"/>
      <c r="I84" s="896"/>
      <c r="J84" s="896"/>
      <c r="K84" s="896"/>
      <c r="L84" s="898"/>
      <c r="M84" s="875" t="str">
        <f>IF(E84&gt;0,"1","0")</f>
        <v>0</v>
      </c>
      <c r="N84" s="26" t="str">
        <f t="shared" ref="N84:N147" si="0">IF(B84="√","2","3")</f>
        <v>3</v>
      </c>
      <c r="O84" s="26" t="str">
        <f>IF(AND(M84="1",N84="3"),"4","0")</f>
        <v>0</v>
      </c>
    </row>
    <row r="85" spans="2:15" ht="23.75" hidden="1" customHeight="1" x14ac:dyDescent="0.15">
      <c r="B85" s="26">
        <f>'Jrnl Exp ~ Dép'!B17</f>
        <v>0</v>
      </c>
      <c r="C85" s="914">
        <f>'Jrnl Exp ~ Dép'!$D17</f>
        <v>0</v>
      </c>
      <c r="D85" s="912">
        <f>'Jrnl Exp ~ Dép'!$F17</f>
        <v>0</v>
      </c>
      <c r="E85" s="918">
        <f>'Jrnl Exp ~ Dép'!$G17</f>
        <v>0</v>
      </c>
      <c r="F85" s="919">
        <f>'Jrnl Exp ~ Dép'!$E17</f>
        <v>0</v>
      </c>
      <c r="G85" s="920" t="str">
        <f>LEFT('Jrnl Exp ~ Dép'!$H17,4)</f>
        <v/>
      </c>
      <c r="H85" s="922"/>
      <c r="I85" s="896"/>
      <c r="J85" s="896"/>
      <c r="K85" s="896"/>
      <c r="L85" s="898"/>
      <c r="M85" s="875" t="str">
        <f t="shared" ref="M85:M148" si="1">IF(E85&gt;0,"1","0")</f>
        <v>0</v>
      </c>
      <c r="N85" s="26" t="str">
        <f t="shared" si="0"/>
        <v>3</v>
      </c>
      <c r="O85" s="26" t="str">
        <f t="shared" ref="O85:O148" si="2">IF(AND(M85="1",N85="3"),"4","0")</f>
        <v>0</v>
      </c>
    </row>
    <row r="86" spans="2:15" ht="23.75" hidden="1" customHeight="1" x14ac:dyDescent="0.15">
      <c r="B86" s="26">
        <f>'Jrnl Exp ~ Dép'!B18</f>
        <v>0</v>
      </c>
      <c r="C86" s="914">
        <f>'Jrnl Exp ~ Dép'!$D18</f>
        <v>0</v>
      </c>
      <c r="D86" s="912">
        <f>'Jrnl Exp ~ Dép'!$F18</f>
        <v>0</v>
      </c>
      <c r="E86" s="918">
        <f>'Jrnl Exp ~ Dép'!$G18</f>
        <v>0</v>
      </c>
      <c r="F86" s="919">
        <f>'Jrnl Exp ~ Dép'!$E18</f>
        <v>0</v>
      </c>
      <c r="G86" s="920" t="str">
        <f>LEFT('Jrnl Exp ~ Dép'!$H18,4)</f>
        <v/>
      </c>
      <c r="H86" s="922"/>
      <c r="I86" s="896"/>
      <c r="J86" s="896"/>
      <c r="K86" s="896"/>
      <c r="L86" s="898"/>
      <c r="M86" s="875" t="str">
        <f t="shared" si="1"/>
        <v>0</v>
      </c>
      <c r="N86" s="26" t="str">
        <f t="shared" si="0"/>
        <v>3</v>
      </c>
      <c r="O86" s="26" t="str">
        <f t="shared" si="2"/>
        <v>0</v>
      </c>
    </row>
    <row r="87" spans="2:15" ht="23.75" hidden="1" customHeight="1" x14ac:dyDescent="0.15">
      <c r="B87" s="26">
        <f>'Jrnl Exp ~ Dép'!B19</f>
        <v>0</v>
      </c>
      <c r="C87" s="914">
        <f>'Jrnl Exp ~ Dép'!$D19</f>
        <v>0</v>
      </c>
      <c r="D87" s="912">
        <f>'Jrnl Exp ~ Dép'!$F19</f>
        <v>0</v>
      </c>
      <c r="E87" s="918">
        <f>'Jrnl Exp ~ Dép'!$G19</f>
        <v>0</v>
      </c>
      <c r="F87" s="919">
        <f>'Jrnl Exp ~ Dép'!$E19</f>
        <v>0</v>
      </c>
      <c r="G87" s="920" t="str">
        <f>LEFT('Jrnl Exp ~ Dép'!$H19,4)</f>
        <v/>
      </c>
      <c r="H87" s="922"/>
      <c r="I87" s="896"/>
      <c r="J87" s="896"/>
      <c r="K87" s="896"/>
      <c r="L87" s="898"/>
      <c r="M87" s="875" t="str">
        <f t="shared" si="1"/>
        <v>0</v>
      </c>
      <c r="N87" s="26" t="str">
        <f t="shared" si="0"/>
        <v>3</v>
      </c>
      <c r="O87" s="26" t="str">
        <f t="shared" si="2"/>
        <v>0</v>
      </c>
    </row>
    <row r="88" spans="2:15" ht="23.75" hidden="1" customHeight="1" x14ac:dyDescent="0.15">
      <c r="B88" s="26">
        <f>'Jrnl Exp ~ Dép'!B20</f>
        <v>0</v>
      </c>
      <c r="C88" s="914">
        <f>'Jrnl Exp ~ Dép'!$D20</f>
        <v>0</v>
      </c>
      <c r="D88" s="912">
        <f>'Jrnl Exp ~ Dép'!$F20</f>
        <v>0</v>
      </c>
      <c r="E88" s="918">
        <f>'Jrnl Exp ~ Dép'!$G20</f>
        <v>0</v>
      </c>
      <c r="F88" s="919">
        <f>'Jrnl Exp ~ Dép'!$E20</f>
        <v>0</v>
      </c>
      <c r="G88" s="920" t="str">
        <f>LEFT('Jrnl Exp ~ Dép'!$H20,4)</f>
        <v/>
      </c>
      <c r="H88" s="922"/>
      <c r="I88" s="896"/>
      <c r="J88" s="896"/>
      <c r="K88" s="896"/>
      <c r="L88" s="898"/>
      <c r="M88" s="875" t="str">
        <f t="shared" si="1"/>
        <v>0</v>
      </c>
      <c r="N88" s="26" t="str">
        <f t="shared" si="0"/>
        <v>3</v>
      </c>
      <c r="O88" s="26" t="str">
        <f t="shared" si="2"/>
        <v>0</v>
      </c>
    </row>
    <row r="89" spans="2:15" ht="23.75" hidden="1" customHeight="1" x14ac:dyDescent="0.15">
      <c r="B89" s="26">
        <f>'Jrnl Exp ~ Dép'!B21</f>
        <v>0</v>
      </c>
      <c r="C89" s="914">
        <f>'Jrnl Exp ~ Dép'!$D21</f>
        <v>0</v>
      </c>
      <c r="D89" s="912">
        <f>'Jrnl Exp ~ Dép'!$F21</f>
        <v>0</v>
      </c>
      <c r="E89" s="918">
        <f>'Jrnl Exp ~ Dép'!$G21</f>
        <v>0</v>
      </c>
      <c r="F89" s="919">
        <f>'Jrnl Exp ~ Dép'!$E21</f>
        <v>0</v>
      </c>
      <c r="G89" s="920" t="str">
        <f>LEFT('Jrnl Exp ~ Dép'!$H21,4)</f>
        <v/>
      </c>
      <c r="H89" s="922"/>
      <c r="I89" s="896"/>
      <c r="J89" s="896"/>
      <c r="K89" s="896"/>
      <c r="L89" s="898"/>
      <c r="M89" s="875" t="str">
        <f t="shared" si="1"/>
        <v>0</v>
      </c>
      <c r="N89" s="26" t="str">
        <f t="shared" si="0"/>
        <v>3</v>
      </c>
      <c r="O89" s="26" t="str">
        <f t="shared" si="2"/>
        <v>0</v>
      </c>
    </row>
    <row r="90" spans="2:15" ht="23.75" hidden="1" customHeight="1" x14ac:dyDescent="0.15">
      <c r="B90" s="26">
        <f>'Jrnl Exp ~ Dép'!B22</f>
        <v>0</v>
      </c>
      <c r="C90" s="914">
        <f>'Jrnl Exp ~ Dép'!$D22</f>
        <v>0</v>
      </c>
      <c r="D90" s="912">
        <f>'Jrnl Exp ~ Dép'!$F22</f>
        <v>0</v>
      </c>
      <c r="E90" s="918">
        <f>'Jrnl Exp ~ Dép'!$G22</f>
        <v>0</v>
      </c>
      <c r="F90" s="919">
        <f>'Jrnl Exp ~ Dép'!$E22</f>
        <v>0</v>
      </c>
      <c r="G90" s="920" t="str">
        <f>LEFT('Jrnl Exp ~ Dép'!$H22,4)</f>
        <v/>
      </c>
      <c r="H90" s="922"/>
      <c r="I90" s="896"/>
      <c r="J90" s="896"/>
      <c r="K90" s="896"/>
      <c r="L90" s="898"/>
      <c r="M90" s="875" t="str">
        <f t="shared" si="1"/>
        <v>0</v>
      </c>
      <c r="N90" s="26" t="str">
        <f t="shared" si="0"/>
        <v>3</v>
      </c>
      <c r="O90" s="26" t="str">
        <f t="shared" si="2"/>
        <v>0</v>
      </c>
    </row>
    <row r="91" spans="2:15" ht="23.75" hidden="1" customHeight="1" x14ac:dyDescent="0.15">
      <c r="B91" s="26">
        <f>'Jrnl Exp ~ Dép'!B23</f>
        <v>0</v>
      </c>
      <c r="C91" s="914">
        <f>'Jrnl Exp ~ Dép'!$D23</f>
        <v>0</v>
      </c>
      <c r="D91" s="912">
        <f>'Jrnl Exp ~ Dép'!$F23</f>
        <v>0</v>
      </c>
      <c r="E91" s="918">
        <f>'Jrnl Exp ~ Dép'!$G23</f>
        <v>0</v>
      </c>
      <c r="F91" s="919">
        <f>'Jrnl Exp ~ Dép'!$E23</f>
        <v>0</v>
      </c>
      <c r="G91" s="920" t="str">
        <f>LEFT('Jrnl Exp ~ Dép'!$H23,4)</f>
        <v/>
      </c>
      <c r="H91" s="922"/>
      <c r="I91" s="896"/>
      <c r="J91" s="896"/>
      <c r="K91" s="896"/>
      <c r="L91" s="898"/>
      <c r="M91" s="875" t="str">
        <f t="shared" si="1"/>
        <v>0</v>
      </c>
      <c r="N91" s="26" t="str">
        <f t="shared" si="0"/>
        <v>3</v>
      </c>
      <c r="O91" s="26" t="str">
        <f t="shared" si="2"/>
        <v>0</v>
      </c>
    </row>
    <row r="92" spans="2:15" ht="23.75" hidden="1" customHeight="1" x14ac:dyDescent="0.15">
      <c r="B92" s="26">
        <f>'Jrnl Exp ~ Dép'!B24</f>
        <v>0</v>
      </c>
      <c r="C92" s="914">
        <f>'Jrnl Exp ~ Dép'!$D24</f>
        <v>0</v>
      </c>
      <c r="D92" s="912">
        <f>'Jrnl Exp ~ Dép'!$F24</f>
        <v>0</v>
      </c>
      <c r="E92" s="918">
        <f>'Jrnl Exp ~ Dép'!$G24</f>
        <v>0</v>
      </c>
      <c r="F92" s="919">
        <f>'Jrnl Exp ~ Dép'!$E24</f>
        <v>0</v>
      </c>
      <c r="G92" s="920" t="str">
        <f>LEFT('Jrnl Exp ~ Dép'!$H24,4)</f>
        <v/>
      </c>
      <c r="H92" s="923"/>
      <c r="I92" s="895"/>
      <c r="J92" s="896"/>
      <c r="K92" s="896"/>
      <c r="L92" s="898"/>
      <c r="M92" s="875" t="str">
        <f t="shared" si="1"/>
        <v>0</v>
      </c>
      <c r="N92" s="26" t="str">
        <f t="shared" si="0"/>
        <v>3</v>
      </c>
      <c r="O92" s="26" t="str">
        <f t="shared" si="2"/>
        <v>0</v>
      </c>
    </row>
    <row r="93" spans="2:15" ht="23.75" hidden="1" customHeight="1" x14ac:dyDescent="0.15">
      <c r="B93" s="26">
        <f>'Jrnl Exp ~ Dép'!B25</f>
        <v>0</v>
      </c>
      <c r="C93" s="914">
        <f>'Jrnl Exp ~ Dép'!$D25</f>
        <v>0</v>
      </c>
      <c r="D93" s="912">
        <f>'Jrnl Exp ~ Dép'!$F25</f>
        <v>0</v>
      </c>
      <c r="E93" s="918">
        <f>'Jrnl Exp ~ Dép'!$G25</f>
        <v>0</v>
      </c>
      <c r="F93" s="919">
        <f>'Jrnl Exp ~ Dép'!$E25</f>
        <v>0</v>
      </c>
      <c r="G93" s="920" t="str">
        <f>LEFT('Jrnl Exp ~ Dép'!$H25,4)</f>
        <v/>
      </c>
      <c r="H93" s="922"/>
      <c r="I93" s="896"/>
      <c r="J93" s="896"/>
      <c r="K93" s="896"/>
      <c r="L93" s="898"/>
      <c r="M93" s="875" t="str">
        <f t="shared" si="1"/>
        <v>0</v>
      </c>
      <c r="N93" s="26" t="str">
        <f t="shared" si="0"/>
        <v>3</v>
      </c>
      <c r="O93" s="26" t="str">
        <f t="shared" si="2"/>
        <v>0</v>
      </c>
    </row>
    <row r="94" spans="2:15" ht="23.75" hidden="1" customHeight="1" x14ac:dyDescent="0.15">
      <c r="B94" s="26">
        <f>'Jrnl Exp ~ Dép'!B26</f>
        <v>0</v>
      </c>
      <c r="C94" s="914">
        <f>'Jrnl Exp ~ Dép'!$D26</f>
        <v>0</v>
      </c>
      <c r="D94" s="912">
        <f>'Jrnl Exp ~ Dép'!$F26</f>
        <v>0</v>
      </c>
      <c r="E94" s="918">
        <f>'Jrnl Exp ~ Dép'!$G26</f>
        <v>0</v>
      </c>
      <c r="F94" s="919">
        <f>'Jrnl Exp ~ Dép'!$E26</f>
        <v>0</v>
      </c>
      <c r="G94" s="920" t="str">
        <f>LEFT('Jrnl Exp ~ Dép'!$H26,4)</f>
        <v/>
      </c>
      <c r="H94" s="922"/>
      <c r="I94" s="896"/>
      <c r="J94" s="896"/>
      <c r="K94" s="896"/>
      <c r="L94" s="898"/>
      <c r="M94" s="875" t="str">
        <f t="shared" si="1"/>
        <v>0</v>
      </c>
      <c r="N94" s="26" t="str">
        <f t="shared" si="0"/>
        <v>3</v>
      </c>
      <c r="O94" s="26" t="str">
        <f t="shared" si="2"/>
        <v>0</v>
      </c>
    </row>
    <row r="95" spans="2:15" ht="23.75" hidden="1" customHeight="1" x14ac:dyDescent="0.15">
      <c r="B95" s="26">
        <f>'Jrnl Exp ~ Dép'!B27</f>
        <v>0</v>
      </c>
      <c r="C95" s="914">
        <f>'Jrnl Exp ~ Dép'!$D27</f>
        <v>0</v>
      </c>
      <c r="D95" s="912">
        <f>'Jrnl Exp ~ Dép'!$F27</f>
        <v>0</v>
      </c>
      <c r="E95" s="918">
        <f>'Jrnl Exp ~ Dép'!$G27</f>
        <v>0</v>
      </c>
      <c r="F95" s="919">
        <f>'Jrnl Exp ~ Dép'!$E27</f>
        <v>0</v>
      </c>
      <c r="G95" s="920" t="str">
        <f>LEFT('Jrnl Exp ~ Dép'!$H27,4)</f>
        <v/>
      </c>
      <c r="H95" s="922"/>
      <c r="I95" s="896"/>
      <c r="J95" s="896"/>
      <c r="K95" s="896"/>
      <c r="L95" s="898"/>
      <c r="M95" s="875" t="str">
        <f t="shared" si="1"/>
        <v>0</v>
      </c>
      <c r="N95" s="26" t="str">
        <f t="shared" si="0"/>
        <v>3</v>
      </c>
      <c r="O95" s="26" t="str">
        <f t="shared" si="2"/>
        <v>0</v>
      </c>
    </row>
    <row r="96" spans="2:15" ht="23.75" hidden="1" customHeight="1" x14ac:dyDescent="0.15">
      <c r="B96" s="26">
        <f>'Jrnl Exp ~ Dép'!B28</f>
        <v>0</v>
      </c>
      <c r="C96" s="914">
        <f>'Jrnl Exp ~ Dép'!$D28</f>
        <v>0</v>
      </c>
      <c r="D96" s="912">
        <f>'Jrnl Exp ~ Dép'!$F28</f>
        <v>0</v>
      </c>
      <c r="E96" s="918">
        <f>'Jrnl Exp ~ Dép'!$G28</f>
        <v>0</v>
      </c>
      <c r="F96" s="919">
        <f>'Jrnl Exp ~ Dép'!$E28</f>
        <v>0</v>
      </c>
      <c r="G96" s="920" t="str">
        <f>LEFT('Jrnl Exp ~ Dép'!$H28,4)</f>
        <v/>
      </c>
      <c r="H96" s="922"/>
      <c r="I96" s="896"/>
      <c r="J96" s="896"/>
      <c r="K96" s="896"/>
      <c r="L96" s="898"/>
      <c r="M96" s="875" t="str">
        <f t="shared" si="1"/>
        <v>0</v>
      </c>
      <c r="N96" s="26" t="str">
        <f t="shared" si="0"/>
        <v>3</v>
      </c>
      <c r="O96" s="26" t="str">
        <f t="shared" si="2"/>
        <v>0</v>
      </c>
    </row>
    <row r="97" spans="2:15" ht="23.75" hidden="1" customHeight="1" x14ac:dyDescent="0.15">
      <c r="B97" s="26">
        <f>'Jrnl Exp ~ Dép'!B29</f>
        <v>0</v>
      </c>
      <c r="C97" s="914">
        <f>'Jrnl Exp ~ Dép'!$D29</f>
        <v>0</v>
      </c>
      <c r="D97" s="912">
        <f>'Jrnl Exp ~ Dép'!$F29</f>
        <v>0</v>
      </c>
      <c r="E97" s="918">
        <f>'Jrnl Exp ~ Dép'!$G29</f>
        <v>0</v>
      </c>
      <c r="F97" s="919">
        <f>'Jrnl Exp ~ Dép'!$E29</f>
        <v>0</v>
      </c>
      <c r="G97" s="920" t="str">
        <f>LEFT('Jrnl Exp ~ Dép'!$H29,4)</f>
        <v/>
      </c>
      <c r="H97" s="922"/>
      <c r="I97" s="896"/>
      <c r="J97" s="896"/>
      <c r="K97" s="896"/>
      <c r="L97" s="898"/>
      <c r="M97" s="875" t="str">
        <f t="shared" si="1"/>
        <v>0</v>
      </c>
      <c r="N97" s="26" t="str">
        <f t="shared" si="0"/>
        <v>3</v>
      </c>
      <c r="O97" s="26" t="str">
        <f t="shared" si="2"/>
        <v>0</v>
      </c>
    </row>
    <row r="98" spans="2:15" ht="23.75" hidden="1" customHeight="1" x14ac:dyDescent="0.15">
      <c r="B98" s="26">
        <f>'Jrnl Exp ~ Dép'!B30</f>
        <v>0</v>
      </c>
      <c r="C98" s="914">
        <f>'Jrnl Exp ~ Dép'!$D30</f>
        <v>0</v>
      </c>
      <c r="D98" s="912">
        <f>'Jrnl Exp ~ Dép'!$F30</f>
        <v>0</v>
      </c>
      <c r="E98" s="918">
        <f>'Jrnl Exp ~ Dép'!$G30</f>
        <v>0</v>
      </c>
      <c r="F98" s="919">
        <f>'Jrnl Exp ~ Dép'!$E30</f>
        <v>0</v>
      </c>
      <c r="G98" s="920" t="str">
        <f>LEFT('Jrnl Exp ~ Dép'!$H30,4)</f>
        <v/>
      </c>
      <c r="H98" s="922"/>
      <c r="I98" s="896"/>
      <c r="J98" s="896"/>
      <c r="K98" s="896"/>
      <c r="L98" s="898"/>
      <c r="M98" s="875" t="str">
        <f t="shared" si="1"/>
        <v>0</v>
      </c>
      <c r="N98" s="26" t="str">
        <f t="shared" si="0"/>
        <v>3</v>
      </c>
      <c r="O98" s="26" t="str">
        <f t="shared" si="2"/>
        <v>0</v>
      </c>
    </row>
    <row r="99" spans="2:15" ht="23.75" hidden="1" customHeight="1" x14ac:dyDescent="0.15">
      <c r="B99" s="26">
        <f>'Jrnl Exp ~ Dép'!B31</f>
        <v>0</v>
      </c>
      <c r="C99" s="914">
        <f>'Jrnl Exp ~ Dép'!$D31</f>
        <v>0</v>
      </c>
      <c r="D99" s="912">
        <f>'Jrnl Exp ~ Dép'!$F31</f>
        <v>0</v>
      </c>
      <c r="E99" s="918">
        <f>'Jrnl Exp ~ Dép'!$G31</f>
        <v>0</v>
      </c>
      <c r="F99" s="919">
        <f>'Jrnl Exp ~ Dép'!$E31</f>
        <v>0</v>
      </c>
      <c r="G99" s="920" t="str">
        <f>LEFT('Jrnl Exp ~ Dép'!$H31,4)</f>
        <v/>
      </c>
      <c r="H99" s="922"/>
      <c r="I99" s="896"/>
      <c r="J99" s="896"/>
      <c r="K99" s="896"/>
      <c r="L99" s="898"/>
      <c r="M99" s="875" t="str">
        <f t="shared" si="1"/>
        <v>0</v>
      </c>
      <c r="N99" s="26" t="str">
        <f t="shared" si="0"/>
        <v>3</v>
      </c>
      <c r="O99" s="26" t="str">
        <f t="shared" si="2"/>
        <v>0</v>
      </c>
    </row>
    <row r="100" spans="2:15" ht="23.75" hidden="1" customHeight="1" x14ac:dyDescent="0.15">
      <c r="B100" s="26">
        <f>'Jrnl Exp ~ Dép'!B32</f>
        <v>0</v>
      </c>
      <c r="C100" s="914">
        <f>'Jrnl Exp ~ Dép'!$D32</f>
        <v>0</v>
      </c>
      <c r="D100" s="912">
        <f>'Jrnl Exp ~ Dép'!$F32</f>
        <v>0</v>
      </c>
      <c r="E100" s="918">
        <f>'Jrnl Exp ~ Dép'!$G32</f>
        <v>0</v>
      </c>
      <c r="F100" s="919">
        <f>'Jrnl Exp ~ Dép'!$E32</f>
        <v>0</v>
      </c>
      <c r="G100" s="920" t="str">
        <f>LEFT('Jrnl Exp ~ Dép'!$H32,4)</f>
        <v/>
      </c>
      <c r="H100" s="922"/>
      <c r="I100" s="896"/>
      <c r="J100" s="896"/>
      <c r="K100" s="896"/>
      <c r="L100" s="898"/>
      <c r="M100" s="875" t="str">
        <f t="shared" si="1"/>
        <v>0</v>
      </c>
      <c r="N100" s="26" t="str">
        <f t="shared" si="0"/>
        <v>3</v>
      </c>
      <c r="O100" s="26" t="str">
        <f t="shared" si="2"/>
        <v>0</v>
      </c>
    </row>
    <row r="101" spans="2:15" ht="23.75" hidden="1" customHeight="1" x14ac:dyDescent="0.15">
      <c r="B101" s="26">
        <f>'Jrnl Exp ~ Dép'!B33</f>
        <v>0</v>
      </c>
      <c r="C101" s="914">
        <f>'Jrnl Exp ~ Dép'!$D33</f>
        <v>0</v>
      </c>
      <c r="D101" s="912">
        <f>'Jrnl Exp ~ Dép'!$F33</f>
        <v>0</v>
      </c>
      <c r="E101" s="918">
        <f>'Jrnl Exp ~ Dép'!$G33</f>
        <v>0</v>
      </c>
      <c r="F101" s="919">
        <f>'Jrnl Exp ~ Dép'!$E33</f>
        <v>0</v>
      </c>
      <c r="G101" s="920" t="str">
        <f>LEFT('Jrnl Exp ~ Dép'!$H33,4)</f>
        <v/>
      </c>
      <c r="H101" s="922"/>
      <c r="I101" s="896"/>
      <c r="J101" s="896"/>
      <c r="K101" s="896"/>
      <c r="L101" s="898"/>
      <c r="M101" s="875" t="str">
        <f t="shared" si="1"/>
        <v>0</v>
      </c>
      <c r="N101" s="26" t="str">
        <f t="shared" si="0"/>
        <v>3</v>
      </c>
      <c r="O101" s="26" t="str">
        <f t="shared" si="2"/>
        <v>0</v>
      </c>
    </row>
    <row r="102" spans="2:15" ht="23.75" hidden="1" customHeight="1" x14ac:dyDescent="0.15">
      <c r="B102" s="26">
        <f>'Jrnl Exp ~ Dép'!B34</f>
        <v>0</v>
      </c>
      <c r="C102" s="914">
        <f>'Jrnl Exp ~ Dép'!$D34</f>
        <v>0</v>
      </c>
      <c r="D102" s="912">
        <f>'Jrnl Exp ~ Dép'!$F34</f>
        <v>0</v>
      </c>
      <c r="E102" s="918">
        <f>'Jrnl Exp ~ Dép'!$G34</f>
        <v>0</v>
      </c>
      <c r="F102" s="919">
        <f>'Jrnl Exp ~ Dép'!$E34</f>
        <v>0</v>
      </c>
      <c r="G102" s="920" t="str">
        <f>LEFT('Jrnl Exp ~ Dép'!$H34,4)</f>
        <v/>
      </c>
      <c r="H102" s="922"/>
      <c r="I102" s="896"/>
      <c r="J102" s="896"/>
      <c r="K102" s="896"/>
      <c r="L102" s="898"/>
      <c r="M102" s="875" t="str">
        <f t="shared" si="1"/>
        <v>0</v>
      </c>
      <c r="N102" s="26" t="str">
        <f t="shared" si="0"/>
        <v>3</v>
      </c>
      <c r="O102" s="26" t="str">
        <f t="shared" si="2"/>
        <v>0</v>
      </c>
    </row>
    <row r="103" spans="2:15" ht="23.75" hidden="1" customHeight="1" x14ac:dyDescent="0.15">
      <c r="B103" s="26">
        <f>'Jrnl Exp ~ Dép'!B35</f>
        <v>0</v>
      </c>
      <c r="C103" s="914">
        <f>'Jrnl Exp ~ Dép'!$D35</f>
        <v>0</v>
      </c>
      <c r="D103" s="912">
        <f>'Jrnl Exp ~ Dép'!$F35</f>
        <v>0</v>
      </c>
      <c r="E103" s="918">
        <f>'Jrnl Exp ~ Dép'!$G35</f>
        <v>0</v>
      </c>
      <c r="F103" s="919">
        <f>'Jrnl Exp ~ Dép'!$E35</f>
        <v>0</v>
      </c>
      <c r="G103" s="920" t="str">
        <f>LEFT('Jrnl Exp ~ Dép'!$H35,4)</f>
        <v/>
      </c>
      <c r="H103" s="922"/>
      <c r="I103" s="896"/>
      <c r="J103" s="896"/>
      <c r="K103" s="896"/>
      <c r="L103" s="898"/>
      <c r="M103" s="875" t="str">
        <f t="shared" si="1"/>
        <v>0</v>
      </c>
      <c r="N103" s="26" t="str">
        <f t="shared" si="0"/>
        <v>3</v>
      </c>
      <c r="O103" s="26" t="str">
        <f t="shared" si="2"/>
        <v>0</v>
      </c>
    </row>
    <row r="104" spans="2:15" ht="23.75" hidden="1" customHeight="1" x14ac:dyDescent="0.15">
      <c r="B104" s="26">
        <f>'Jrnl Exp ~ Dép'!B36</f>
        <v>0</v>
      </c>
      <c r="C104" s="914">
        <f>'Jrnl Exp ~ Dép'!$D36</f>
        <v>0</v>
      </c>
      <c r="D104" s="912">
        <f>'Jrnl Exp ~ Dép'!$F36</f>
        <v>0</v>
      </c>
      <c r="E104" s="918">
        <f>'Jrnl Exp ~ Dép'!$G36</f>
        <v>0</v>
      </c>
      <c r="F104" s="919">
        <f>'Jrnl Exp ~ Dép'!$E36</f>
        <v>0</v>
      </c>
      <c r="G104" s="920" t="str">
        <f>LEFT('Jrnl Exp ~ Dép'!$H36,4)</f>
        <v/>
      </c>
      <c r="H104" s="922"/>
      <c r="I104" s="896"/>
      <c r="J104" s="896"/>
      <c r="K104" s="896"/>
      <c r="L104" s="898"/>
      <c r="M104" s="875" t="str">
        <f t="shared" si="1"/>
        <v>0</v>
      </c>
      <c r="N104" s="26" t="str">
        <f t="shared" si="0"/>
        <v>3</v>
      </c>
      <c r="O104" s="26" t="str">
        <f t="shared" si="2"/>
        <v>0</v>
      </c>
    </row>
    <row r="105" spans="2:15" ht="23.75" hidden="1" customHeight="1" x14ac:dyDescent="0.15">
      <c r="B105" s="26">
        <f>'Jrnl Exp ~ Dép'!B37</f>
        <v>0</v>
      </c>
      <c r="C105" s="914">
        <f>'Jrnl Exp ~ Dép'!$D37</f>
        <v>0</v>
      </c>
      <c r="D105" s="912">
        <f>'Jrnl Exp ~ Dép'!$F37</f>
        <v>0</v>
      </c>
      <c r="E105" s="918">
        <f>'Jrnl Exp ~ Dép'!$G37</f>
        <v>0</v>
      </c>
      <c r="F105" s="919">
        <f>'Jrnl Exp ~ Dép'!$E37</f>
        <v>0</v>
      </c>
      <c r="G105" s="920" t="str">
        <f>LEFT('Jrnl Exp ~ Dép'!$H37,4)</f>
        <v/>
      </c>
      <c r="H105" s="922"/>
      <c r="I105" s="896"/>
      <c r="J105" s="896"/>
      <c r="K105" s="896"/>
      <c r="L105" s="898"/>
      <c r="M105" s="875" t="str">
        <f t="shared" si="1"/>
        <v>0</v>
      </c>
      <c r="N105" s="26" t="str">
        <f t="shared" si="0"/>
        <v>3</v>
      </c>
      <c r="O105" s="26" t="str">
        <f t="shared" si="2"/>
        <v>0</v>
      </c>
    </row>
    <row r="106" spans="2:15" ht="23.75" hidden="1" customHeight="1" x14ac:dyDescent="0.15">
      <c r="B106" s="26">
        <f>'Jrnl Exp ~ Dép'!B38</f>
        <v>0</v>
      </c>
      <c r="C106" s="914">
        <f>'Jrnl Exp ~ Dép'!$D38</f>
        <v>0</v>
      </c>
      <c r="D106" s="912">
        <f>'Jrnl Exp ~ Dép'!$F38</f>
        <v>0</v>
      </c>
      <c r="E106" s="918">
        <f>'Jrnl Exp ~ Dép'!$G38</f>
        <v>0</v>
      </c>
      <c r="F106" s="919">
        <f>'Jrnl Exp ~ Dép'!$E38</f>
        <v>0</v>
      </c>
      <c r="G106" s="920" t="str">
        <f>LEFT('Jrnl Exp ~ Dép'!$H38,4)</f>
        <v/>
      </c>
      <c r="H106" s="922"/>
      <c r="I106" s="896"/>
      <c r="J106" s="896"/>
      <c r="K106" s="896"/>
      <c r="L106" s="898"/>
      <c r="M106" s="875" t="str">
        <f t="shared" si="1"/>
        <v>0</v>
      </c>
      <c r="N106" s="26" t="str">
        <f t="shared" si="0"/>
        <v>3</v>
      </c>
      <c r="O106" s="26" t="str">
        <f t="shared" si="2"/>
        <v>0</v>
      </c>
    </row>
    <row r="107" spans="2:15" ht="23.75" hidden="1" customHeight="1" x14ac:dyDescent="0.15">
      <c r="B107" s="26">
        <f>'Jrnl Exp ~ Dép'!B39</f>
        <v>0</v>
      </c>
      <c r="C107" s="914">
        <f>'Jrnl Exp ~ Dép'!$D39</f>
        <v>0</v>
      </c>
      <c r="D107" s="912">
        <f>'Jrnl Exp ~ Dép'!$F39</f>
        <v>0</v>
      </c>
      <c r="E107" s="918">
        <f>'Jrnl Exp ~ Dép'!$G39</f>
        <v>0</v>
      </c>
      <c r="F107" s="919">
        <f>'Jrnl Exp ~ Dép'!$E39</f>
        <v>0</v>
      </c>
      <c r="G107" s="920" t="str">
        <f>LEFT('Jrnl Exp ~ Dép'!$H39,4)</f>
        <v/>
      </c>
      <c r="H107" s="923"/>
      <c r="I107" s="895"/>
      <c r="J107" s="896"/>
      <c r="K107" s="896"/>
      <c r="L107" s="898"/>
      <c r="M107" s="875" t="str">
        <f t="shared" si="1"/>
        <v>0</v>
      </c>
      <c r="N107" s="26" t="str">
        <f t="shared" si="0"/>
        <v>3</v>
      </c>
      <c r="O107" s="26" t="str">
        <f t="shared" si="2"/>
        <v>0</v>
      </c>
    </row>
    <row r="108" spans="2:15" ht="23.75" hidden="1" customHeight="1" thickTop="1" x14ac:dyDescent="0.15">
      <c r="B108" s="26">
        <f>'Jrnl Exp ~ Dép'!B40</f>
        <v>0</v>
      </c>
      <c r="C108" s="914">
        <f>'Jrnl Exp ~ Dép'!$D40</f>
        <v>0</v>
      </c>
      <c r="D108" s="912">
        <f>'Jrnl Exp ~ Dép'!$F40</f>
        <v>0</v>
      </c>
      <c r="E108" s="918">
        <f>'Jrnl Exp ~ Dép'!$G40</f>
        <v>0</v>
      </c>
      <c r="F108" s="919">
        <f>'Jrnl Exp ~ Dép'!$E40</f>
        <v>0</v>
      </c>
      <c r="G108" s="920" t="str">
        <f>LEFT('Jrnl Exp ~ Dép'!$H40,4)</f>
        <v/>
      </c>
      <c r="H108" s="922"/>
      <c r="I108" s="896"/>
      <c r="J108" s="896"/>
      <c r="K108" s="896"/>
      <c r="L108" s="898"/>
      <c r="M108" s="875" t="str">
        <f t="shared" si="1"/>
        <v>0</v>
      </c>
      <c r="N108" s="26" t="str">
        <f t="shared" si="0"/>
        <v>3</v>
      </c>
      <c r="O108" s="26" t="str">
        <f t="shared" si="2"/>
        <v>0</v>
      </c>
    </row>
    <row r="109" spans="2:15" ht="23.75" hidden="1" customHeight="1" x14ac:dyDescent="0.15">
      <c r="B109" s="26">
        <f>'Jrnl Exp ~ Dép'!B41</f>
        <v>0</v>
      </c>
      <c r="C109" s="914">
        <f>'Jrnl Exp ~ Dép'!$D41</f>
        <v>0</v>
      </c>
      <c r="D109" s="912">
        <f>'Jrnl Exp ~ Dép'!$F41</f>
        <v>0</v>
      </c>
      <c r="E109" s="918">
        <f>'Jrnl Exp ~ Dép'!$G41</f>
        <v>0</v>
      </c>
      <c r="F109" s="919">
        <f>'Jrnl Exp ~ Dép'!$E41</f>
        <v>0</v>
      </c>
      <c r="G109" s="920" t="str">
        <f>LEFT('Jrnl Exp ~ Dép'!$H41,4)</f>
        <v/>
      </c>
      <c r="H109" s="922"/>
      <c r="I109" s="896"/>
      <c r="J109" s="896"/>
      <c r="K109" s="896"/>
      <c r="L109" s="898"/>
      <c r="M109" s="875" t="str">
        <f t="shared" si="1"/>
        <v>0</v>
      </c>
      <c r="N109" s="26" t="str">
        <f t="shared" si="0"/>
        <v>3</v>
      </c>
      <c r="O109" s="26" t="str">
        <f t="shared" si="2"/>
        <v>0</v>
      </c>
    </row>
    <row r="110" spans="2:15" ht="23.75" hidden="1" customHeight="1" x14ac:dyDescent="0.15">
      <c r="B110" s="26">
        <f>'Jrnl Exp ~ Dép'!B42</f>
        <v>0</v>
      </c>
      <c r="C110" s="914">
        <f>'Jrnl Exp ~ Dép'!$D42</f>
        <v>0</v>
      </c>
      <c r="D110" s="912">
        <f>'Jrnl Exp ~ Dép'!$F42</f>
        <v>0</v>
      </c>
      <c r="E110" s="918">
        <f>'Jrnl Exp ~ Dép'!$G42</f>
        <v>0</v>
      </c>
      <c r="F110" s="919">
        <f>'Jrnl Exp ~ Dép'!$E42</f>
        <v>0</v>
      </c>
      <c r="G110" s="920" t="str">
        <f>LEFT('Jrnl Exp ~ Dép'!$H42,4)</f>
        <v/>
      </c>
      <c r="H110" s="923"/>
      <c r="I110" s="895"/>
      <c r="J110" s="896"/>
      <c r="K110" s="896"/>
      <c r="L110" s="898"/>
      <c r="M110" s="875" t="str">
        <f t="shared" si="1"/>
        <v>0</v>
      </c>
      <c r="N110" s="26" t="str">
        <f t="shared" si="0"/>
        <v>3</v>
      </c>
      <c r="O110" s="26" t="str">
        <f t="shared" si="2"/>
        <v>0</v>
      </c>
    </row>
    <row r="111" spans="2:15" ht="23.75" hidden="1" customHeight="1" x14ac:dyDescent="0.15">
      <c r="B111" s="26">
        <f>'Jrnl Exp ~ Dép'!B43</f>
        <v>0</v>
      </c>
      <c r="C111" s="914">
        <f>'Jrnl Exp ~ Dép'!$D43</f>
        <v>0</v>
      </c>
      <c r="D111" s="912">
        <f>'Jrnl Exp ~ Dép'!$F43</f>
        <v>0</v>
      </c>
      <c r="E111" s="918">
        <f>'Jrnl Exp ~ Dép'!$G43</f>
        <v>0</v>
      </c>
      <c r="F111" s="919">
        <f>'Jrnl Exp ~ Dép'!$E43</f>
        <v>0</v>
      </c>
      <c r="G111" s="920" t="str">
        <f>LEFT('Jrnl Exp ~ Dép'!$H43,4)</f>
        <v/>
      </c>
      <c r="H111" s="923"/>
      <c r="I111" s="895"/>
      <c r="J111" s="895"/>
      <c r="K111" s="895"/>
      <c r="L111" s="898"/>
      <c r="M111" s="875" t="str">
        <f t="shared" si="1"/>
        <v>0</v>
      </c>
      <c r="N111" s="26" t="str">
        <f t="shared" si="0"/>
        <v>3</v>
      </c>
      <c r="O111" s="26" t="str">
        <f t="shared" si="2"/>
        <v>0</v>
      </c>
    </row>
    <row r="112" spans="2:15" ht="23.75" hidden="1" customHeight="1" x14ac:dyDescent="0.15">
      <c r="B112" s="26">
        <f>'Jrnl Exp ~ Dép'!B44</f>
        <v>0</v>
      </c>
      <c r="C112" s="914">
        <f>'Jrnl Exp ~ Dép'!$D44</f>
        <v>0</v>
      </c>
      <c r="D112" s="912">
        <f>'Jrnl Exp ~ Dép'!$F44</f>
        <v>0</v>
      </c>
      <c r="E112" s="918">
        <f>'Jrnl Exp ~ Dép'!$G44</f>
        <v>0</v>
      </c>
      <c r="F112" s="919">
        <f>'Jrnl Exp ~ Dép'!$E44</f>
        <v>0</v>
      </c>
      <c r="G112" s="920" t="str">
        <f>LEFT('Jrnl Exp ~ Dép'!$H44,4)</f>
        <v/>
      </c>
      <c r="H112" s="923"/>
      <c r="I112" s="895"/>
      <c r="J112" s="895"/>
      <c r="K112" s="895"/>
      <c r="L112" s="898"/>
      <c r="M112" s="875" t="str">
        <f t="shared" si="1"/>
        <v>0</v>
      </c>
      <c r="N112" s="26" t="str">
        <f t="shared" si="0"/>
        <v>3</v>
      </c>
      <c r="O112" s="26" t="str">
        <f t="shared" si="2"/>
        <v>0</v>
      </c>
    </row>
    <row r="113" spans="2:15" ht="23.75" hidden="1" customHeight="1" x14ac:dyDescent="0.15">
      <c r="B113" s="26">
        <f>'Jrnl Exp ~ Dép'!B45</f>
        <v>0</v>
      </c>
      <c r="C113" s="914">
        <f>'Jrnl Exp ~ Dép'!$D45</f>
        <v>0</v>
      </c>
      <c r="D113" s="912">
        <f>'Jrnl Exp ~ Dép'!$F45</f>
        <v>0</v>
      </c>
      <c r="E113" s="918">
        <f>'Jrnl Exp ~ Dép'!$G45</f>
        <v>0</v>
      </c>
      <c r="F113" s="919">
        <f>'Jrnl Exp ~ Dép'!$E45</f>
        <v>0</v>
      </c>
      <c r="G113" s="920" t="str">
        <f>LEFT('Jrnl Exp ~ Dép'!$H45,4)</f>
        <v/>
      </c>
      <c r="H113" s="923"/>
      <c r="I113" s="895"/>
      <c r="J113" s="895"/>
      <c r="K113" s="895"/>
      <c r="L113" s="898"/>
      <c r="M113" s="875" t="str">
        <f t="shared" si="1"/>
        <v>0</v>
      </c>
      <c r="N113" s="26" t="str">
        <f t="shared" si="0"/>
        <v>3</v>
      </c>
      <c r="O113" s="26" t="str">
        <f t="shared" si="2"/>
        <v>0</v>
      </c>
    </row>
    <row r="114" spans="2:15" ht="23.75" hidden="1" customHeight="1" x14ac:dyDescent="0.15">
      <c r="B114" s="26">
        <f>'Jrnl Exp ~ Dép'!B46</f>
        <v>0</v>
      </c>
      <c r="C114" s="914">
        <f>'Jrnl Exp ~ Dép'!$D46</f>
        <v>0</v>
      </c>
      <c r="D114" s="912">
        <f>'Jrnl Exp ~ Dép'!$F46</f>
        <v>0</v>
      </c>
      <c r="E114" s="918">
        <f>'Jrnl Exp ~ Dép'!$G46</f>
        <v>0</v>
      </c>
      <c r="F114" s="919">
        <f>'Jrnl Exp ~ Dép'!$E46</f>
        <v>0</v>
      </c>
      <c r="G114" s="920" t="str">
        <f>LEFT('Jrnl Exp ~ Dép'!$H46,4)</f>
        <v/>
      </c>
      <c r="H114" s="923"/>
      <c r="I114" s="895"/>
      <c r="J114" s="895"/>
      <c r="K114" s="895"/>
      <c r="L114" s="898"/>
      <c r="M114" s="875" t="str">
        <f t="shared" si="1"/>
        <v>0</v>
      </c>
      <c r="N114" s="26" t="str">
        <f t="shared" si="0"/>
        <v>3</v>
      </c>
      <c r="O114" s="26" t="str">
        <f t="shared" si="2"/>
        <v>0</v>
      </c>
    </row>
    <row r="115" spans="2:15" ht="23.75" hidden="1" customHeight="1" x14ac:dyDescent="0.15">
      <c r="B115" s="26">
        <f>'Jrnl Exp ~ Dép'!B47</f>
        <v>0</v>
      </c>
      <c r="C115" s="914">
        <f>'Jrnl Exp ~ Dép'!$D47</f>
        <v>0</v>
      </c>
      <c r="D115" s="912">
        <f>'Jrnl Exp ~ Dép'!$F47</f>
        <v>0</v>
      </c>
      <c r="E115" s="918">
        <f>'Jrnl Exp ~ Dép'!$G47</f>
        <v>0</v>
      </c>
      <c r="F115" s="919">
        <f>'Jrnl Exp ~ Dép'!$E47</f>
        <v>0</v>
      </c>
      <c r="G115" s="920" t="str">
        <f>LEFT('Jrnl Exp ~ Dép'!$H47,4)</f>
        <v/>
      </c>
      <c r="H115" s="923"/>
      <c r="I115" s="895"/>
      <c r="J115" s="895"/>
      <c r="K115" s="895"/>
      <c r="L115" s="898"/>
      <c r="M115" s="875" t="str">
        <f t="shared" si="1"/>
        <v>0</v>
      </c>
      <c r="N115" s="26" t="str">
        <f t="shared" si="0"/>
        <v>3</v>
      </c>
      <c r="O115" s="26" t="str">
        <f t="shared" si="2"/>
        <v>0</v>
      </c>
    </row>
    <row r="116" spans="2:15" ht="23.75" hidden="1" customHeight="1" x14ac:dyDescent="0.15">
      <c r="B116" s="26">
        <f>'Jrnl Exp ~ Dép'!B48</f>
        <v>0</v>
      </c>
      <c r="C116" s="914">
        <f>'Jrnl Exp ~ Dép'!$D48</f>
        <v>0</v>
      </c>
      <c r="D116" s="912">
        <f>'Jrnl Exp ~ Dép'!$F48</f>
        <v>0</v>
      </c>
      <c r="E116" s="918">
        <f>'Jrnl Exp ~ Dép'!$G48</f>
        <v>0</v>
      </c>
      <c r="F116" s="919">
        <f>'Jrnl Exp ~ Dép'!$E48</f>
        <v>0</v>
      </c>
      <c r="G116" s="920" t="str">
        <f>LEFT('Jrnl Exp ~ Dép'!$H48,4)</f>
        <v/>
      </c>
      <c r="H116" s="923"/>
      <c r="I116" s="895"/>
      <c r="J116" s="895"/>
      <c r="K116" s="895"/>
      <c r="L116" s="898"/>
      <c r="M116" s="875" t="str">
        <f t="shared" si="1"/>
        <v>0</v>
      </c>
      <c r="N116" s="26" t="str">
        <f t="shared" si="0"/>
        <v>3</v>
      </c>
      <c r="O116" s="26" t="str">
        <f t="shared" si="2"/>
        <v>0</v>
      </c>
    </row>
    <row r="117" spans="2:15" ht="23.75" hidden="1" customHeight="1" x14ac:dyDescent="0.15">
      <c r="B117" s="26">
        <f>'Jrnl Exp ~ Dép'!B49</f>
        <v>0</v>
      </c>
      <c r="C117" s="914">
        <f>'Jrnl Exp ~ Dép'!$D49</f>
        <v>0</v>
      </c>
      <c r="D117" s="912">
        <f>'Jrnl Exp ~ Dép'!$F49</f>
        <v>0</v>
      </c>
      <c r="E117" s="918">
        <f>'Jrnl Exp ~ Dép'!$G49</f>
        <v>0</v>
      </c>
      <c r="F117" s="919">
        <f>'Jrnl Exp ~ Dép'!$E49</f>
        <v>0</v>
      </c>
      <c r="G117" s="920" t="str">
        <f>LEFT('Jrnl Exp ~ Dép'!$H49,4)</f>
        <v/>
      </c>
      <c r="H117" s="923"/>
      <c r="I117" s="895"/>
      <c r="J117" s="895"/>
      <c r="K117" s="895"/>
      <c r="L117" s="898"/>
      <c r="M117" s="875" t="str">
        <f t="shared" si="1"/>
        <v>0</v>
      </c>
      <c r="N117" s="26" t="str">
        <f t="shared" si="0"/>
        <v>3</v>
      </c>
      <c r="O117" s="26" t="str">
        <f t="shared" si="2"/>
        <v>0</v>
      </c>
    </row>
    <row r="118" spans="2:15" ht="23.75" hidden="1" customHeight="1" x14ac:dyDescent="0.15">
      <c r="B118" s="26">
        <f>'Jrnl Exp ~ Dép'!B50</f>
        <v>0</v>
      </c>
      <c r="C118" s="914">
        <f>'Jrnl Exp ~ Dép'!$D50</f>
        <v>0</v>
      </c>
      <c r="D118" s="912">
        <f>'Jrnl Exp ~ Dép'!$F50</f>
        <v>0</v>
      </c>
      <c r="E118" s="918">
        <f>'Jrnl Exp ~ Dép'!$G50</f>
        <v>0</v>
      </c>
      <c r="F118" s="919">
        <f>'Jrnl Exp ~ Dép'!$E50</f>
        <v>0</v>
      </c>
      <c r="G118" s="920" t="str">
        <f>LEFT('Jrnl Exp ~ Dép'!$H50,4)</f>
        <v/>
      </c>
      <c r="H118" s="923"/>
      <c r="I118" s="895"/>
      <c r="J118" s="895"/>
      <c r="K118" s="895"/>
      <c r="L118" s="898"/>
      <c r="M118" s="875" t="str">
        <f t="shared" si="1"/>
        <v>0</v>
      </c>
      <c r="N118" s="26" t="str">
        <f t="shared" si="0"/>
        <v>3</v>
      </c>
      <c r="O118" s="26" t="str">
        <f t="shared" si="2"/>
        <v>0</v>
      </c>
    </row>
    <row r="119" spans="2:15" ht="23.75" hidden="1" customHeight="1" x14ac:dyDescent="0.15">
      <c r="B119" s="26">
        <f>'Jrnl Exp ~ Dép'!B51</f>
        <v>0</v>
      </c>
      <c r="C119" s="914">
        <f>'Jrnl Exp ~ Dép'!$D51</f>
        <v>0</v>
      </c>
      <c r="D119" s="912">
        <f>'Jrnl Exp ~ Dép'!$F51</f>
        <v>0</v>
      </c>
      <c r="E119" s="918">
        <f>'Jrnl Exp ~ Dép'!$G51</f>
        <v>0</v>
      </c>
      <c r="F119" s="919">
        <f>'Jrnl Exp ~ Dép'!$E51</f>
        <v>0</v>
      </c>
      <c r="G119" s="920" t="str">
        <f>LEFT('Jrnl Exp ~ Dép'!$H51,4)</f>
        <v/>
      </c>
      <c r="H119" s="923"/>
      <c r="I119" s="895"/>
      <c r="J119" s="895"/>
      <c r="K119" s="895"/>
      <c r="L119" s="898"/>
      <c r="M119" s="875" t="str">
        <f t="shared" si="1"/>
        <v>0</v>
      </c>
      <c r="N119" s="26" t="str">
        <f t="shared" si="0"/>
        <v>3</v>
      </c>
      <c r="O119" s="26" t="str">
        <f t="shared" si="2"/>
        <v>0</v>
      </c>
    </row>
    <row r="120" spans="2:15" ht="23.75" hidden="1" customHeight="1" x14ac:dyDescent="0.15">
      <c r="B120" s="26">
        <f>'Jrnl Exp ~ Dép'!B52</f>
        <v>0</v>
      </c>
      <c r="C120" s="914">
        <f>'Jrnl Exp ~ Dép'!$D52</f>
        <v>0</v>
      </c>
      <c r="D120" s="912">
        <f>'Jrnl Exp ~ Dép'!$F52</f>
        <v>0</v>
      </c>
      <c r="E120" s="918">
        <f>'Jrnl Exp ~ Dép'!$G52</f>
        <v>0</v>
      </c>
      <c r="F120" s="919">
        <f>'Jrnl Exp ~ Dép'!$E52</f>
        <v>0</v>
      </c>
      <c r="G120" s="920" t="str">
        <f>LEFT('Jrnl Exp ~ Dép'!$H52,4)</f>
        <v/>
      </c>
      <c r="H120" s="923"/>
      <c r="I120" s="895"/>
      <c r="J120" s="895"/>
      <c r="K120" s="895"/>
      <c r="L120" s="898"/>
      <c r="M120" s="875" t="str">
        <f t="shared" si="1"/>
        <v>0</v>
      </c>
      <c r="N120" s="26" t="str">
        <f t="shared" si="0"/>
        <v>3</v>
      </c>
      <c r="O120" s="26" t="str">
        <f t="shared" si="2"/>
        <v>0</v>
      </c>
    </row>
    <row r="121" spans="2:15" ht="23.75" hidden="1" customHeight="1" x14ac:dyDescent="0.15">
      <c r="B121" s="26">
        <f>'Jrnl Exp ~ Dép'!B53</f>
        <v>0</v>
      </c>
      <c r="C121" s="914">
        <f>'Jrnl Exp ~ Dép'!$D53</f>
        <v>0</v>
      </c>
      <c r="D121" s="912">
        <f>'Jrnl Exp ~ Dép'!$F53</f>
        <v>0</v>
      </c>
      <c r="E121" s="918">
        <f>'Jrnl Exp ~ Dép'!$G53</f>
        <v>0</v>
      </c>
      <c r="F121" s="919">
        <f>'Jrnl Exp ~ Dép'!$E53</f>
        <v>0</v>
      </c>
      <c r="G121" s="920" t="str">
        <f>LEFT('Jrnl Exp ~ Dép'!$H53,4)</f>
        <v/>
      </c>
      <c r="H121" s="923"/>
      <c r="I121" s="895"/>
      <c r="J121" s="895"/>
      <c r="K121" s="895"/>
      <c r="L121" s="898"/>
      <c r="M121" s="875" t="str">
        <f t="shared" si="1"/>
        <v>0</v>
      </c>
      <c r="N121" s="26" t="str">
        <f t="shared" si="0"/>
        <v>3</v>
      </c>
      <c r="O121" s="26" t="str">
        <f t="shared" si="2"/>
        <v>0</v>
      </c>
    </row>
    <row r="122" spans="2:15" ht="23.75" hidden="1" customHeight="1" x14ac:dyDescent="0.15">
      <c r="B122" s="26">
        <f>'Jrnl Exp ~ Dép'!B54</f>
        <v>0</v>
      </c>
      <c r="C122" s="914">
        <f>'Jrnl Exp ~ Dép'!$D54</f>
        <v>0</v>
      </c>
      <c r="D122" s="912">
        <f>'Jrnl Exp ~ Dép'!$F54</f>
        <v>0</v>
      </c>
      <c r="E122" s="918">
        <f>'Jrnl Exp ~ Dép'!$G54</f>
        <v>0</v>
      </c>
      <c r="F122" s="919">
        <f>'Jrnl Exp ~ Dép'!$E54</f>
        <v>0</v>
      </c>
      <c r="G122" s="920" t="str">
        <f>LEFT('Jrnl Exp ~ Dép'!$H54,4)</f>
        <v/>
      </c>
      <c r="H122" s="923"/>
      <c r="I122" s="895"/>
      <c r="J122" s="895"/>
      <c r="K122" s="895"/>
      <c r="L122" s="898"/>
      <c r="M122" s="875" t="str">
        <f t="shared" si="1"/>
        <v>0</v>
      </c>
      <c r="N122" s="26" t="str">
        <f t="shared" si="0"/>
        <v>3</v>
      </c>
      <c r="O122" s="26" t="str">
        <f t="shared" si="2"/>
        <v>0</v>
      </c>
    </row>
    <row r="123" spans="2:15" ht="23.75" hidden="1" customHeight="1" x14ac:dyDescent="0.15">
      <c r="B123" s="26">
        <f>'Jrnl Exp ~ Dép'!B55</f>
        <v>0</v>
      </c>
      <c r="C123" s="914">
        <f>'Jrnl Exp ~ Dép'!$D55</f>
        <v>0</v>
      </c>
      <c r="D123" s="912">
        <f>'Jrnl Exp ~ Dép'!$F55</f>
        <v>0</v>
      </c>
      <c r="E123" s="918">
        <f>'Jrnl Exp ~ Dép'!$G55</f>
        <v>0</v>
      </c>
      <c r="F123" s="919">
        <f>'Jrnl Exp ~ Dép'!$E55</f>
        <v>0</v>
      </c>
      <c r="G123" s="920" t="str">
        <f>LEFT('Jrnl Exp ~ Dép'!$H55,4)</f>
        <v/>
      </c>
      <c r="H123" s="923"/>
      <c r="I123" s="895"/>
      <c r="J123" s="895"/>
      <c r="K123" s="895"/>
      <c r="L123" s="898"/>
      <c r="M123" s="875" t="str">
        <f t="shared" si="1"/>
        <v>0</v>
      </c>
      <c r="N123" s="26" t="str">
        <f t="shared" si="0"/>
        <v>3</v>
      </c>
      <c r="O123" s="26" t="str">
        <f t="shared" si="2"/>
        <v>0</v>
      </c>
    </row>
    <row r="124" spans="2:15" ht="23.75" hidden="1" customHeight="1" x14ac:dyDescent="0.15">
      <c r="B124" s="26">
        <f>'Jrnl Exp ~ Dép'!B56</f>
        <v>0</v>
      </c>
      <c r="C124" s="914">
        <f>'Jrnl Exp ~ Dép'!$D56</f>
        <v>0</v>
      </c>
      <c r="D124" s="912">
        <f>'Jrnl Exp ~ Dép'!$F56</f>
        <v>0</v>
      </c>
      <c r="E124" s="918">
        <f>'Jrnl Exp ~ Dép'!$G56</f>
        <v>0</v>
      </c>
      <c r="F124" s="919">
        <f>'Jrnl Exp ~ Dép'!$E56</f>
        <v>0</v>
      </c>
      <c r="G124" s="920" t="str">
        <f>LEFT('Jrnl Exp ~ Dép'!$H56,4)</f>
        <v/>
      </c>
      <c r="H124" s="923"/>
      <c r="I124" s="895"/>
      <c r="J124" s="895"/>
      <c r="K124" s="895"/>
      <c r="L124" s="898"/>
      <c r="M124" s="875" t="str">
        <f t="shared" si="1"/>
        <v>0</v>
      </c>
      <c r="N124" s="26" t="str">
        <f t="shared" si="0"/>
        <v>3</v>
      </c>
      <c r="O124" s="26" t="str">
        <f t="shared" si="2"/>
        <v>0</v>
      </c>
    </row>
    <row r="125" spans="2:15" ht="23.75" hidden="1" customHeight="1" x14ac:dyDescent="0.15">
      <c r="B125" s="26">
        <f>'Jrnl Exp ~ Dép'!B57</f>
        <v>0</v>
      </c>
      <c r="C125" s="914">
        <f>'Jrnl Exp ~ Dép'!$D57</f>
        <v>0</v>
      </c>
      <c r="D125" s="912">
        <f>'Jrnl Exp ~ Dép'!$F57</f>
        <v>0</v>
      </c>
      <c r="E125" s="918">
        <f>'Jrnl Exp ~ Dép'!$G57</f>
        <v>0</v>
      </c>
      <c r="F125" s="919">
        <f>'Jrnl Exp ~ Dép'!$E57</f>
        <v>0</v>
      </c>
      <c r="G125" s="920" t="str">
        <f>LEFT('Jrnl Exp ~ Dép'!$H57,4)</f>
        <v/>
      </c>
      <c r="H125" s="923"/>
      <c r="I125" s="895"/>
      <c r="J125" s="895"/>
      <c r="K125" s="895"/>
      <c r="L125" s="898"/>
      <c r="M125" s="875" t="str">
        <f t="shared" si="1"/>
        <v>0</v>
      </c>
      <c r="N125" s="26" t="str">
        <f t="shared" si="0"/>
        <v>3</v>
      </c>
      <c r="O125" s="26" t="str">
        <f t="shared" si="2"/>
        <v>0</v>
      </c>
    </row>
    <row r="126" spans="2:15" ht="23.75" hidden="1" customHeight="1" x14ac:dyDescent="0.15">
      <c r="B126" s="26">
        <f>'Jrnl Exp ~ Dép'!B58</f>
        <v>0</v>
      </c>
      <c r="C126" s="914">
        <f>'Jrnl Exp ~ Dép'!$D58</f>
        <v>0</v>
      </c>
      <c r="D126" s="912">
        <f>'Jrnl Exp ~ Dép'!$F58</f>
        <v>0</v>
      </c>
      <c r="E126" s="918">
        <f>'Jrnl Exp ~ Dép'!$G58</f>
        <v>0</v>
      </c>
      <c r="F126" s="919">
        <f>'Jrnl Exp ~ Dép'!$E58</f>
        <v>0</v>
      </c>
      <c r="G126" s="920" t="str">
        <f>LEFT('Jrnl Exp ~ Dép'!$H58,4)</f>
        <v/>
      </c>
      <c r="H126" s="923"/>
      <c r="I126" s="895"/>
      <c r="J126" s="895"/>
      <c r="K126" s="895"/>
      <c r="L126" s="898"/>
      <c r="M126" s="875" t="str">
        <f t="shared" si="1"/>
        <v>0</v>
      </c>
      <c r="N126" s="26" t="str">
        <f t="shared" si="0"/>
        <v>3</v>
      </c>
      <c r="O126" s="26" t="str">
        <f t="shared" si="2"/>
        <v>0</v>
      </c>
    </row>
    <row r="127" spans="2:15" ht="23.75" hidden="1" customHeight="1" x14ac:dyDescent="0.15">
      <c r="B127" s="26">
        <f>'Jrnl Exp ~ Dép'!B59</f>
        <v>0</v>
      </c>
      <c r="C127" s="914">
        <f>'Jrnl Exp ~ Dép'!$D59</f>
        <v>0</v>
      </c>
      <c r="D127" s="912">
        <f>'Jrnl Exp ~ Dép'!$F59</f>
        <v>0</v>
      </c>
      <c r="E127" s="918">
        <f>'Jrnl Exp ~ Dép'!$G59</f>
        <v>0</v>
      </c>
      <c r="F127" s="919">
        <f>'Jrnl Exp ~ Dép'!$E59</f>
        <v>0</v>
      </c>
      <c r="G127" s="920" t="str">
        <f>LEFT('Jrnl Exp ~ Dép'!$H59,4)</f>
        <v/>
      </c>
      <c r="H127" s="923"/>
      <c r="I127" s="895"/>
      <c r="J127" s="895"/>
      <c r="K127" s="895"/>
      <c r="L127" s="898"/>
      <c r="M127" s="875" t="str">
        <f t="shared" si="1"/>
        <v>0</v>
      </c>
      <c r="N127" s="26" t="str">
        <f t="shared" si="0"/>
        <v>3</v>
      </c>
      <c r="O127" s="26" t="str">
        <f t="shared" si="2"/>
        <v>0</v>
      </c>
    </row>
    <row r="128" spans="2:15" ht="23.75" hidden="1" customHeight="1" x14ac:dyDescent="0.15">
      <c r="B128" s="26">
        <f>'Jrnl Exp ~ Dép'!B60</f>
        <v>0</v>
      </c>
      <c r="C128" s="914">
        <f>'Jrnl Exp ~ Dép'!$D60</f>
        <v>0</v>
      </c>
      <c r="D128" s="912">
        <f>'Jrnl Exp ~ Dép'!$F60</f>
        <v>0</v>
      </c>
      <c r="E128" s="918">
        <f>'Jrnl Exp ~ Dép'!$G60</f>
        <v>0</v>
      </c>
      <c r="F128" s="919">
        <f>'Jrnl Exp ~ Dép'!$E60</f>
        <v>0</v>
      </c>
      <c r="G128" s="920" t="str">
        <f>LEFT('Jrnl Exp ~ Dép'!$H60,4)</f>
        <v/>
      </c>
      <c r="H128" s="923"/>
      <c r="I128" s="895"/>
      <c r="J128" s="895"/>
      <c r="K128" s="895"/>
      <c r="L128" s="898"/>
      <c r="M128" s="875" t="str">
        <f t="shared" si="1"/>
        <v>0</v>
      </c>
      <c r="N128" s="26" t="str">
        <f t="shared" si="0"/>
        <v>3</v>
      </c>
      <c r="O128" s="26" t="str">
        <f t="shared" si="2"/>
        <v>0</v>
      </c>
    </row>
    <row r="129" spans="2:15" ht="23.75" hidden="1" customHeight="1" x14ac:dyDescent="0.15">
      <c r="B129" s="26">
        <f>'Jrnl Exp ~ Dép'!B61</f>
        <v>0</v>
      </c>
      <c r="C129" s="914">
        <f>'Jrnl Exp ~ Dép'!$D61</f>
        <v>0</v>
      </c>
      <c r="D129" s="912">
        <f>'Jrnl Exp ~ Dép'!$F61</f>
        <v>0</v>
      </c>
      <c r="E129" s="918">
        <f>'Jrnl Exp ~ Dép'!$G61</f>
        <v>0</v>
      </c>
      <c r="F129" s="919">
        <f>'Jrnl Exp ~ Dép'!$E61</f>
        <v>0</v>
      </c>
      <c r="G129" s="920" t="str">
        <f>LEFT('Jrnl Exp ~ Dép'!$H61,4)</f>
        <v/>
      </c>
      <c r="H129" s="923"/>
      <c r="I129" s="895"/>
      <c r="J129" s="895"/>
      <c r="K129" s="895"/>
      <c r="L129" s="898"/>
      <c r="M129" s="875" t="str">
        <f t="shared" si="1"/>
        <v>0</v>
      </c>
      <c r="N129" s="26" t="str">
        <f t="shared" si="0"/>
        <v>3</v>
      </c>
      <c r="O129" s="26" t="str">
        <f t="shared" si="2"/>
        <v>0</v>
      </c>
    </row>
    <row r="130" spans="2:15" ht="23.75" hidden="1" customHeight="1" x14ac:dyDescent="0.15">
      <c r="B130" s="26">
        <f>'Jrnl Exp ~ Dép'!B62</f>
        <v>0</v>
      </c>
      <c r="C130" s="914">
        <f>'Jrnl Exp ~ Dép'!$D62</f>
        <v>0</v>
      </c>
      <c r="D130" s="912">
        <f>'Jrnl Exp ~ Dép'!$F62</f>
        <v>0</v>
      </c>
      <c r="E130" s="918">
        <f>'Jrnl Exp ~ Dép'!$G62</f>
        <v>0</v>
      </c>
      <c r="F130" s="919">
        <f>'Jrnl Exp ~ Dép'!$E62</f>
        <v>0</v>
      </c>
      <c r="G130" s="920" t="str">
        <f>LEFT('Jrnl Exp ~ Dép'!$H62,4)</f>
        <v/>
      </c>
      <c r="H130" s="923"/>
      <c r="I130" s="895"/>
      <c r="J130" s="895"/>
      <c r="K130" s="895"/>
      <c r="L130" s="898"/>
      <c r="M130" s="875" t="str">
        <f t="shared" si="1"/>
        <v>0</v>
      </c>
      <c r="N130" s="26" t="str">
        <f t="shared" si="0"/>
        <v>3</v>
      </c>
      <c r="O130" s="26" t="str">
        <f t="shared" si="2"/>
        <v>0</v>
      </c>
    </row>
    <row r="131" spans="2:15" ht="23.75" hidden="1" customHeight="1" x14ac:dyDescent="0.15">
      <c r="B131" s="26">
        <f>'Jrnl Exp ~ Dép'!B63</f>
        <v>0</v>
      </c>
      <c r="C131" s="914">
        <f>'Jrnl Exp ~ Dép'!$D63</f>
        <v>0</v>
      </c>
      <c r="D131" s="912">
        <f>'Jrnl Exp ~ Dép'!$F63</f>
        <v>0</v>
      </c>
      <c r="E131" s="918">
        <f>'Jrnl Exp ~ Dép'!$G63</f>
        <v>0</v>
      </c>
      <c r="F131" s="919">
        <f>'Jrnl Exp ~ Dép'!$E63</f>
        <v>0</v>
      </c>
      <c r="G131" s="920" t="str">
        <f>LEFT('Jrnl Exp ~ Dép'!$H63,4)</f>
        <v/>
      </c>
      <c r="H131" s="923"/>
      <c r="I131" s="895"/>
      <c r="J131" s="895"/>
      <c r="K131" s="895"/>
      <c r="L131" s="898"/>
      <c r="M131" s="875" t="str">
        <f t="shared" si="1"/>
        <v>0</v>
      </c>
      <c r="N131" s="26" t="str">
        <f t="shared" si="0"/>
        <v>3</v>
      </c>
      <c r="O131" s="26" t="str">
        <f t="shared" si="2"/>
        <v>0</v>
      </c>
    </row>
    <row r="132" spans="2:15" ht="23.75" hidden="1" customHeight="1" x14ac:dyDescent="0.15">
      <c r="B132" s="26">
        <f>'Jrnl Exp ~ Dép'!B64</f>
        <v>0</v>
      </c>
      <c r="C132" s="914">
        <f>'Jrnl Exp ~ Dép'!$D64</f>
        <v>0</v>
      </c>
      <c r="D132" s="912">
        <f>'Jrnl Exp ~ Dép'!$F64</f>
        <v>0</v>
      </c>
      <c r="E132" s="918">
        <f>'Jrnl Exp ~ Dép'!$G64</f>
        <v>0</v>
      </c>
      <c r="F132" s="919">
        <f>'Jrnl Exp ~ Dép'!$E64</f>
        <v>0</v>
      </c>
      <c r="G132" s="920" t="str">
        <f>LEFT('Jrnl Exp ~ Dép'!$H64,4)</f>
        <v/>
      </c>
      <c r="H132" s="923"/>
      <c r="I132" s="895"/>
      <c r="J132" s="895"/>
      <c r="K132" s="895"/>
      <c r="L132" s="898"/>
      <c r="M132" s="875" t="str">
        <f t="shared" si="1"/>
        <v>0</v>
      </c>
      <c r="N132" s="26" t="str">
        <f t="shared" si="0"/>
        <v>3</v>
      </c>
      <c r="O132" s="26" t="str">
        <f t="shared" si="2"/>
        <v>0</v>
      </c>
    </row>
    <row r="133" spans="2:15" ht="23.75" hidden="1" customHeight="1" x14ac:dyDescent="0.15">
      <c r="B133" s="26">
        <f>'Jrnl Exp ~ Dép'!B65</f>
        <v>0</v>
      </c>
      <c r="C133" s="914">
        <f>'Jrnl Exp ~ Dép'!$D65</f>
        <v>0</v>
      </c>
      <c r="D133" s="912">
        <f>'Jrnl Exp ~ Dép'!$F65</f>
        <v>0</v>
      </c>
      <c r="E133" s="918">
        <f>'Jrnl Exp ~ Dép'!$G65</f>
        <v>0</v>
      </c>
      <c r="F133" s="919">
        <f>'Jrnl Exp ~ Dép'!$E65</f>
        <v>0</v>
      </c>
      <c r="G133" s="920" t="str">
        <f>LEFT('Jrnl Exp ~ Dép'!$H65,4)</f>
        <v/>
      </c>
      <c r="H133" s="923"/>
      <c r="I133" s="895"/>
      <c r="J133" s="895"/>
      <c r="K133" s="895"/>
      <c r="L133" s="898"/>
      <c r="M133" s="875" t="str">
        <f t="shared" si="1"/>
        <v>0</v>
      </c>
      <c r="N133" s="26" t="str">
        <f t="shared" si="0"/>
        <v>3</v>
      </c>
      <c r="O133" s="26" t="str">
        <f t="shared" si="2"/>
        <v>0</v>
      </c>
    </row>
    <row r="134" spans="2:15" ht="23.75" hidden="1" customHeight="1" x14ac:dyDescent="0.15">
      <c r="B134" s="26">
        <f>'Jrnl Exp ~ Dép'!B66</f>
        <v>0</v>
      </c>
      <c r="C134" s="914">
        <f>'Jrnl Exp ~ Dép'!$D66</f>
        <v>0</v>
      </c>
      <c r="D134" s="912">
        <f>'Jrnl Exp ~ Dép'!$F66</f>
        <v>0</v>
      </c>
      <c r="E134" s="918">
        <f>'Jrnl Exp ~ Dép'!$G66</f>
        <v>0</v>
      </c>
      <c r="F134" s="919">
        <f>'Jrnl Exp ~ Dép'!$E66</f>
        <v>0</v>
      </c>
      <c r="G134" s="920" t="str">
        <f>LEFT('Jrnl Exp ~ Dép'!$H66,4)</f>
        <v/>
      </c>
      <c r="H134" s="923"/>
      <c r="I134" s="895"/>
      <c r="J134" s="895"/>
      <c r="K134" s="895"/>
      <c r="L134" s="898"/>
      <c r="M134" s="875" t="str">
        <f t="shared" si="1"/>
        <v>0</v>
      </c>
      <c r="N134" s="26" t="str">
        <f t="shared" si="0"/>
        <v>3</v>
      </c>
      <c r="O134" s="26" t="str">
        <f t="shared" si="2"/>
        <v>0</v>
      </c>
    </row>
    <row r="135" spans="2:15" ht="23.75" hidden="1" customHeight="1" x14ac:dyDescent="0.15">
      <c r="B135" s="26">
        <f>'Jrnl Exp ~ Dép'!B67</f>
        <v>0</v>
      </c>
      <c r="C135" s="914">
        <f>'Jrnl Exp ~ Dép'!$D67</f>
        <v>0</v>
      </c>
      <c r="D135" s="912">
        <f>'Jrnl Exp ~ Dép'!$F67</f>
        <v>0</v>
      </c>
      <c r="E135" s="918">
        <f>'Jrnl Exp ~ Dép'!$G67</f>
        <v>0</v>
      </c>
      <c r="F135" s="919">
        <f>'Jrnl Exp ~ Dép'!$E67</f>
        <v>0</v>
      </c>
      <c r="G135" s="920" t="str">
        <f>LEFT('Jrnl Exp ~ Dép'!$H67,4)</f>
        <v/>
      </c>
      <c r="H135" s="923"/>
      <c r="I135" s="895"/>
      <c r="J135" s="895"/>
      <c r="K135" s="895"/>
      <c r="L135" s="898"/>
      <c r="M135" s="875" t="str">
        <f t="shared" si="1"/>
        <v>0</v>
      </c>
      <c r="N135" s="26" t="str">
        <f t="shared" si="0"/>
        <v>3</v>
      </c>
      <c r="O135" s="26" t="str">
        <f t="shared" si="2"/>
        <v>0</v>
      </c>
    </row>
    <row r="136" spans="2:15" ht="23.75" hidden="1" customHeight="1" x14ac:dyDescent="0.15">
      <c r="B136" s="26">
        <f>'Jrnl Exp ~ Dép'!B68</f>
        <v>0</v>
      </c>
      <c r="C136" s="914">
        <f>'Jrnl Exp ~ Dép'!$D68</f>
        <v>0</v>
      </c>
      <c r="D136" s="912">
        <f>'Jrnl Exp ~ Dép'!$F68</f>
        <v>0</v>
      </c>
      <c r="E136" s="918">
        <f>'Jrnl Exp ~ Dép'!$G68</f>
        <v>0</v>
      </c>
      <c r="F136" s="919">
        <f>'Jrnl Exp ~ Dép'!$E68</f>
        <v>0</v>
      </c>
      <c r="G136" s="920" t="str">
        <f>LEFT('Jrnl Exp ~ Dép'!$H68,4)</f>
        <v/>
      </c>
      <c r="H136" s="923"/>
      <c r="I136" s="895"/>
      <c r="J136" s="895"/>
      <c r="K136" s="895"/>
      <c r="L136" s="898"/>
      <c r="M136" s="875" t="str">
        <f t="shared" si="1"/>
        <v>0</v>
      </c>
      <c r="N136" s="26" t="str">
        <f t="shared" si="0"/>
        <v>3</v>
      </c>
      <c r="O136" s="26" t="str">
        <f t="shared" si="2"/>
        <v>0</v>
      </c>
    </row>
    <row r="137" spans="2:15" ht="23.75" hidden="1" customHeight="1" x14ac:dyDescent="0.15">
      <c r="B137" s="26">
        <f>'Jrnl Exp ~ Dép'!B69</f>
        <v>0</v>
      </c>
      <c r="C137" s="914">
        <f>'Jrnl Exp ~ Dép'!$D69</f>
        <v>0</v>
      </c>
      <c r="D137" s="912">
        <f>'Jrnl Exp ~ Dép'!$F69</f>
        <v>0</v>
      </c>
      <c r="E137" s="918">
        <f>'Jrnl Exp ~ Dép'!$G69</f>
        <v>0</v>
      </c>
      <c r="F137" s="919">
        <f>'Jrnl Exp ~ Dép'!$E69</f>
        <v>0</v>
      </c>
      <c r="G137" s="920" t="str">
        <f>LEFT('Jrnl Exp ~ Dép'!$H69,4)</f>
        <v/>
      </c>
      <c r="H137" s="923"/>
      <c r="I137" s="895"/>
      <c r="J137" s="895"/>
      <c r="K137" s="895"/>
      <c r="L137" s="898"/>
      <c r="M137" s="875" t="str">
        <f t="shared" si="1"/>
        <v>0</v>
      </c>
      <c r="N137" s="26" t="str">
        <f t="shared" si="0"/>
        <v>3</v>
      </c>
      <c r="O137" s="26" t="str">
        <f t="shared" si="2"/>
        <v>0</v>
      </c>
    </row>
    <row r="138" spans="2:15" ht="23.75" hidden="1" customHeight="1" x14ac:dyDescent="0.15">
      <c r="B138" s="26">
        <f>'Jrnl Exp ~ Dép'!B70</f>
        <v>0</v>
      </c>
      <c r="C138" s="914">
        <f>'Jrnl Exp ~ Dép'!$D70</f>
        <v>0</v>
      </c>
      <c r="D138" s="912">
        <f>'Jrnl Exp ~ Dép'!$F70</f>
        <v>0</v>
      </c>
      <c r="E138" s="918">
        <f>'Jrnl Exp ~ Dép'!$G70</f>
        <v>0</v>
      </c>
      <c r="F138" s="919">
        <f>'Jrnl Exp ~ Dép'!$E70</f>
        <v>0</v>
      </c>
      <c r="G138" s="920" t="str">
        <f>LEFT('Jrnl Exp ~ Dép'!$H70,4)</f>
        <v/>
      </c>
      <c r="H138" s="923"/>
      <c r="I138" s="895"/>
      <c r="J138" s="895"/>
      <c r="K138" s="895"/>
      <c r="L138" s="898"/>
      <c r="M138" s="875" t="str">
        <f t="shared" si="1"/>
        <v>0</v>
      </c>
      <c r="N138" s="26" t="str">
        <f t="shared" si="0"/>
        <v>3</v>
      </c>
      <c r="O138" s="26" t="str">
        <f t="shared" si="2"/>
        <v>0</v>
      </c>
    </row>
    <row r="139" spans="2:15" ht="23.75" hidden="1" customHeight="1" x14ac:dyDescent="0.15">
      <c r="B139" s="26">
        <f>'Jrnl Exp ~ Dép'!B71</f>
        <v>0</v>
      </c>
      <c r="C139" s="914">
        <f>'Jrnl Exp ~ Dép'!$D71</f>
        <v>0</v>
      </c>
      <c r="D139" s="912">
        <f>'Jrnl Exp ~ Dép'!$F71</f>
        <v>0</v>
      </c>
      <c r="E139" s="918">
        <f>'Jrnl Exp ~ Dép'!$G71</f>
        <v>0</v>
      </c>
      <c r="F139" s="919">
        <f>'Jrnl Exp ~ Dép'!$E71</f>
        <v>0</v>
      </c>
      <c r="G139" s="920" t="str">
        <f>LEFT('Jrnl Exp ~ Dép'!$H71,4)</f>
        <v/>
      </c>
      <c r="H139" s="923"/>
      <c r="I139" s="895"/>
      <c r="J139" s="895"/>
      <c r="K139" s="895"/>
      <c r="L139" s="898"/>
      <c r="M139" s="875" t="str">
        <f t="shared" si="1"/>
        <v>0</v>
      </c>
      <c r="N139" s="26" t="str">
        <f t="shared" si="0"/>
        <v>3</v>
      </c>
      <c r="O139" s="26" t="str">
        <f t="shared" si="2"/>
        <v>0</v>
      </c>
    </row>
    <row r="140" spans="2:15" ht="23.75" hidden="1" customHeight="1" x14ac:dyDescent="0.15">
      <c r="B140" s="26">
        <f>'Jrnl Exp ~ Dép'!B72</f>
        <v>0</v>
      </c>
      <c r="C140" s="914">
        <f>'Jrnl Exp ~ Dép'!$D72</f>
        <v>0</v>
      </c>
      <c r="D140" s="912">
        <f>'Jrnl Exp ~ Dép'!$F72</f>
        <v>0</v>
      </c>
      <c r="E140" s="918">
        <f>'Jrnl Exp ~ Dép'!$G72</f>
        <v>0</v>
      </c>
      <c r="F140" s="919">
        <f>'Jrnl Exp ~ Dép'!$E72</f>
        <v>0</v>
      </c>
      <c r="G140" s="920" t="str">
        <f>LEFT('Jrnl Exp ~ Dép'!$H72,4)</f>
        <v/>
      </c>
      <c r="H140" s="923"/>
      <c r="I140" s="895"/>
      <c r="J140" s="895"/>
      <c r="K140" s="895"/>
      <c r="L140" s="898"/>
      <c r="M140" s="875" t="str">
        <f t="shared" si="1"/>
        <v>0</v>
      </c>
      <c r="N140" s="26" t="str">
        <f t="shared" si="0"/>
        <v>3</v>
      </c>
      <c r="O140" s="26" t="str">
        <f t="shared" si="2"/>
        <v>0</v>
      </c>
    </row>
    <row r="141" spans="2:15" ht="23.75" hidden="1" customHeight="1" x14ac:dyDescent="0.15">
      <c r="B141" s="26">
        <f>'Jrnl Exp ~ Dép'!B73</f>
        <v>0</v>
      </c>
      <c r="C141" s="914">
        <f>'Jrnl Exp ~ Dép'!$D73</f>
        <v>0</v>
      </c>
      <c r="D141" s="912">
        <f>'Jrnl Exp ~ Dép'!$F73</f>
        <v>0</v>
      </c>
      <c r="E141" s="918">
        <f>'Jrnl Exp ~ Dép'!$G73</f>
        <v>0</v>
      </c>
      <c r="F141" s="919">
        <f>'Jrnl Exp ~ Dép'!$E73</f>
        <v>0</v>
      </c>
      <c r="G141" s="920" t="str">
        <f>LEFT('Jrnl Exp ~ Dép'!$H73,4)</f>
        <v/>
      </c>
      <c r="H141" s="923"/>
      <c r="I141" s="895"/>
      <c r="J141" s="895"/>
      <c r="K141" s="895"/>
      <c r="L141" s="898"/>
      <c r="M141" s="875" t="str">
        <f t="shared" si="1"/>
        <v>0</v>
      </c>
      <c r="N141" s="26" t="str">
        <f t="shared" si="0"/>
        <v>3</v>
      </c>
      <c r="O141" s="26" t="str">
        <f t="shared" si="2"/>
        <v>0</v>
      </c>
    </row>
    <row r="142" spans="2:15" ht="23.75" hidden="1" customHeight="1" x14ac:dyDescent="0.15">
      <c r="B142" s="26">
        <f>'Jrnl Exp ~ Dép'!B74</f>
        <v>0</v>
      </c>
      <c r="C142" s="914">
        <f>'Jrnl Exp ~ Dép'!$D74</f>
        <v>0</v>
      </c>
      <c r="D142" s="912">
        <f>'Jrnl Exp ~ Dép'!$F74</f>
        <v>0</v>
      </c>
      <c r="E142" s="918">
        <f>'Jrnl Exp ~ Dép'!$G74</f>
        <v>0</v>
      </c>
      <c r="F142" s="919">
        <f>'Jrnl Exp ~ Dép'!$E74</f>
        <v>0</v>
      </c>
      <c r="G142" s="920" t="str">
        <f>LEFT('Jrnl Exp ~ Dép'!$H74,4)</f>
        <v/>
      </c>
      <c r="H142" s="923"/>
      <c r="I142" s="895"/>
      <c r="J142" s="895"/>
      <c r="K142" s="895"/>
      <c r="L142" s="898"/>
      <c r="M142" s="875" t="str">
        <f t="shared" si="1"/>
        <v>0</v>
      </c>
      <c r="N142" s="26" t="str">
        <f t="shared" si="0"/>
        <v>3</v>
      </c>
      <c r="O142" s="26" t="str">
        <f t="shared" si="2"/>
        <v>0</v>
      </c>
    </row>
    <row r="143" spans="2:15" ht="23.75" hidden="1" customHeight="1" x14ac:dyDescent="0.15">
      <c r="B143" s="26">
        <f>'Jrnl Exp ~ Dép'!B75</f>
        <v>0</v>
      </c>
      <c r="C143" s="914">
        <f>'Jrnl Exp ~ Dép'!$D75</f>
        <v>0</v>
      </c>
      <c r="D143" s="912">
        <f>'Jrnl Exp ~ Dép'!$F75</f>
        <v>0</v>
      </c>
      <c r="E143" s="918">
        <f>'Jrnl Exp ~ Dép'!$G75</f>
        <v>0</v>
      </c>
      <c r="F143" s="919">
        <f>'Jrnl Exp ~ Dép'!$E75</f>
        <v>0</v>
      </c>
      <c r="G143" s="920" t="str">
        <f>LEFT('Jrnl Exp ~ Dép'!$H75,4)</f>
        <v/>
      </c>
      <c r="H143" s="923"/>
      <c r="I143" s="895"/>
      <c r="J143" s="895"/>
      <c r="K143" s="895"/>
      <c r="L143" s="898"/>
      <c r="M143" s="875" t="str">
        <f t="shared" si="1"/>
        <v>0</v>
      </c>
      <c r="N143" s="26" t="str">
        <f t="shared" si="0"/>
        <v>3</v>
      </c>
      <c r="O143" s="26" t="str">
        <f t="shared" si="2"/>
        <v>0</v>
      </c>
    </row>
    <row r="144" spans="2:15" ht="23.75" hidden="1" customHeight="1" x14ac:dyDescent="0.15">
      <c r="B144" s="26">
        <f>'Jrnl Exp ~ Dép'!B76</f>
        <v>0</v>
      </c>
      <c r="C144" s="914">
        <f>'Jrnl Exp ~ Dép'!$D76</f>
        <v>0</v>
      </c>
      <c r="D144" s="912">
        <f>'Jrnl Exp ~ Dép'!$F76</f>
        <v>0</v>
      </c>
      <c r="E144" s="918">
        <f>'Jrnl Exp ~ Dép'!$G76</f>
        <v>0</v>
      </c>
      <c r="F144" s="919">
        <f>'Jrnl Exp ~ Dép'!$E76</f>
        <v>0</v>
      </c>
      <c r="G144" s="920" t="str">
        <f>LEFT('Jrnl Exp ~ Dép'!$H76,4)</f>
        <v/>
      </c>
      <c r="H144" s="923"/>
      <c r="I144" s="895"/>
      <c r="J144" s="895"/>
      <c r="K144" s="895"/>
      <c r="L144" s="898"/>
      <c r="M144" s="875" t="str">
        <f t="shared" si="1"/>
        <v>0</v>
      </c>
      <c r="N144" s="26" t="str">
        <f t="shared" si="0"/>
        <v>3</v>
      </c>
      <c r="O144" s="26" t="str">
        <f t="shared" si="2"/>
        <v>0</v>
      </c>
    </row>
    <row r="145" spans="2:15" ht="23.75" hidden="1" customHeight="1" x14ac:dyDescent="0.15">
      <c r="B145" s="26">
        <f>'Jrnl Exp ~ Dép'!B77</f>
        <v>0</v>
      </c>
      <c r="C145" s="914">
        <f>'Jrnl Exp ~ Dép'!$D77</f>
        <v>0</v>
      </c>
      <c r="D145" s="912">
        <f>'Jrnl Exp ~ Dép'!$F77</f>
        <v>0</v>
      </c>
      <c r="E145" s="918">
        <f>'Jrnl Exp ~ Dép'!$G77</f>
        <v>0</v>
      </c>
      <c r="F145" s="919">
        <f>'Jrnl Exp ~ Dép'!$E77</f>
        <v>0</v>
      </c>
      <c r="G145" s="920" t="str">
        <f>LEFT('Jrnl Exp ~ Dép'!$H77,4)</f>
        <v/>
      </c>
      <c r="H145" s="923"/>
      <c r="I145" s="895"/>
      <c r="J145" s="895"/>
      <c r="K145" s="895"/>
      <c r="L145" s="898"/>
      <c r="M145" s="875" t="str">
        <f t="shared" si="1"/>
        <v>0</v>
      </c>
      <c r="N145" s="26" t="str">
        <f t="shared" si="0"/>
        <v>3</v>
      </c>
      <c r="O145" s="26" t="str">
        <f t="shared" si="2"/>
        <v>0</v>
      </c>
    </row>
    <row r="146" spans="2:15" ht="23.75" hidden="1" customHeight="1" x14ac:dyDescent="0.15">
      <c r="B146" s="26">
        <f>'Jrnl Exp ~ Dép'!B78</f>
        <v>0</v>
      </c>
      <c r="C146" s="914">
        <f>'Jrnl Exp ~ Dép'!$D78</f>
        <v>0</v>
      </c>
      <c r="D146" s="912">
        <f>'Jrnl Exp ~ Dép'!$F78</f>
        <v>0</v>
      </c>
      <c r="E146" s="918">
        <f>'Jrnl Exp ~ Dép'!$G78</f>
        <v>0</v>
      </c>
      <c r="F146" s="919">
        <f>'Jrnl Exp ~ Dép'!$E78</f>
        <v>0</v>
      </c>
      <c r="G146" s="920" t="str">
        <f>LEFT('Jrnl Exp ~ Dép'!$H78,4)</f>
        <v/>
      </c>
      <c r="H146" s="923"/>
      <c r="I146" s="895"/>
      <c r="J146" s="895"/>
      <c r="K146" s="895"/>
      <c r="L146" s="898"/>
      <c r="M146" s="875" t="str">
        <f t="shared" si="1"/>
        <v>0</v>
      </c>
      <c r="N146" s="26" t="str">
        <f t="shared" si="0"/>
        <v>3</v>
      </c>
      <c r="O146" s="26" t="str">
        <f t="shared" si="2"/>
        <v>0</v>
      </c>
    </row>
    <row r="147" spans="2:15" ht="23.75" hidden="1" customHeight="1" x14ac:dyDescent="0.15">
      <c r="B147" s="26">
        <f>'Jrnl Exp ~ Dép'!B79</f>
        <v>0</v>
      </c>
      <c r="C147" s="914">
        <f>'Jrnl Exp ~ Dép'!$D79</f>
        <v>0</v>
      </c>
      <c r="D147" s="912">
        <f>'Jrnl Exp ~ Dép'!$F79</f>
        <v>0</v>
      </c>
      <c r="E147" s="918">
        <f>'Jrnl Exp ~ Dép'!$G79</f>
        <v>0</v>
      </c>
      <c r="F147" s="919">
        <f>'Jrnl Exp ~ Dép'!$E79</f>
        <v>0</v>
      </c>
      <c r="G147" s="920" t="str">
        <f>LEFT('Jrnl Exp ~ Dép'!$H79,4)</f>
        <v/>
      </c>
      <c r="H147" s="923"/>
      <c r="I147" s="895"/>
      <c r="J147" s="895"/>
      <c r="K147" s="895"/>
      <c r="L147" s="898"/>
      <c r="M147" s="875" t="str">
        <f t="shared" si="1"/>
        <v>0</v>
      </c>
      <c r="N147" s="26" t="str">
        <f t="shared" si="0"/>
        <v>3</v>
      </c>
      <c r="O147" s="26" t="str">
        <f t="shared" si="2"/>
        <v>0</v>
      </c>
    </row>
    <row r="148" spans="2:15" ht="23.75" hidden="1" customHeight="1" x14ac:dyDescent="0.15">
      <c r="B148" s="26">
        <f>'Jrnl Exp ~ Dép'!B80</f>
        <v>0</v>
      </c>
      <c r="C148" s="914">
        <f>'Jrnl Exp ~ Dép'!$D80</f>
        <v>0</v>
      </c>
      <c r="D148" s="912">
        <f>'Jrnl Exp ~ Dép'!$F80</f>
        <v>0</v>
      </c>
      <c r="E148" s="918">
        <f>'Jrnl Exp ~ Dép'!$G80</f>
        <v>0</v>
      </c>
      <c r="F148" s="919">
        <f>'Jrnl Exp ~ Dép'!$E80</f>
        <v>0</v>
      </c>
      <c r="G148" s="920" t="str">
        <f>LEFT('Jrnl Exp ~ Dép'!$H80,4)</f>
        <v/>
      </c>
      <c r="H148" s="923"/>
      <c r="I148" s="895"/>
      <c r="J148" s="895"/>
      <c r="K148" s="895"/>
      <c r="L148" s="898"/>
      <c r="M148" s="875" t="str">
        <f t="shared" si="1"/>
        <v>0</v>
      </c>
      <c r="N148" s="26" t="str">
        <f t="shared" ref="N148:N211" si="3">IF(B148="√","2","3")</f>
        <v>3</v>
      </c>
      <c r="O148" s="26" t="str">
        <f t="shared" si="2"/>
        <v>0</v>
      </c>
    </row>
    <row r="149" spans="2:15" ht="23.75" hidden="1" customHeight="1" x14ac:dyDescent="0.15">
      <c r="B149" s="26">
        <f>'Jrnl Exp ~ Dép'!B81</f>
        <v>0</v>
      </c>
      <c r="C149" s="914">
        <f>'Jrnl Exp ~ Dép'!$D81</f>
        <v>0</v>
      </c>
      <c r="D149" s="912">
        <f>'Jrnl Exp ~ Dép'!$F81</f>
        <v>0</v>
      </c>
      <c r="E149" s="918">
        <f>'Jrnl Exp ~ Dép'!$G81</f>
        <v>0</v>
      </c>
      <c r="F149" s="919">
        <f>'Jrnl Exp ~ Dép'!$E81</f>
        <v>0</v>
      </c>
      <c r="G149" s="920" t="str">
        <f>LEFT('Jrnl Exp ~ Dép'!$H81,4)</f>
        <v/>
      </c>
      <c r="H149" s="923"/>
      <c r="I149" s="895"/>
      <c r="J149" s="895"/>
      <c r="K149" s="895"/>
      <c r="L149" s="898"/>
      <c r="M149" s="875" t="str">
        <f t="shared" ref="M149:M212" si="4">IF(E149&gt;0,"1","0")</f>
        <v>0</v>
      </c>
      <c r="N149" s="26" t="str">
        <f t="shared" si="3"/>
        <v>3</v>
      </c>
      <c r="O149" s="26" t="str">
        <f t="shared" ref="O149:O212" si="5">IF(AND(M149="1",N149="3"),"4","0")</f>
        <v>0</v>
      </c>
    </row>
    <row r="150" spans="2:15" ht="23.75" hidden="1" customHeight="1" x14ac:dyDescent="0.15">
      <c r="B150" s="26">
        <f>'Jrnl Exp ~ Dép'!B82</f>
        <v>0</v>
      </c>
      <c r="C150" s="914">
        <f>'Jrnl Exp ~ Dép'!$D82</f>
        <v>0</v>
      </c>
      <c r="D150" s="912">
        <f>'Jrnl Exp ~ Dép'!$F82</f>
        <v>0</v>
      </c>
      <c r="E150" s="918">
        <f>'Jrnl Exp ~ Dép'!$G82</f>
        <v>0</v>
      </c>
      <c r="F150" s="919">
        <f>'Jrnl Exp ~ Dép'!$E82</f>
        <v>0</v>
      </c>
      <c r="G150" s="920" t="str">
        <f>LEFT('Jrnl Exp ~ Dép'!$H82,4)</f>
        <v/>
      </c>
      <c r="H150" s="923"/>
      <c r="I150" s="895"/>
      <c r="J150" s="895"/>
      <c r="K150" s="895"/>
      <c r="L150" s="898"/>
      <c r="M150" s="875" t="str">
        <f t="shared" si="4"/>
        <v>0</v>
      </c>
      <c r="N150" s="26" t="str">
        <f t="shared" si="3"/>
        <v>3</v>
      </c>
      <c r="O150" s="26" t="str">
        <f t="shared" si="5"/>
        <v>0</v>
      </c>
    </row>
    <row r="151" spans="2:15" ht="23.75" hidden="1" customHeight="1" x14ac:dyDescent="0.15">
      <c r="B151" s="26">
        <f>'Jrnl Exp ~ Dép'!B83</f>
        <v>0</v>
      </c>
      <c r="C151" s="914">
        <f>'Jrnl Exp ~ Dép'!$D83</f>
        <v>0</v>
      </c>
      <c r="D151" s="912">
        <f>'Jrnl Exp ~ Dép'!$F83</f>
        <v>0</v>
      </c>
      <c r="E151" s="918">
        <f>'Jrnl Exp ~ Dép'!$G83</f>
        <v>0</v>
      </c>
      <c r="F151" s="919">
        <f>'Jrnl Exp ~ Dép'!$E83</f>
        <v>0</v>
      </c>
      <c r="G151" s="920" t="str">
        <f>LEFT('Jrnl Exp ~ Dép'!$H83,4)</f>
        <v/>
      </c>
      <c r="H151" s="923"/>
      <c r="I151" s="895"/>
      <c r="J151" s="895"/>
      <c r="K151" s="895"/>
      <c r="L151" s="898"/>
      <c r="M151" s="875" t="str">
        <f t="shared" si="4"/>
        <v>0</v>
      </c>
      <c r="N151" s="26" t="str">
        <f t="shared" si="3"/>
        <v>3</v>
      </c>
      <c r="O151" s="26" t="str">
        <f t="shared" si="5"/>
        <v>0</v>
      </c>
    </row>
    <row r="152" spans="2:15" ht="23.75" hidden="1" customHeight="1" x14ac:dyDescent="0.15">
      <c r="B152" s="26">
        <f>'Jrnl Exp ~ Dép'!B84</f>
        <v>0</v>
      </c>
      <c r="C152" s="914">
        <f>'Jrnl Exp ~ Dép'!$D84</f>
        <v>0</v>
      </c>
      <c r="D152" s="912">
        <f>'Jrnl Exp ~ Dép'!$F84</f>
        <v>0</v>
      </c>
      <c r="E152" s="918">
        <f>'Jrnl Exp ~ Dép'!$G84</f>
        <v>0</v>
      </c>
      <c r="F152" s="919">
        <f>'Jrnl Exp ~ Dép'!$E84</f>
        <v>0</v>
      </c>
      <c r="G152" s="920" t="str">
        <f>LEFT('Jrnl Exp ~ Dép'!$H84,4)</f>
        <v/>
      </c>
      <c r="H152" s="923"/>
      <c r="I152" s="895"/>
      <c r="J152" s="895"/>
      <c r="K152" s="895"/>
      <c r="L152" s="898"/>
      <c r="M152" s="875" t="str">
        <f t="shared" si="4"/>
        <v>0</v>
      </c>
      <c r="N152" s="26" t="str">
        <f t="shared" si="3"/>
        <v>3</v>
      </c>
      <c r="O152" s="26" t="str">
        <f t="shared" si="5"/>
        <v>0</v>
      </c>
    </row>
    <row r="153" spans="2:15" ht="23.75" hidden="1" customHeight="1" x14ac:dyDescent="0.15">
      <c r="B153" s="26">
        <f>'Jrnl Exp ~ Dép'!B85</f>
        <v>0</v>
      </c>
      <c r="C153" s="914">
        <f>'Jrnl Exp ~ Dép'!$D85</f>
        <v>0</v>
      </c>
      <c r="D153" s="912">
        <f>'Jrnl Exp ~ Dép'!$F85</f>
        <v>0</v>
      </c>
      <c r="E153" s="918">
        <f>'Jrnl Exp ~ Dép'!$G85</f>
        <v>0</v>
      </c>
      <c r="F153" s="919">
        <f>'Jrnl Exp ~ Dép'!$E85</f>
        <v>0</v>
      </c>
      <c r="G153" s="920" t="str">
        <f>LEFT('Jrnl Exp ~ Dép'!$H85,4)</f>
        <v/>
      </c>
      <c r="H153" s="923"/>
      <c r="I153" s="895"/>
      <c r="J153" s="895"/>
      <c r="K153" s="895"/>
      <c r="L153" s="898"/>
      <c r="M153" s="875" t="str">
        <f t="shared" si="4"/>
        <v>0</v>
      </c>
      <c r="N153" s="26" t="str">
        <f t="shared" si="3"/>
        <v>3</v>
      </c>
      <c r="O153" s="26" t="str">
        <f t="shared" si="5"/>
        <v>0</v>
      </c>
    </row>
    <row r="154" spans="2:15" ht="23.75" hidden="1" customHeight="1" x14ac:dyDescent="0.15">
      <c r="B154" s="26">
        <f>'Jrnl Exp ~ Dép'!B86</f>
        <v>0</v>
      </c>
      <c r="C154" s="914">
        <f>'Jrnl Exp ~ Dép'!$D86</f>
        <v>0</v>
      </c>
      <c r="D154" s="912">
        <f>'Jrnl Exp ~ Dép'!$F86</f>
        <v>0</v>
      </c>
      <c r="E154" s="918">
        <f>'Jrnl Exp ~ Dép'!$G86</f>
        <v>0</v>
      </c>
      <c r="F154" s="919">
        <f>'Jrnl Exp ~ Dép'!$E86</f>
        <v>0</v>
      </c>
      <c r="G154" s="920" t="str">
        <f>LEFT('Jrnl Exp ~ Dép'!$H86,4)</f>
        <v/>
      </c>
      <c r="H154" s="923"/>
      <c r="I154" s="895"/>
      <c r="J154" s="895"/>
      <c r="K154" s="895"/>
      <c r="L154" s="898"/>
      <c r="M154" s="875" t="str">
        <f t="shared" si="4"/>
        <v>0</v>
      </c>
      <c r="N154" s="26" t="str">
        <f t="shared" si="3"/>
        <v>3</v>
      </c>
      <c r="O154" s="26" t="str">
        <f t="shared" si="5"/>
        <v>0</v>
      </c>
    </row>
    <row r="155" spans="2:15" ht="23.75" hidden="1" customHeight="1" x14ac:dyDescent="0.15">
      <c r="B155" s="26">
        <f>'Jrnl Exp ~ Dép'!B87</f>
        <v>0</v>
      </c>
      <c r="C155" s="914">
        <f>'Jrnl Exp ~ Dép'!$D87</f>
        <v>0</v>
      </c>
      <c r="D155" s="912">
        <f>'Jrnl Exp ~ Dép'!$F87</f>
        <v>0</v>
      </c>
      <c r="E155" s="918">
        <f>'Jrnl Exp ~ Dép'!$G87</f>
        <v>0</v>
      </c>
      <c r="F155" s="919">
        <f>'Jrnl Exp ~ Dép'!$E87</f>
        <v>0</v>
      </c>
      <c r="G155" s="920" t="str">
        <f>LEFT('Jrnl Exp ~ Dép'!$H87,4)</f>
        <v/>
      </c>
      <c r="H155" s="923"/>
      <c r="I155" s="895"/>
      <c r="J155" s="895"/>
      <c r="K155" s="895"/>
      <c r="L155" s="898"/>
      <c r="M155" s="875" t="str">
        <f t="shared" si="4"/>
        <v>0</v>
      </c>
      <c r="N155" s="26" t="str">
        <f t="shared" si="3"/>
        <v>3</v>
      </c>
      <c r="O155" s="26" t="str">
        <f t="shared" si="5"/>
        <v>0</v>
      </c>
    </row>
    <row r="156" spans="2:15" ht="23.75" hidden="1" customHeight="1" x14ac:dyDescent="0.15">
      <c r="B156" s="26">
        <f>'Jrnl Exp ~ Dép'!B88</f>
        <v>0</v>
      </c>
      <c r="C156" s="914">
        <f>'Jrnl Exp ~ Dép'!$D88</f>
        <v>0</v>
      </c>
      <c r="D156" s="912">
        <f>'Jrnl Exp ~ Dép'!$F88</f>
        <v>0</v>
      </c>
      <c r="E156" s="918">
        <f>'Jrnl Exp ~ Dép'!$G88</f>
        <v>0</v>
      </c>
      <c r="F156" s="919">
        <f>'Jrnl Exp ~ Dép'!$E88</f>
        <v>0</v>
      </c>
      <c r="G156" s="920" t="str">
        <f>LEFT('Jrnl Exp ~ Dép'!$H88,4)</f>
        <v/>
      </c>
      <c r="H156" s="923"/>
      <c r="I156" s="895"/>
      <c r="J156" s="895"/>
      <c r="K156" s="895"/>
      <c r="L156" s="898"/>
      <c r="M156" s="875" t="str">
        <f t="shared" si="4"/>
        <v>0</v>
      </c>
      <c r="N156" s="26" t="str">
        <f t="shared" si="3"/>
        <v>3</v>
      </c>
      <c r="O156" s="26" t="str">
        <f t="shared" si="5"/>
        <v>0</v>
      </c>
    </row>
    <row r="157" spans="2:15" ht="23.75" hidden="1" customHeight="1" x14ac:dyDescent="0.15">
      <c r="B157" s="26">
        <f>'Jrnl Exp ~ Dép'!B89</f>
        <v>0</v>
      </c>
      <c r="C157" s="914">
        <f>'Jrnl Exp ~ Dép'!$D89</f>
        <v>0</v>
      </c>
      <c r="D157" s="912">
        <f>'Jrnl Exp ~ Dép'!$F89</f>
        <v>0</v>
      </c>
      <c r="E157" s="918">
        <f>'Jrnl Exp ~ Dép'!$G89</f>
        <v>0</v>
      </c>
      <c r="F157" s="919">
        <f>'Jrnl Exp ~ Dép'!$E89</f>
        <v>0</v>
      </c>
      <c r="G157" s="920" t="str">
        <f>LEFT('Jrnl Exp ~ Dép'!$H89,4)</f>
        <v/>
      </c>
      <c r="H157" s="923"/>
      <c r="I157" s="895"/>
      <c r="J157" s="895"/>
      <c r="K157" s="895"/>
      <c r="L157" s="898"/>
      <c r="M157" s="875" t="str">
        <f t="shared" si="4"/>
        <v>0</v>
      </c>
      <c r="N157" s="26" t="str">
        <f t="shared" si="3"/>
        <v>3</v>
      </c>
      <c r="O157" s="26" t="str">
        <f t="shared" si="5"/>
        <v>0</v>
      </c>
    </row>
    <row r="158" spans="2:15" ht="23.75" hidden="1" customHeight="1" x14ac:dyDescent="0.15">
      <c r="B158" s="26">
        <f>'Jrnl Exp ~ Dép'!B90</f>
        <v>0</v>
      </c>
      <c r="C158" s="914">
        <f>'Jrnl Exp ~ Dép'!$D90</f>
        <v>0</v>
      </c>
      <c r="D158" s="912">
        <f>'Jrnl Exp ~ Dép'!$F90</f>
        <v>0</v>
      </c>
      <c r="E158" s="918">
        <f>'Jrnl Exp ~ Dép'!$G90</f>
        <v>0</v>
      </c>
      <c r="F158" s="919">
        <f>'Jrnl Exp ~ Dép'!$E90</f>
        <v>0</v>
      </c>
      <c r="G158" s="920" t="str">
        <f>LEFT('Jrnl Exp ~ Dép'!$H90,4)</f>
        <v/>
      </c>
      <c r="H158" s="923"/>
      <c r="I158" s="895"/>
      <c r="J158" s="895"/>
      <c r="K158" s="895"/>
      <c r="L158" s="898"/>
      <c r="M158" s="875" t="str">
        <f t="shared" si="4"/>
        <v>0</v>
      </c>
      <c r="N158" s="26" t="str">
        <f t="shared" si="3"/>
        <v>3</v>
      </c>
      <c r="O158" s="26" t="str">
        <f t="shared" si="5"/>
        <v>0</v>
      </c>
    </row>
    <row r="159" spans="2:15" ht="23.75" hidden="1" customHeight="1" x14ac:dyDescent="0.15">
      <c r="B159" s="26">
        <f>'Jrnl Exp ~ Dép'!B91</f>
        <v>0</v>
      </c>
      <c r="C159" s="914">
        <f>'Jrnl Exp ~ Dép'!$D91</f>
        <v>0</v>
      </c>
      <c r="D159" s="912">
        <f>'Jrnl Exp ~ Dép'!$F91</f>
        <v>0</v>
      </c>
      <c r="E159" s="918">
        <f>'Jrnl Exp ~ Dép'!$G91</f>
        <v>0</v>
      </c>
      <c r="F159" s="919">
        <f>'Jrnl Exp ~ Dép'!$E91</f>
        <v>0</v>
      </c>
      <c r="G159" s="920" t="str">
        <f>LEFT('Jrnl Exp ~ Dép'!$H91,4)</f>
        <v/>
      </c>
      <c r="H159" s="923"/>
      <c r="I159" s="895"/>
      <c r="J159" s="895"/>
      <c r="K159" s="895"/>
      <c r="L159" s="898"/>
      <c r="M159" s="875" t="str">
        <f t="shared" si="4"/>
        <v>0</v>
      </c>
      <c r="N159" s="26" t="str">
        <f t="shared" si="3"/>
        <v>3</v>
      </c>
      <c r="O159" s="26" t="str">
        <f t="shared" si="5"/>
        <v>0</v>
      </c>
    </row>
    <row r="160" spans="2:15" ht="23.75" hidden="1" customHeight="1" x14ac:dyDescent="0.15">
      <c r="B160" s="26">
        <f>'Jrnl Exp ~ Dép'!B92</f>
        <v>0</v>
      </c>
      <c r="C160" s="914">
        <f>'Jrnl Exp ~ Dép'!$D92</f>
        <v>0</v>
      </c>
      <c r="D160" s="912">
        <f>'Jrnl Exp ~ Dép'!$F92</f>
        <v>0</v>
      </c>
      <c r="E160" s="918">
        <f>'Jrnl Exp ~ Dép'!$G92</f>
        <v>0</v>
      </c>
      <c r="F160" s="919">
        <f>'Jrnl Exp ~ Dép'!$E92</f>
        <v>0</v>
      </c>
      <c r="G160" s="920" t="str">
        <f>LEFT('Jrnl Exp ~ Dép'!$H92,4)</f>
        <v/>
      </c>
      <c r="H160" s="923"/>
      <c r="I160" s="895"/>
      <c r="J160" s="895"/>
      <c r="K160" s="895"/>
      <c r="L160" s="898"/>
      <c r="M160" s="875" t="str">
        <f t="shared" si="4"/>
        <v>0</v>
      </c>
      <c r="N160" s="26" t="str">
        <f t="shared" si="3"/>
        <v>3</v>
      </c>
      <c r="O160" s="26" t="str">
        <f t="shared" si="5"/>
        <v>0</v>
      </c>
    </row>
    <row r="161" spans="2:15" ht="23.75" hidden="1" customHeight="1" x14ac:dyDescent="0.15">
      <c r="B161" s="26">
        <f>'Jrnl Exp ~ Dép'!B93</f>
        <v>0</v>
      </c>
      <c r="C161" s="914">
        <f>'Jrnl Exp ~ Dép'!$D93</f>
        <v>0</v>
      </c>
      <c r="D161" s="912">
        <f>'Jrnl Exp ~ Dép'!$F93</f>
        <v>0</v>
      </c>
      <c r="E161" s="918">
        <f>'Jrnl Exp ~ Dép'!$G93</f>
        <v>0</v>
      </c>
      <c r="F161" s="919">
        <f>'Jrnl Exp ~ Dép'!$E93</f>
        <v>0</v>
      </c>
      <c r="G161" s="920" t="str">
        <f>LEFT('Jrnl Exp ~ Dép'!$H93,4)</f>
        <v/>
      </c>
      <c r="H161" s="923"/>
      <c r="I161" s="895"/>
      <c r="J161" s="895"/>
      <c r="K161" s="895"/>
      <c r="L161" s="898"/>
      <c r="M161" s="875" t="str">
        <f t="shared" si="4"/>
        <v>0</v>
      </c>
      <c r="N161" s="26" t="str">
        <f t="shared" si="3"/>
        <v>3</v>
      </c>
      <c r="O161" s="26" t="str">
        <f t="shared" si="5"/>
        <v>0</v>
      </c>
    </row>
    <row r="162" spans="2:15" ht="23.75" hidden="1" customHeight="1" x14ac:dyDescent="0.15">
      <c r="B162" s="26">
        <f>'Jrnl Exp ~ Dép'!B94</f>
        <v>0</v>
      </c>
      <c r="C162" s="914">
        <f>'Jrnl Exp ~ Dép'!$D94</f>
        <v>0</v>
      </c>
      <c r="D162" s="912">
        <f>'Jrnl Exp ~ Dép'!$F94</f>
        <v>0</v>
      </c>
      <c r="E162" s="918">
        <f>'Jrnl Exp ~ Dép'!$G94</f>
        <v>0</v>
      </c>
      <c r="F162" s="919">
        <f>'Jrnl Exp ~ Dép'!$E94</f>
        <v>0</v>
      </c>
      <c r="G162" s="920" t="str">
        <f>LEFT('Jrnl Exp ~ Dép'!$H94,4)</f>
        <v/>
      </c>
      <c r="H162" s="923"/>
      <c r="I162" s="895"/>
      <c r="J162" s="895"/>
      <c r="K162" s="895"/>
      <c r="L162" s="898"/>
      <c r="M162" s="875" t="str">
        <f t="shared" si="4"/>
        <v>0</v>
      </c>
      <c r="N162" s="26" t="str">
        <f t="shared" si="3"/>
        <v>3</v>
      </c>
      <c r="O162" s="26" t="str">
        <f t="shared" si="5"/>
        <v>0</v>
      </c>
    </row>
    <row r="163" spans="2:15" ht="23.75" hidden="1" customHeight="1" x14ac:dyDescent="0.15">
      <c r="B163" s="26">
        <f>'Jrnl Exp ~ Dép'!B95</f>
        <v>0</v>
      </c>
      <c r="C163" s="914">
        <f>'Jrnl Exp ~ Dép'!$D95</f>
        <v>0</v>
      </c>
      <c r="D163" s="912">
        <f>'Jrnl Exp ~ Dép'!$F95</f>
        <v>0</v>
      </c>
      <c r="E163" s="918">
        <f>'Jrnl Exp ~ Dép'!$G95</f>
        <v>0</v>
      </c>
      <c r="F163" s="919">
        <f>'Jrnl Exp ~ Dép'!$E95</f>
        <v>0</v>
      </c>
      <c r="G163" s="920" t="str">
        <f>LEFT('Jrnl Exp ~ Dép'!$H95,4)</f>
        <v/>
      </c>
      <c r="H163" s="923"/>
      <c r="I163" s="895"/>
      <c r="J163" s="895"/>
      <c r="K163" s="895"/>
      <c r="L163" s="898"/>
      <c r="M163" s="875" t="str">
        <f t="shared" si="4"/>
        <v>0</v>
      </c>
      <c r="N163" s="26" t="str">
        <f t="shared" si="3"/>
        <v>3</v>
      </c>
      <c r="O163" s="26" t="str">
        <f t="shared" si="5"/>
        <v>0</v>
      </c>
    </row>
    <row r="164" spans="2:15" ht="23.75" hidden="1" customHeight="1" x14ac:dyDescent="0.15">
      <c r="B164" s="26">
        <f>'Jrnl Exp ~ Dép'!B96</f>
        <v>0</v>
      </c>
      <c r="C164" s="914">
        <f>'Jrnl Exp ~ Dép'!$D96</f>
        <v>0</v>
      </c>
      <c r="D164" s="912">
        <f>'Jrnl Exp ~ Dép'!$F96</f>
        <v>0</v>
      </c>
      <c r="E164" s="918">
        <f>'Jrnl Exp ~ Dép'!$G96</f>
        <v>0</v>
      </c>
      <c r="F164" s="919">
        <f>'Jrnl Exp ~ Dép'!$E96</f>
        <v>0</v>
      </c>
      <c r="G164" s="920" t="str">
        <f>LEFT('Jrnl Exp ~ Dép'!$H96,4)</f>
        <v/>
      </c>
      <c r="H164" s="923"/>
      <c r="I164" s="895"/>
      <c r="J164" s="895"/>
      <c r="K164" s="895"/>
      <c r="L164" s="898"/>
      <c r="M164" s="875" t="str">
        <f t="shared" si="4"/>
        <v>0</v>
      </c>
      <c r="N164" s="26" t="str">
        <f t="shared" si="3"/>
        <v>3</v>
      </c>
      <c r="O164" s="26" t="str">
        <f t="shared" si="5"/>
        <v>0</v>
      </c>
    </row>
    <row r="165" spans="2:15" ht="23.75" hidden="1" customHeight="1" x14ac:dyDescent="0.15">
      <c r="B165" s="26">
        <f>'Jrnl Exp ~ Dép'!B97</f>
        <v>0</v>
      </c>
      <c r="C165" s="914">
        <f>'Jrnl Exp ~ Dép'!$D97</f>
        <v>0</v>
      </c>
      <c r="D165" s="912">
        <f>'Jrnl Exp ~ Dép'!$F97</f>
        <v>0</v>
      </c>
      <c r="E165" s="918">
        <f>'Jrnl Exp ~ Dép'!$G97</f>
        <v>0</v>
      </c>
      <c r="F165" s="919">
        <f>'Jrnl Exp ~ Dép'!$E97</f>
        <v>0</v>
      </c>
      <c r="G165" s="920" t="str">
        <f>LEFT('Jrnl Exp ~ Dép'!$H97,4)</f>
        <v/>
      </c>
      <c r="H165" s="923"/>
      <c r="I165" s="895"/>
      <c r="J165" s="895"/>
      <c r="K165" s="895"/>
      <c r="L165" s="898"/>
      <c r="M165" s="875" t="str">
        <f t="shared" si="4"/>
        <v>0</v>
      </c>
      <c r="N165" s="26" t="str">
        <f t="shared" si="3"/>
        <v>3</v>
      </c>
      <c r="O165" s="26" t="str">
        <f t="shared" si="5"/>
        <v>0</v>
      </c>
    </row>
    <row r="166" spans="2:15" ht="23.75" hidden="1" customHeight="1" x14ac:dyDescent="0.15">
      <c r="B166" s="26">
        <f>'Jrnl Exp ~ Dép'!B98</f>
        <v>0</v>
      </c>
      <c r="C166" s="914">
        <f>'Jrnl Exp ~ Dép'!$D98</f>
        <v>0</v>
      </c>
      <c r="D166" s="912">
        <f>'Jrnl Exp ~ Dép'!$F98</f>
        <v>0</v>
      </c>
      <c r="E166" s="918">
        <f>'Jrnl Exp ~ Dép'!$G98</f>
        <v>0</v>
      </c>
      <c r="F166" s="919">
        <f>'Jrnl Exp ~ Dép'!$E98</f>
        <v>0</v>
      </c>
      <c r="G166" s="920" t="str">
        <f>LEFT('Jrnl Exp ~ Dép'!$H98,4)</f>
        <v/>
      </c>
      <c r="H166" s="923"/>
      <c r="I166" s="895"/>
      <c r="J166" s="895"/>
      <c r="K166" s="895"/>
      <c r="L166" s="898"/>
      <c r="M166" s="875" t="str">
        <f t="shared" si="4"/>
        <v>0</v>
      </c>
      <c r="N166" s="26" t="str">
        <f t="shared" si="3"/>
        <v>3</v>
      </c>
      <c r="O166" s="26" t="str">
        <f t="shared" si="5"/>
        <v>0</v>
      </c>
    </row>
    <row r="167" spans="2:15" ht="23.75" hidden="1" customHeight="1" x14ac:dyDescent="0.15">
      <c r="B167" s="26">
        <f>'Jrnl Exp ~ Dép'!B99</f>
        <v>0</v>
      </c>
      <c r="C167" s="914">
        <f>'Jrnl Exp ~ Dép'!$D99</f>
        <v>0</v>
      </c>
      <c r="D167" s="912">
        <f>'Jrnl Exp ~ Dép'!$F99</f>
        <v>0</v>
      </c>
      <c r="E167" s="918">
        <f>'Jrnl Exp ~ Dép'!$G99</f>
        <v>0</v>
      </c>
      <c r="F167" s="919">
        <f>'Jrnl Exp ~ Dép'!$E99</f>
        <v>0</v>
      </c>
      <c r="G167" s="920" t="str">
        <f>LEFT('Jrnl Exp ~ Dép'!$H99,4)</f>
        <v/>
      </c>
      <c r="H167" s="923"/>
      <c r="I167" s="895"/>
      <c r="J167" s="895"/>
      <c r="K167" s="895"/>
      <c r="L167" s="898"/>
      <c r="M167" s="875" t="str">
        <f t="shared" si="4"/>
        <v>0</v>
      </c>
      <c r="N167" s="26" t="str">
        <f t="shared" si="3"/>
        <v>3</v>
      </c>
      <c r="O167" s="26" t="str">
        <f t="shared" si="5"/>
        <v>0</v>
      </c>
    </row>
    <row r="168" spans="2:15" ht="23.75" hidden="1" customHeight="1" x14ac:dyDescent="0.15">
      <c r="B168" s="26">
        <f>'Jrnl Exp ~ Dép'!B100</f>
        <v>0</v>
      </c>
      <c r="C168" s="914">
        <f>'Jrnl Exp ~ Dép'!$D100</f>
        <v>0</v>
      </c>
      <c r="D168" s="912">
        <f>'Jrnl Exp ~ Dép'!$F100</f>
        <v>0</v>
      </c>
      <c r="E168" s="918">
        <f>'Jrnl Exp ~ Dép'!$G100</f>
        <v>0</v>
      </c>
      <c r="F168" s="919">
        <f>'Jrnl Exp ~ Dép'!$E100</f>
        <v>0</v>
      </c>
      <c r="G168" s="920" t="str">
        <f>LEFT('Jrnl Exp ~ Dép'!$H100,4)</f>
        <v/>
      </c>
      <c r="H168" s="923"/>
      <c r="I168" s="895"/>
      <c r="J168" s="895"/>
      <c r="K168" s="895"/>
      <c r="L168" s="898"/>
      <c r="M168" s="875" t="str">
        <f t="shared" si="4"/>
        <v>0</v>
      </c>
      <c r="N168" s="26" t="str">
        <f t="shared" si="3"/>
        <v>3</v>
      </c>
      <c r="O168" s="26" t="str">
        <f t="shared" si="5"/>
        <v>0</v>
      </c>
    </row>
    <row r="169" spans="2:15" ht="23.75" hidden="1" customHeight="1" x14ac:dyDescent="0.15">
      <c r="B169" s="26">
        <f>'Jrnl Exp ~ Dép'!B101</f>
        <v>0</v>
      </c>
      <c r="C169" s="914">
        <f>'Jrnl Exp ~ Dép'!$D101</f>
        <v>0</v>
      </c>
      <c r="D169" s="912">
        <f>'Jrnl Exp ~ Dép'!$F101</f>
        <v>0</v>
      </c>
      <c r="E169" s="918">
        <f>'Jrnl Exp ~ Dép'!$G101</f>
        <v>0</v>
      </c>
      <c r="F169" s="919">
        <f>'Jrnl Exp ~ Dép'!$E101</f>
        <v>0</v>
      </c>
      <c r="G169" s="920" t="str">
        <f>LEFT('Jrnl Exp ~ Dép'!$H101,4)</f>
        <v/>
      </c>
      <c r="H169" s="923"/>
      <c r="I169" s="895"/>
      <c r="J169" s="895"/>
      <c r="K169" s="895"/>
      <c r="L169" s="898"/>
      <c r="M169" s="875" t="str">
        <f t="shared" si="4"/>
        <v>0</v>
      </c>
      <c r="N169" s="26" t="str">
        <f t="shared" si="3"/>
        <v>3</v>
      </c>
      <c r="O169" s="26" t="str">
        <f t="shared" si="5"/>
        <v>0</v>
      </c>
    </row>
    <row r="170" spans="2:15" ht="23.75" hidden="1" customHeight="1" x14ac:dyDescent="0.15">
      <c r="B170" s="26">
        <f>'Jrnl Exp ~ Dép'!B102</f>
        <v>0</v>
      </c>
      <c r="C170" s="914">
        <f>'Jrnl Exp ~ Dép'!$D102</f>
        <v>0</v>
      </c>
      <c r="D170" s="912">
        <f>'Jrnl Exp ~ Dép'!$F102</f>
        <v>0</v>
      </c>
      <c r="E170" s="918">
        <f>'Jrnl Exp ~ Dép'!$G102</f>
        <v>0</v>
      </c>
      <c r="F170" s="919">
        <f>'Jrnl Exp ~ Dép'!$E102</f>
        <v>0</v>
      </c>
      <c r="G170" s="920" t="str">
        <f>LEFT('Jrnl Exp ~ Dép'!$H102,4)</f>
        <v/>
      </c>
      <c r="H170" s="923"/>
      <c r="I170" s="895"/>
      <c r="J170" s="895"/>
      <c r="K170" s="895"/>
      <c r="L170" s="898"/>
      <c r="M170" s="875" t="str">
        <f t="shared" si="4"/>
        <v>0</v>
      </c>
      <c r="N170" s="26" t="str">
        <f t="shared" si="3"/>
        <v>3</v>
      </c>
      <c r="O170" s="26" t="str">
        <f t="shared" si="5"/>
        <v>0</v>
      </c>
    </row>
    <row r="171" spans="2:15" ht="23.75" hidden="1" customHeight="1" x14ac:dyDescent="0.15">
      <c r="B171" s="26">
        <f>'Jrnl Exp ~ Dép'!B103</f>
        <v>0</v>
      </c>
      <c r="C171" s="914">
        <f>'Jrnl Exp ~ Dép'!$D103</f>
        <v>0</v>
      </c>
      <c r="D171" s="912">
        <f>'Jrnl Exp ~ Dép'!$F103</f>
        <v>0</v>
      </c>
      <c r="E171" s="918">
        <f>'Jrnl Exp ~ Dép'!$G103</f>
        <v>0</v>
      </c>
      <c r="F171" s="919">
        <f>'Jrnl Exp ~ Dép'!$E103</f>
        <v>0</v>
      </c>
      <c r="G171" s="920" t="str">
        <f>LEFT('Jrnl Exp ~ Dép'!$H103,4)</f>
        <v/>
      </c>
      <c r="H171" s="923"/>
      <c r="I171" s="895"/>
      <c r="J171" s="895"/>
      <c r="K171" s="895"/>
      <c r="L171" s="898"/>
      <c r="M171" s="875" t="str">
        <f t="shared" si="4"/>
        <v>0</v>
      </c>
      <c r="N171" s="26" t="str">
        <f t="shared" si="3"/>
        <v>3</v>
      </c>
      <c r="O171" s="26" t="str">
        <f t="shared" si="5"/>
        <v>0</v>
      </c>
    </row>
    <row r="172" spans="2:15" ht="23.75" hidden="1" customHeight="1" x14ac:dyDescent="0.15">
      <c r="B172" s="26">
        <f>'Jrnl Exp ~ Dép'!B104</f>
        <v>0</v>
      </c>
      <c r="C172" s="914">
        <f>'Jrnl Exp ~ Dép'!$D104</f>
        <v>0</v>
      </c>
      <c r="D172" s="912">
        <f>'Jrnl Exp ~ Dép'!$F104</f>
        <v>0</v>
      </c>
      <c r="E172" s="918">
        <f>'Jrnl Exp ~ Dép'!$G104</f>
        <v>0</v>
      </c>
      <c r="F172" s="919">
        <f>'Jrnl Exp ~ Dép'!$E104</f>
        <v>0</v>
      </c>
      <c r="G172" s="920" t="str">
        <f>LEFT('Jrnl Exp ~ Dép'!$H104,4)</f>
        <v/>
      </c>
      <c r="H172" s="923"/>
      <c r="I172" s="895"/>
      <c r="J172" s="895"/>
      <c r="K172" s="895"/>
      <c r="L172" s="898"/>
      <c r="M172" s="875" t="str">
        <f t="shared" si="4"/>
        <v>0</v>
      </c>
      <c r="N172" s="26" t="str">
        <f t="shared" si="3"/>
        <v>3</v>
      </c>
      <c r="O172" s="26" t="str">
        <f t="shared" si="5"/>
        <v>0</v>
      </c>
    </row>
    <row r="173" spans="2:15" ht="23.75" hidden="1" customHeight="1" x14ac:dyDescent="0.15">
      <c r="B173" s="26">
        <f>'Jrnl Exp ~ Dép'!B105</f>
        <v>0</v>
      </c>
      <c r="C173" s="914">
        <f>'Jrnl Exp ~ Dép'!$D105</f>
        <v>0</v>
      </c>
      <c r="D173" s="912">
        <f>'Jrnl Exp ~ Dép'!$F105</f>
        <v>0</v>
      </c>
      <c r="E173" s="918">
        <f>'Jrnl Exp ~ Dép'!$G105</f>
        <v>0</v>
      </c>
      <c r="F173" s="919">
        <f>'Jrnl Exp ~ Dép'!$E105</f>
        <v>0</v>
      </c>
      <c r="G173" s="920" t="str">
        <f>LEFT('Jrnl Exp ~ Dép'!$H105,4)</f>
        <v/>
      </c>
      <c r="H173" s="923"/>
      <c r="I173" s="895"/>
      <c r="J173" s="895"/>
      <c r="K173" s="895"/>
      <c r="L173" s="898"/>
      <c r="M173" s="875" t="str">
        <f t="shared" si="4"/>
        <v>0</v>
      </c>
      <c r="N173" s="26" t="str">
        <f t="shared" si="3"/>
        <v>3</v>
      </c>
      <c r="O173" s="26" t="str">
        <f t="shared" si="5"/>
        <v>0</v>
      </c>
    </row>
    <row r="174" spans="2:15" ht="23.75" hidden="1" customHeight="1" x14ac:dyDescent="0.15">
      <c r="B174" s="26">
        <f>'Jrnl Exp ~ Dép'!B106</f>
        <v>0</v>
      </c>
      <c r="C174" s="914">
        <f>'Jrnl Exp ~ Dép'!$D106</f>
        <v>0</v>
      </c>
      <c r="D174" s="912">
        <f>'Jrnl Exp ~ Dép'!$F106</f>
        <v>0</v>
      </c>
      <c r="E174" s="918">
        <f>'Jrnl Exp ~ Dép'!$G106</f>
        <v>0</v>
      </c>
      <c r="F174" s="919">
        <f>'Jrnl Exp ~ Dép'!$E106</f>
        <v>0</v>
      </c>
      <c r="G174" s="920" t="str">
        <f>LEFT('Jrnl Exp ~ Dép'!$H106,4)</f>
        <v/>
      </c>
      <c r="H174" s="923"/>
      <c r="I174" s="895"/>
      <c r="J174" s="895"/>
      <c r="K174" s="895"/>
      <c r="L174" s="898"/>
      <c r="M174" s="875" t="str">
        <f t="shared" si="4"/>
        <v>0</v>
      </c>
      <c r="N174" s="26" t="str">
        <f t="shared" si="3"/>
        <v>3</v>
      </c>
      <c r="O174" s="26" t="str">
        <f t="shared" si="5"/>
        <v>0</v>
      </c>
    </row>
    <row r="175" spans="2:15" ht="23.75" hidden="1" customHeight="1" x14ac:dyDescent="0.15">
      <c r="B175" s="26">
        <f>'Jrnl Exp ~ Dép'!B107</f>
        <v>0</v>
      </c>
      <c r="C175" s="914">
        <f>'Jrnl Exp ~ Dép'!$D107</f>
        <v>0</v>
      </c>
      <c r="D175" s="912">
        <f>'Jrnl Exp ~ Dép'!$F107</f>
        <v>0</v>
      </c>
      <c r="E175" s="918">
        <f>'Jrnl Exp ~ Dép'!$G107</f>
        <v>0</v>
      </c>
      <c r="F175" s="919">
        <f>'Jrnl Exp ~ Dép'!$E107</f>
        <v>0</v>
      </c>
      <c r="G175" s="920" t="str">
        <f>LEFT('Jrnl Exp ~ Dép'!$H107,4)</f>
        <v/>
      </c>
      <c r="H175" s="923"/>
      <c r="I175" s="895"/>
      <c r="J175" s="895"/>
      <c r="K175" s="895"/>
      <c r="L175" s="898"/>
      <c r="M175" s="875" t="str">
        <f t="shared" si="4"/>
        <v>0</v>
      </c>
      <c r="N175" s="26" t="str">
        <f t="shared" si="3"/>
        <v>3</v>
      </c>
      <c r="O175" s="26" t="str">
        <f t="shared" si="5"/>
        <v>0</v>
      </c>
    </row>
    <row r="176" spans="2:15" ht="23.75" hidden="1" customHeight="1" x14ac:dyDescent="0.15">
      <c r="B176" s="26">
        <f>'Jrnl Exp ~ Dép'!B108</f>
        <v>0</v>
      </c>
      <c r="C176" s="914">
        <f>'Jrnl Exp ~ Dép'!$D108</f>
        <v>0</v>
      </c>
      <c r="D176" s="912">
        <f>'Jrnl Exp ~ Dép'!$F108</f>
        <v>0</v>
      </c>
      <c r="E176" s="918">
        <f>'Jrnl Exp ~ Dép'!$G108</f>
        <v>0</v>
      </c>
      <c r="F176" s="919">
        <f>'Jrnl Exp ~ Dép'!$E108</f>
        <v>0</v>
      </c>
      <c r="G176" s="920" t="str">
        <f>LEFT('Jrnl Exp ~ Dép'!$H108,4)</f>
        <v/>
      </c>
      <c r="H176" s="923"/>
      <c r="I176" s="895"/>
      <c r="J176" s="895"/>
      <c r="K176" s="895"/>
      <c r="L176" s="898"/>
      <c r="M176" s="875" t="str">
        <f t="shared" si="4"/>
        <v>0</v>
      </c>
      <c r="N176" s="26" t="str">
        <f t="shared" si="3"/>
        <v>3</v>
      </c>
      <c r="O176" s="26" t="str">
        <f t="shared" si="5"/>
        <v>0</v>
      </c>
    </row>
    <row r="177" spans="2:15" ht="23.75" hidden="1" customHeight="1" x14ac:dyDescent="0.15">
      <c r="B177" s="26">
        <f>'Jrnl Exp ~ Dép'!B109</f>
        <v>0</v>
      </c>
      <c r="C177" s="914">
        <f>'Jrnl Exp ~ Dép'!$D109</f>
        <v>0</v>
      </c>
      <c r="D177" s="912">
        <f>'Jrnl Exp ~ Dép'!$F109</f>
        <v>0</v>
      </c>
      <c r="E177" s="918">
        <f>'Jrnl Exp ~ Dép'!$G109</f>
        <v>0</v>
      </c>
      <c r="F177" s="919">
        <f>'Jrnl Exp ~ Dép'!$E109</f>
        <v>0</v>
      </c>
      <c r="G177" s="920" t="str">
        <f>LEFT('Jrnl Exp ~ Dép'!$H109,4)</f>
        <v/>
      </c>
      <c r="H177" s="923"/>
      <c r="I177" s="895"/>
      <c r="J177" s="895"/>
      <c r="K177" s="895"/>
      <c r="L177" s="898"/>
      <c r="M177" s="875" t="str">
        <f t="shared" si="4"/>
        <v>0</v>
      </c>
      <c r="N177" s="26" t="str">
        <f t="shared" si="3"/>
        <v>3</v>
      </c>
      <c r="O177" s="26" t="str">
        <f t="shared" si="5"/>
        <v>0</v>
      </c>
    </row>
    <row r="178" spans="2:15" ht="23.75" hidden="1" customHeight="1" x14ac:dyDescent="0.15">
      <c r="B178" s="26">
        <f>'Jrnl Exp ~ Dép'!B110</f>
        <v>0</v>
      </c>
      <c r="C178" s="914">
        <f>'Jrnl Exp ~ Dép'!$D110</f>
        <v>0</v>
      </c>
      <c r="D178" s="912">
        <f>'Jrnl Exp ~ Dép'!$F110</f>
        <v>0</v>
      </c>
      <c r="E178" s="918">
        <f>'Jrnl Exp ~ Dép'!$G110</f>
        <v>0</v>
      </c>
      <c r="F178" s="919">
        <f>'Jrnl Exp ~ Dép'!$E110</f>
        <v>0</v>
      </c>
      <c r="G178" s="920" t="str">
        <f>LEFT('Jrnl Exp ~ Dép'!$H110,4)</f>
        <v/>
      </c>
      <c r="H178" s="923"/>
      <c r="I178" s="895"/>
      <c r="J178" s="895"/>
      <c r="K178" s="895"/>
      <c r="L178" s="898"/>
      <c r="M178" s="875" t="str">
        <f t="shared" si="4"/>
        <v>0</v>
      </c>
      <c r="N178" s="26" t="str">
        <f t="shared" si="3"/>
        <v>3</v>
      </c>
      <c r="O178" s="26" t="str">
        <f t="shared" si="5"/>
        <v>0</v>
      </c>
    </row>
    <row r="179" spans="2:15" ht="23.75" hidden="1" customHeight="1" x14ac:dyDescent="0.15">
      <c r="B179" s="26">
        <f>'Jrnl Exp ~ Dép'!B111</f>
        <v>0</v>
      </c>
      <c r="C179" s="914">
        <f>'Jrnl Exp ~ Dép'!$D111</f>
        <v>0</v>
      </c>
      <c r="D179" s="912">
        <f>'Jrnl Exp ~ Dép'!$F111</f>
        <v>0</v>
      </c>
      <c r="E179" s="918">
        <f>'Jrnl Exp ~ Dép'!$G111</f>
        <v>0</v>
      </c>
      <c r="F179" s="919">
        <f>'Jrnl Exp ~ Dép'!$E111</f>
        <v>0</v>
      </c>
      <c r="G179" s="920" t="str">
        <f>LEFT('Jrnl Exp ~ Dép'!$H111,4)</f>
        <v/>
      </c>
      <c r="H179" s="923"/>
      <c r="I179" s="895"/>
      <c r="J179" s="895"/>
      <c r="K179" s="895"/>
      <c r="L179" s="898"/>
      <c r="M179" s="875" t="str">
        <f t="shared" si="4"/>
        <v>0</v>
      </c>
      <c r="N179" s="26" t="str">
        <f t="shared" si="3"/>
        <v>3</v>
      </c>
      <c r="O179" s="26" t="str">
        <f t="shared" si="5"/>
        <v>0</v>
      </c>
    </row>
    <row r="180" spans="2:15" ht="23.75" hidden="1" customHeight="1" x14ac:dyDescent="0.15">
      <c r="B180" s="26">
        <f>'Jrnl Exp ~ Dép'!B112</f>
        <v>0</v>
      </c>
      <c r="C180" s="914">
        <f>'Jrnl Exp ~ Dép'!$D112</f>
        <v>0</v>
      </c>
      <c r="D180" s="912">
        <f>'Jrnl Exp ~ Dép'!$F112</f>
        <v>0</v>
      </c>
      <c r="E180" s="918">
        <f>'Jrnl Exp ~ Dép'!$G112</f>
        <v>0</v>
      </c>
      <c r="F180" s="919">
        <f>'Jrnl Exp ~ Dép'!$E112</f>
        <v>0</v>
      </c>
      <c r="G180" s="920" t="str">
        <f>LEFT('Jrnl Exp ~ Dép'!$H112,4)</f>
        <v/>
      </c>
      <c r="H180" s="923"/>
      <c r="I180" s="895"/>
      <c r="J180" s="895"/>
      <c r="K180" s="895"/>
      <c r="L180" s="898"/>
      <c r="M180" s="875" t="str">
        <f t="shared" si="4"/>
        <v>0</v>
      </c>
      <c r="N180" s="26" t="str">
        <f t="shared" si="3"/>
        <v>3</v>
      </c>
      <c r="O180" s="26" t="str">
        <f t="shared" si="5"/>
        <v>0</v>
      </c>
    </row>
    <row r="181" spans="2:15" ht="23.75" hidden="1" customHeight="1" x14ac:dyDescent="0.15">
      <c r="B181" s="26">
        <f>'Jrnl Exp ~ Dép'!B113</f>
        <v>0</v>
      </c>
      <c r="C181" s="914">
        <f>'Jrnl Exp ~ Dép'!$D113</f>
        <v>0</v>
      </c>
      <c r="D181" s="912">
        <f>'Jrnl Exp ~ Dép'!$F113</f>
        <v>0</v>
      </c>
      <c r="E181" s="918">
        <f>'Jrnl Exp ~ Dép'!$G113</f>
        <v>0</v>
      </c>
      <c r="F181" s="919">
        <f>'Jrnl Exp ~ Dép'!$E113</f>
        <v>0</v>
      </c>
      <c r="G181" s="920" t="str">
        <f>LEFT('Jrnl Exp ~ Dép'!$H113,4)</f>
        <v/>
      </c>
      <c r="H181" s="923"/>
      <c r="I181" s="895"/>
      <c r="J181" s="895"/>
      <c r="K181" s="895"/>
      <c r="L181" s="898"/>
      <c r="M181" s="875" t="str">
        <f t="shared" si="4"/>
        <v>0</v>
      </c>
      <c r="N181" s="26" t="str">
        <f t="shared" si="3"/>
        <v>3</v>
      </c>
      <c r="O181" s="26" t="str">
        <f t="shared" si="5"/>
        <v>0</v>
      </c>
    </row>
    <row r="182" spans="2:15" ht="23.75" hidden="1" customHeight="1" x14ac:dyDescent="0.15">
      <c r="B182" s="26">
        <f>'Jrnl Exp ~ Dép'!B114</f>
        <v>0</v>
      </c>
      <c r="C182" s="914">
        <f>'Jrnl Exp ~ Dép'!$D114</f>
        <v>0</v>
      </c>
      <c r="D182" s="912">
        <f>'Jrnl Exp ~ Dép'!$F114</f>
        <v>0</v>
      </c>
      <c r="E182" s="918">
        <f>'Jrnl Exp ~ Dép'!$G114</f>
        <v>0</v>
      </c>
      <c r="F182" s="919">
        <f>'Jrnl Exp ~ Dép'!$E114</f>
        <v>0</v>
      </c>
      <c r="G182" s="920" t="str">
        <f>LEFT('Jrnl Exp ~ Dép'!$H114,4)</f>
        <v/>
      </c>
      <c r="H182" s="923"/>
      <c r="I182" s="895"/>
      <c r="J182" s="895"/>
      <c r="K182" s="895"/>
      <c r="L182" s="898"/>
      <c r="M182" s="875" t="str">
        <f t="shared" si="4"/>
        <v>0</v>
      </c>
      <c r="N182" s="26" t="str">
        <f t="shared" si="3"/>
        <v>3</v>
      </c>
      <c r="O182" s="26" t="str">
        <f t="shared" si="5"/>
        <v>0</v>
      </c>
    </row>
    <row r="183" spans="2:15" ht="23.75" hidden="1" customHeight="1" x14ac:dyDescent="0.15">
      <c r="B183" s="26">
        <f>'Jrnl Exp ~ Dép'!B115</f>
        <v>0</v>
      </c>
      <c r="C183" s="914">
        <f>'Jrnl Exp ~ Dép'!$D115</f>
        <v>0</v>
      </c>
      <c r="D183" s="912">
        <f>'Jrnl Exp ~ Dép'!$F115</f>
        <v>0</v>
      </c>
      <c r="E183" s="918">
        <f>'Jrnl Exp ~ Dép'!$G115</f>
        <v>0</v>
      </c>
      <c r="F183" s="919">
        <f>'Jrnl Exp ~ Dép'!$E115</f>
        <v>0</v>
      </c>
      <c r="G183" s="920" t="str">
        <f>LEFT('Jrnl Exp ~ Dép'!$H115,4)</f>
        <v/>
      </c>
      <c r="H183" s="923"/>
      <c r="I183" s="895"/>
      <c r="J183" s="895"/>
      <c r="K183" s="895"/>
      <c r="L183" s="898"/>
      <c r="M183" s="875" t="str">
        <f t="shared" si="4"/>
        <v>0</v>
      </c>
      <c r="N183" s="26" t="str">
        <f t="shared" si="3"/>
        <v>3</v>
      </c>
      <c r="O183" s="26" t="str">
        <f t="shared" si="5"/>
        <v>0</v>
      </c>
    </row>
    <row r="184" spans="2:15" ht="23.75" hidden="1" customHeight="1" x14ac:dyDescent="0.15">
      <c r="B184" s="26">
        <f>'Jrnl Exp ~ Dép'!B116</f>
        <v>0</v>
      </c>
      <c r="C184" s="914">
        <f>'Jrnl Exp ~ Dép'!$D116</f>
        <v>0</v>
      </c>
      <c r="D184" s="912">
        <f>'Jrnl Exp ~ Dép'!$F116</f>
        <v>0</v>
      </c>
      <c r="E184" s="918">
        <f>'Jrnl Exp ~ Dép'!$G116</f>
        <v>0</v>
      </c>
      <c r="F184" s="919">
        <f>'Jrnl Exp ~ Dép'!$E116</f>
        <v>0</v>
      </c>
      <c r="G184" s="920" t="str">
        <f>LEFT('Jrnl Exp ~ Dép'!$H116,4)</f>
        <v/>
      </c>
      <c r="H184" s="923"/>
      <c r="I184" s="895"/>
      <c r="J184" s="895"/>
      <c r="K184" s="895"/>
      <c r="L184" s="898"/>
      <c r="M184" s="875" t="str">
        <f t="shared" si="4"/>
        <v>0</v>
      </c>
      <c r="N184" s="26" t="str">
        <f t="shared" si="3"/>
        <v>3</v>
      </c>
      <c r="O184" s="26" t="str">
        <f t="shared" si="5"/>
        <v>0</v>
      </c>
    </row>
    <row r="185" spans="2:15" ht="23.75" hidden="1" customHeight="1" x14ac:dyDescent="0.15">
      <c r="B185" s="26">
        <f>'Jrnl Exp ~ Dép'!B117</f>
        <v>0</v>
      </c>
      <c r="C185" s="914">
        <f>'Jrnl Exp ~ Dép'!$D117</f>
        <v>0</v>
      </c>
      <c r="D185" s="912">
        <f>'Jrnl Exp ~ Dép'!$F117</f>
        <v>0</v>
      </c>
      <c r="E185" s="918">
        <f>'Jrnl Exp ~ Dép'!$G117</f>
        <v>0</v>
      </c>
      <c r="F185" s="919">
        <f>'Jrnl Exp ~ Dép'!$E117</f>
        <v>0</v>
      </c>
      <c r="G185" s="920" t="str">
        <f>LEFT('Jrnl Exp ~ Dép'!$H117,4)</f>
        <v/>
      </c>
      <c r="H185" s="923"/>
      <c r="I185" s="895"/>
      <c r="J185" s="895"/>
      <c r="K185" s="895"/>
      <c r="L185" s="898"/>
      <c r="M185" s="875" t="str">
        <f t="shared" si="4"/>
        <v>0</v>
      </c>
      <c r="N185" s="26" t="str">
        <f t="shared" si="3"/>
        <v>3</v>
      </c>
      <c r="O185" s="26" t="str">
        <f t="shared" si="5"/>
        <v>0</v>
      </c>
    </row>
    <row r="186" spans="2:15" ht="23.75" hidden="1" customHeight="1" x14ac:dyDescent="0.15">
      <c r="B186" s="26">
        <f>'Jrnl Exp ~ Dép'!B118</f>
        <v>0</v>
      </c>
      <c r="C186" s="914">
        <f>'Jrnl Exp ~ Dép'!$D118</f>
        <v>0</v>
      </c>
      <c r="D186" s="912">
        <f>'Jrnl Exp ~ Dép'!$F118</f>
        <v>0</v>
      </c>
      <c r="E186" s="918">
        <f>'Jrnl Exp ~ Dép'!$G118</f>
        <v>0</v>
      </c>
      <c r="F186" s="919">
        <f>'Jrnl Exp ~ Dép'!$E118</f>
        <v>0</v>
      </c>
      <c r="G186" s="920" t="str">
        <f>LEFT('Jrnl Exp ~ Dép'!$H118,4)</f>
        <v/>
      </c>
      <c r="H186" s="923"/>
      <c r="I186" s="895"/>
      <c r="J186" s="895"/>
      <c r="K186" s="895"/>
      <c r="L186" s="898"/>
      <c r="M186" s="875" t="str">
        <f t="shared" si="4"/>
        <v>0</v>
      </c>
      <c r="N186" s="26" t="str">
        <f t="shared" si="3"/>
        <v>3</v>
      </c>
      <c r="O186" s="26" t="str">
        <f t="shared" si="5"/>
        <v>0</v>
      </c>
    </row>
    <row r="187" spans="2:15" ht="23.75" hidden="1" customHeight="1" x14ac:dyDescent="0.15">
      <c r="B187" s="26">
        <f>'Jrnl Exp ~ Dép'!B119</f>
        <v>0</v>
      </c>
      <c r="C187" s="914">
        <f>'Jrnl Exp ~ Dép'!$D119</f>
        <v>0</v>
      </c>
      <c r="D187" s="912">
        <f>'Jrnl Exp ~ Dép'!$F119</f>
        <v>0</v>
      </c>
      <c r="E187" s="918">
        <f>'Jrnl Exp ~ Dép'!$G119</f>
        <v>0</v>
      </c>
      <c r="F187" s="919">
        <f>'Jrnl Exp ~ Dép'!$E119</f>
        <v>0</v>
      </c>
      <c r="G187" s="920" t="str">
        <f>LEFT('Jrnl Exp ~ Dép'!$H119,4)</f>
        <v/>
      </c>
      <c r="H187" s="923"/>
      <c r="I187" s="895"/>
      <c r="J187" s="895"/>
      <c r="K187" s="895"/>
      <c r="L187" s="898"/>
      <c r="M187" s="875" t="str">
        <f t="shared" si="4"/>
        <v>0</v>
      </c>
      <c r="N187" s="26" t="str">
        <f t="shared" si="3"/>
        <v>3</v>
      </c>
      <c r="O187" s="26" t="str">
        <f t="shared" si="5"/>
        <v>0</v>
      </c>
    </row>
    <row r="188" spans="2:15" ht="23.75" hidden="1" customHeight="1" x14ac:dyDescent="0.15">
      <c r="B188" s="26">
        <f>'Jrnl Exp ~ Dép'!B120</f>
        <v>0</v>
      </c>
      <c r="C188" s="914">
        <f>'Jrnl Exp ~ Dép'!$D120</f>
        <v>0</v>
      </c>
      <c r="D188" s="912">
        <f>'Jrnl Exp ~ Dép'!$F120</f>
        <v>0</v>
      </c>
      <c r="E188" s="918">
        <f>'Jrnl Exp ~ Dép'!$G120</f>
        <v>0</v>
      </c>
      <c r="F188" s="919">
        <f>'Jrnl Exp ~ Dép'!$E120</f>
        <v>0</v>
      </c>
      <c r="G188" s="920" t="str">
        <f>LEFT('Jrnl Exp ~ Dép'!$H120,4)</f>
        <v/>
      </c>
      <c r="H188" s="923"/>
      <c r="I188" s="895"/>
      <c r="J188" s="895"/>
      <c r="K188" s="895"/>
      <c r="L188" s="898"/>
      <c r="M188" s="875" t="str">
        <f t="shared" si="4"/>
        <v>0</v>
      </c>
      <c r="N188" s="26" t="str">
        <f t="shared" si="3"/>
        <v>3</v>
      </c>
      <c r="O188" s="26" t="str">
        <f t="shared" si="5"/>
        <v>0</v>
      </c>
    </row>
    <row r="189" spans="2:15" ht="23.75" hidden="1" customHeight="1" x14ac:dyDescent="0.15">
      <c r="B189" s="26">
        <f>'Jrnl Exp ~ Dép'!B121</f>
        <v>0</v>
      </c>
      <c r="C189" s="914">
        <f>'Jrnl Exp ~ Dép'!$D121</f>
        <v>0</v>
      </c>
      <c r="D189" s="912">
        <f>'Jrnl Exp ~ Dép'!$F121</f>
        <v>0</v>
      </c>
      <c r="E189" s="918">
        <f>'Jrnl Exp ~ Dép'!$G121</f>
        <v>0</v>
      </c>
      <c r="F189" s="919">
        <f>'Jrnl Exp ~ Dép'!$E121</f>
        <v>0</v>
      </c>
      <c r="G189" s="920" t="str">
        <f>LEFT('Jrnl Exp ~ Dép'!$H121,4)</f>
        <v/>
      </c>
      <c r="H189" s="923"/>
      <c r="I189" s="895"/>
      <c r="J189" s="895"/>
      <c r="K189" s="895"/>
      <c r="L189" s="898"/>
      <c r="M189" s="875" t="str">
        <f t="shared" si="4"/>
        <v>0</v>
      </c>
      <c r="N189" s="26" t="str">
        <f t="shared" si="3"/>
        <v>3</v>
      </c>
      <c r="O189" s="26" t="str">
        <f t="shared" si="5"/>
        <v>0</v>
      </c>
    </row>
    <row r="190" spans="2:15" ht="23.75" hidden="1" customHeight="1" x14ac:dyDescent="0.15">
      <c r="B190" s="26">
        <f>'Jrnl Exp ~ Dép'!B122</f>
        <v>0</v>
      </c>
      <c r="C190" s="914">
        <f>'Jrnl Exp ~ Dép'!$D122</f>
        <v>0</v>
      </c>
      <c r="D190" s="912">
        <f>'Jrnl Exp ~ Dép'!$F122</f>
        <v>0</v>
      </c>
      <c r="E190" s="918">
        <f>'Jrnl Exp ~ Dép'!$G122</f>
        <v>0</v>
      </c>
      <c r="F190" s="919">
        <f>'Jrnl Exp ~ Dép'!$E122</f>
        <v>0</v>
      </c>
      <c r="G190" s="920" t="str">
        <f>LEFT('Jrnl Exp ~ Dép'!$H122,4)</f>
        <v/>
      </c>
      <c r="H190" s="923"/>
      <c r="I190" s="895"/>
      <c r="J190" s="895"/>
      <c r="K190" s="895"/>
      <c r="L190" s="898"/>
      <c r="M190" s="875" t="str">
        <f t="shared" si="4"/>
        <v>0</v>
      </c>
      <c r="N190" s="26" t="str">
        <f t="shared" si="3"/>
        <v>3</v>
      </c>
      <c r="O190" s="26" t="str">
        <f t="shared" si="5"/>
        <v>0</v>
      </c>
    </row>
    <row r="191" spans="2:15" ht="23.75" hidden="1" customHeight="1" x14ac:dyDescent="0.15">
      <c r="B191" s="26">
        <f>'Jrnl Exp ~ Dép'!B123</f>
        <v>0</v>
      </c>
      <c r="C191" s="914">
        <f>'Jrnl Exp ~ Dép'!$D123</f>
        <v>0</v>
      </c>
      <c r="D191" s="912">
        <f>'Jrnl Exp ~ Dép'!$F123</f>
        <v>0</v>
      </c>
      <c r="E191" s="918">
        <f>'Jrnl Exp ~ Dép'!$G123</f>
        <v>0</v>
      </c>
      <c r="F191" s="919">
        <f>'Jrnl Exp ~ Dép'!$E123</f>
        <v>0</v>
      </c>
      <c r="G191" s="920" t="str">
        <f>LEFT('Jrnl Exp ~ Dép'!$H123,4)</f>
        <v/>
      </c>
      <c r="H191" s="923"/>
      <c r="I191" s="895"/>
      <c r="J191" s="895"/>
      <c r="K191" s="895"/>
      <c r="L191" s="898"/>
      <c r="M191" s="875" t="str">
        <f t="shared" si="4"/>
        <v>0</v>
      </c>
      <c r="N191" s="26" t="str">
        <f t="shared" si="3"/>
        <v>3</v>
      </c>
      <c r="O191" s="26" t="str">
        <f t="shared" si="5"/>
        <v>0</v>
      </c>
    </row>
    <row r="192" spans="2:15" ht="23.75" hidden="1" customHeight="1" x14ac:dyDescent="0.15">
      <c r="B192" s="26">
        <f>'Jrnl Exp ~ Dép'!B124</f>
        <v>0</v>
      </c>
      <c r="C192" s="914">
        <f>'Jrnl Exp ~ Dép'!$D124</f>
        <v>0</v>
      </c>
      <c r="D192" s="912">
        <f>'Jrnl Exp ~ Dép'!$F124</f>
        <v>0</v>
      </c>
      <c r="E192" s="918">
        <f>'Jrnl Exp ~ Dép'!$G124</f>
        <v>0</v>
      </c>
      <c r="F192" s="919">
        <f>'Jrnl Exp ~ Dép'!$E124</f>
        <v>0</v>
      </c>
      <c r="G192" s="920" t="str">
        <f>LEFT('Jrnl Exp ~ Dép'!$H124,4)</f>
        <v/>
      </c>
      <c r="H192" s="923"/>
      <c r="I192" s="895"/>
      <c r="J192" s="895"/>
      <c r="K192" s="895"/>
      <c r="L192" s="898"/>
      <c r="M192" s="875" t="str">
        <f t="shared" si="4"/>
        <v>0</v>
      </c>
      <c r="N192" s="26" t="str">
        <f t="shared" si="3"/>
        <v>3</v>
      </c>
      <c r="O192" s="26" t="str">
        <f t="shared" si="5"/>
        <v>0</v>
      </c>
    </row>
    <row r="193" spans="2:15" ht="23.75" hidden="1" customHeight="1" x14ac:dyDescent="0.15">
      <c r="B193" s="26">
        <f>'Jrnl Exp ~ Dép'!B125</f>
        <v>0</v>
      </c>
      <c r="C193" s="914">
        <f>'Jrnl Exp ~ Dép'!$D125</f>
        <v>0</v>
      </c>
      <c r="D193" s="912">
        <f>'Jrnl Exp ~ Dép'!$F125</f>
        <v>0</v>
      </c>
      <c r="E193" s="918">
        <f>'Jrnl Exp ~ Dép'!$G125</f>
        <v>0</v>
      </c>
      <c r="F193" s="919">
        <f>'Jrnl Exp ~ Dép'!$E125</f>
        <v>0</v>
      </c>
      <c r="G193" s="920" t="str">
        <f>LEFT('Jrnl Exp ~ Dép'!$H125,4)</f>
        <v/>
      </c>
      <c r="H193" s="923"/>
      <c r="I193" s="895"/>
      <c r="J193" s="895"/>
      <c r="K193" s="895"/>
      <c r="L193" s="898"/>
      <c r="M193" s="875" t="str">
        <f t="shared" si="4"/>
        <v>0</v>
      </c>
      <c r="N193" s="26" t="str">
        <f t="shared" si="3"/>
        <v>3</v>
      </c>
      <c r="O193" s="26" t="str">
        <f t="shared" si="5"/>
        <v>0</v>
      </c>
    </row>
    <row r="194" spans="2:15" ht="23.75" hidden="1" customHeight="1" x14ac:dyDescent="0.15">
      <c r="B194" s="26">
        <f>'Jrnl Exp ~ Dép'!B126</f>
        <v>0</v>
      </c>
      <c r="C194" s="914">
        <f>'Jrnl Exp ~ Dép'!$D126</f>
        <v>0</v>
      </c>
      <c r="D194" s="912">
        <f>'Jrnl Exp ~ Dép'!$F126</f>
        <v>0</v>
      </c>
      <c r="E194" s="918">
        <f>'Jrnl Exp ~ Dép'!$G126</f>
        <v>0</v>
      </c>
      <c r="F194" s="919">
        <f>'Jrnl Exp ~ Dép'!$E126</f>
        <v>0</v>
      </c>
      <c r="G194" s="920" t="str">
        <f>LEFT('Jrnl Exp ~ Dép'!$H126,4)</f>
        <v/>
      </c>
      <c r="H194" s="923"/>
      <c r="I194" s="895"/>
      <c r="J194" s="895"/>
      <c r="K194" s="895"/>
      <c r="L194" s="898"/>
      <c r="M194" s="875" t="str">
        <f t="shared" si="4"/>
        <v>0</v>
      </c>
      <c r="N194" s="26" t="str">
        <f t="shared" si="3"/>
        <v>3</v>
      </c>
      <c r="O194" s="26" t="str">
        <f t="shared" si="5"/>
        <v>0</v>
      </c>
    </row>
    <row r="195" spans="2:15" ht="23.75" hidden="1" customHeight="1" x14ac:dyDescent="0.15">
      <c r="B195" s="26">
        <f>'Jrnl Exp ~ Dép'!B127</f>
        <v>0</v>
      </c>
      <c r="C195" s="914">
        <f>'Jrnl Exp ~ Dép'!$D127</f>
        <v>0</v>
      </c>
      <c r="D195" s="912">
        <f>'Jrnl Exp ~ Dép'!$F127</f>
        <v>0</v>
      </c>
      <c r="E195" s="918">
        <f>'Jrnl Exp ~ Dép'!$G127</f>
        <v>0</v>
      </c>
      <c r="F195" s="919">
        <f>'Jrnl Exp ~ Dép'!$E127</f>
        <v>0</v>
      </c>
      <c r="G195" s="920" t="str">
        <f>LEFT('Jrnl Exp ~ Dép'!$H127,4)</f>
        <v/>
      </c>
      <c r="H195" s="923"/>
      <c r="I195" s="895"/>
      <c r="J195" s="895"/>
      <c r="K195" s="895"/>
      <c r="L195" s="898"/>
      <c r="M195" s="875" t="str">
        <f t="shared" si="4"/>
        <v>0</v>
      </c>
      <c r="N195" s="26" t="str">
        <f t="shared" si="3"/>
        <v>3</v>
      </c>
      <c r="O195" s="26" t="str">
        <f t="shared" si="5"/>
        <v>0</v>
      </c>
    </row>
    <row r="196" spans="2:15" ht="23.75" hidden="1" customHeight="1" x14ac:dyDescent="0.15">
      <c r="B196" s="26">
        <f>'Jrnl Exp ~ Dép'!B128</f>
        <v>0</v>
      </c>
      <c r="C196" s="914">
        <f>'Jrnl Exp ~ Dép'!$D128</f>
        <v>0</v>
      </c>
      <c r="D196" s="912">
        <f>'Jrnl Exp ~ Dép'!$F128</f>
        <v>0</v>
      </c>
      <c r="E196" s="918">
        <f>'Jrnl Exp ~ Dép'!$G128</f>
        <v>0</v>
      </c>
      <c r="F196" s="919">
        <f>'Jrnl Exp ~ Dép'!$E128</f>
        <v>0</v>
      </c>
      <c r="G196" s="920" t="str">
        <f>LEFT('Jrnl Exp ~ Dép'!$H128,4)</f>
        <v/>
      </c>
      <c r="H196" s="923"/>
      <c r="I196" s="895"/>
      <c r="J196" s="895"/>
      <c r="K196" s="895"/>
      <c r="L196" s="898"/>
      <c r="M196" s="875" t="str">
        <f t="shared" si="4"/>
        <v>0</v>
      </c>
      <c r="N196" s="26" t="str">
        <f t="shared" si="3"/>
        <v>3</v>
      </c>
      <c r="O196" s="26" t="str">
        <f t="shared" si="5"/>
        <v>0</v>
      </c>
    </row>
    <row r="197" spans="2:15" ht="23.75" hidden="1" customHeight="1" x14ac:dyDescent="0.15">
      <c r="B197" s="26">
        <f>'Jrnl Exp ~ Dép'!B129</f>
        <v>0</v>
      </c>
      <c r="C197" s="914">
        <f>'Jrnl Exp ~ Dép'!$D129</f>
        <v>0</v>
      </c>
      <c r="D197" s="912">
        <f>'Jrnl Exp ~ Dép'!$F129</f>
        <v>0</v>
      </c>
      <c r="E197" s="918">
        <f>'Jrnl Exp ~ Dép'!$G129</f>
        <v>0</v>
      </c>
      <c r="F197" s="919">
        <f>'Jrnl Exp ~ Dép'!$E129</f>
        <v>0</v>
      </c>
      <c r="G197" s="920" t="str">
        <f>LEFT('Jrnl Exp ~ Dép'!$H129,4)</f>
        <v/>
      </c>
      <c r="H197" s="923"/>
      <c r="I197" s="895"/>
      <c r="J197" s="895"/>
      <c r="K197" s="895"/>
      <c r="L197" s="898"/>
      <c r="M197" s="875" t="str">
        <f t="shared" si="4"/>
        <v>0</v>
      </c>
      <c r="N197" s="26" t="str">
        <f t="shared" si="3"/>
        <v>3</v>
      </c>
      <c r="O197" s="26" t="str">
        <f t="shared" si="5"/>
        <v>0</v>
      </c>
    </row>
    <row r="198" spans="2:15" ht="23.75" hidden="1" customHeight="1" x14ac:dyDescent="0.15">
      <c r="B198" s="26">
        <f>'Jrnl Exp ~ Dép'!B130</f>
        <v>0</v>
      </c>
      <c r="C198" s="914">
        <f>'Jrnl Exp ~ Dép'!$D130</f>
        <v>0</v>
      </c>
      <c r="D198" s="912">
        <f>'Jrnl Exp ~ Dép'!$F130</f>
        <v>0</v>
      </c>
      <c r="E198" s="918">
        <f>'Jrnl Exp ~ Dép'!$G130</f>
        <v>0</v>
      </c>
      <c r="F198" s="919">
        <f>'Jrnl Exp ~ Dép'!$E130</f>
        <v>0</v>
      </c>
      <c r="G198" s="920" t="str">
        <f>LEFT('Jrnl Exp ~ Dép'!$H130,4)</f>
        <v/>
      </c>
      <c r="H198" s="923"/>
      <c r="I198" s="895"/>
      <c r="J198" s="895"/>
      <c r="K198" s="895"/>
      <c r="L198" s="898"/>
      <c r="M198" s="875" t="str">
        <f t="shared" si="4"/>
        <v>0</v>
      </c>
      <c r="N198" s="26" t="str">
        <f t="shared" si="3"/>
        <v>3</v>
      </c>
      <c r="O198" s="26" t="str">
        <f t="shared" si="5"/>
        <v>0</v>
      </c>
    </row>
    <row r="199" spans="2:15" ht="23.75" hidden="1" customHeight="1" x14ac:dyDescent="0.15">
      <c r="B199" s="26">
        <f>'Jrnl Exp ~ Dép'!B131</f>
        <v>0</v>
      </c>
      <c r="C199" s="914">
        <f>'Jrnl Exp ~ Dép'!$D131</f>
        <v>0</v>
      </c>
      <c r="D199" s="912">
        <f>'Jrnl Exp ~ Dép'!$F131</f>
        <v>0</v>
      </c>
      <c r="E199" s="918">
        <f>'Jrnl Exp ~ Dép'!$G131</f>
        <v>0</v>
      </c>
      <c r="F199" s="919">
        <f>'Jrnl Exp ~ Dép'!$E131</f>
        <v>0</v>
      </c>
      <c r="G199" s="920" t="str">
        <f>LEFT('Jrnl Exp ~ Dép'!$H131,4)</f>
        <v/>
      </c>
      <c r="H199" s="923"/>
      <c r="I199" s="895"/>
      <c r="J199" s="895"/>
      <c r="K199" s="895"/>
      <c r="L199" s="898"/>
      <c r="M199" s="875" t="str">
        <f t="shared" si="4"/>
        <v>0</v>
      </c>
      <c r="N199" s="26" t="str">
        <f t="shared" si="3"/>
        <v>3</v>
      </c>
      <c r="O199" s="26" t="str">
        <f t="shared" si="5"/>
        <v>0</v>
      </c>
    </row>
    <row r="200" spans="2:15" ht="23.75" hidden="1" customHeight="1" x14ac:dyDescent="0.15">
      <c r="B200" s="26">
        <f>'Jrnl Exp ~ Dép'!B132</f>
        <v>0</v>
      </c>
      <c r="C200" s="914">
        <f>'Jrnl Exp ~ Dép'!$D132</f>
        <v>0</v>
      </c>
      <c r="D200" s="912">
        <f>'Jrnl Exp ~ Dép'!$F132</f>
        <v>0</v>
      </c>
      <c r="E200" s="918">
        <f>'Jrnl Exp ~ Dép'!$G132</f>
        <v>0</v>
      </c>
      <c r="F200" s="919">
        <f>'Jrnl Exp ~ Dép'!$E132</f>
        <v>0</v>
      </c>
      <c r="G200" s="920" t="str">
        <f>LEFT('Jrnl Exp ~ Dép'!$H132,4)</f>
        <v/>
      </c>
      <c r="H200" s="923"/>
      <c r="I200" s="895"/>
      <c r="J200" s="895"/>
      <c r="K200" s="895"/>
      <c r="L200" s="898"/>
      <c r="M200" s="875" t="str">
        <f t="shared" si="4"/>
        <v>0</v>
      </c>
      <c r="N200" s="26" t="str">
        <f t="shared" si="3"/>
        <v>3</v>
      </c>
      <c r="O200" s="26" t="str">
        <f t="shared" si="5"/>
        <v>0</v>
      </c>
    </row>
    <row r="201" spans="2:15" ht="23.75" hidden="1" customHeight="1" x14ac:dyDescent="0.15">
      <c r="B201" s="26">
        <f>'Jrnl Exp ~ Dép'!B133</f>
        <v>0</v>
      </c>
      <c r="C201" s="914">
        <f>'Jrnl Exp ~ Dép'!$D133</f>
        <v>0</v>
      </c>
      <c r="D201" s="912">
        <f>'Jrnl Exp ~ Dép'!$F133</f>
        <v>0</v>
      </c>
      <c r="E201" s="918">
        <f>'Jrnl Exp ~ Dép'!$G133</f>
        <v>0</v>
      </c>
      <c r="F201" s="919">
        <f>'Jrnl Exp ~ Dép'!$E133</f>
        <v>0</v>
      </c>
      <c r="G201" s="920" t="str">
        <f>LEFT('Jrnl Exp ~ Dép'!$H133,4)</f>
        <v/>
      </c>
      <c r="H201" s="923"/>
      <c r="I201" s="895"/>
      <c r="J201" s="895"/>
      <c r="K201" s="895"/>
      <c r="L201" s="898"/>
      <c r="M201" s="875" t="str">
        <f t="shared" si="4"/>
        <v>0</v>
      </c>
      <c r="N201" s="26" t="str">
        <f t="shared" si="3"/>
        <v>3</v>
      </c>
      <c r="O201" s="26" t="str">
        <f t="shared" si="5"/>
        <v>0</v>
      </c>
    </row>
    <row r="202" spans="2:15" ht="23.75" hidden="1" customHeight="1" x14ac:dyDescent="0.15">
      <c r="B202" s="26">
        <f>'Jrnl Exp ~ Dép'!B134</f>
        <v>0</v>
      </c>
      <c r="C202" s="914">
        <f>'Jrnl Exp ~ Dép'!$D134</f>
        <v>0</v>
      </c>
      <c r="D202" s="912">
        <f>'Jrnl Exp ~ Dép'!$F134</f>
        <v>0</v>
      </c>
      <c r="E202" s="918">
        <f>'Jrnl Exp ~ Dép'!$G134</f>
        <v>0</v>
      </c>
      <c r="F202" s="919">
        <f>'Jrnl Exp ~ Dép'!$E134</f>
        <v>0</v>
      </c>
      <c r="G202" s="920" t="str">
        <f>LEFT('Jrnl Exp ~ Dép'!$H134,4)</f>
        <v/>
      </c>
      <c r="H202" s="923"/>
      <c r="I202" s="895"/>
      <c r="J202" s="895"/>
      <c r="K202" s="895"/>
      <c r="L202" s="898"/>
      <c r="M202" s="875" t="str">
        <f t="shared" si="4"/>
        <v>0</v>
      </c>
      <c r="N202" s="26" t="str">
        <f t="shared" si="3"/>
        <v>3</v>
      </c>
      <c r="O202" s="26" t="str">
        <f t="shared" si="5"/>
        <v>0</v>
      </c>
    </row>
    <row r="203" spans="2:15" ht="23.75" hidden="1" customHeight="1" x14ac:dyDescent="0.15">
      <c r="B203" s="26">
        <f>'Jrnl Exp ~ Dép'!B135</f>
        <v>0</v>
      </c>
      <c r="C203" s="914">
        <f>'Jrnl Exp ~ Dép'!$D135</f>
        <v>0</v>
      </c>
      <c r="D203" s="912">
        <f>'Jrnl Exp ~ Dép'!$F135</f>
        <v>0</v>
      </c>
      <c r="E203" s="918">
        <f>'Jrnl Exp ~ Dép'!$G135</f>
        <v>0</v>
      </c>
      <c r="F203" s="919">
        <f>'Jrnl Exp ~ Dép'!$E135</f>
        <v>0</v>
      </c>
      <c r="G203" s="920" t="str">
        <f>LEFT('Jrnl Exp ~ Dép'!$H135,4)</f>
        <v/>
      </c>
      <c r="H203" s="923"/>
      <c r="I203" s="895"/>
      <c r="J203" s="895"/>
      <c r="K203" s="895"/>
      <c r="L203" s="898"/>
      <c r="M203" s="875" t="str">
        <f t="shared" si="4"/>
        <v>0</v>
      </c>
      <c r="N203" s="26" t="str">
        <f t="shared" si="3"/>
        <v>3</v>
      </c>
      <c r="O203" s="26" t="str">
        <f t="shared" si="5"/>
        <v>0</v>
      </c>
    </row>
    <row r="204" spans="2:15" ht="23.75" hidden="1" customHeight="1" x14ac:dyDescent="0.15">
      <c r="B204" s="26">
        <f>'Jrnl Exp ~ Dép'!B136</f>
        <v>0</v>
      </c>
      <c r="C204" s="914">
        <f>'Jrnl Exp ~ Dép'!$D136</f>
        <v>0</v>
      </c>
      <c r="D204" s="912">
        <f>'Jrnl Exp ~ Dép'!$F136</f>
        <v>0</v>
      </c>
      <c r="E204" s="918">
        <f>'Jrnl Exp ~ Dép'!$G136</f>
        <v>0</v>
      </c>
      <c r="F204" s="919">
        <f>'Jrnl Exp ~ Dép'!$E136</f>
        <v>0</v>
      </c>
      <c r="G204" s="920" t="str">
        <f>LEFT('Jrnl Exp ~ Dép'!$H136,4)</f>
        <v/>
      </c>
      <c r="H204" s="923"/>
      <c r="I204" s="895"/>
      <c r="J204" s="895"/>
      <c r="K204" s="895"/>
      <c r="L204" s="898"/>
      <c r="M204" s="875" t="str">
        <f t="shared" si="4"/>
        <v>0</v>
      </c>
      <c r="N204" s="26" t="str">
        <f t="shared" si="3"/>
        <v>3</v>
      </c>
      <c r="O204" s="26" t="str">
        <f t="shared" si="5"/>
        <v>0</v>
      </c>
    </row>
    <row r="205" spans="2:15" ht="23.75" hidden="1" customHeight="1" x14ac:dyDescent="0.15">
      <c r="B205" s="26">
        <f>'Jrnl Exp ~ Dép'!B137</f>
        <v>0</v>
      </c>
      <c r="C205" s="914">
        <f>'Jrnl Exp ~ Dép'!$D137</f>
        <v>0</v>
      </c>
      <c r="D205" s="912">
        <f>'Jrnl Exp ~ Dép'!$F137</f>
        <v>0</v>
      </c>
      <c r="E205" s="918">
        <f>'Jrnl Exp ~ Dép'!$G137</f>
        <v>0</v>
      </c>
      <c r="F205" s="919">
        <f>'Jrnl Exp ~ Dép'!$E137</f>
        <v>0</v>
      </c>
      <c r="G205" s="920" t="str">
        <f>LEFT('Jrnl Exp ~ Dép'!$H137,4)</f>
        <v/>
      </c>
      <c r="H205" s="923"/>
      <c r="I205" s="895"/>
      <c r="J205" s="895"/>
      <c r="K205" s="895"/>
      <c r="L205" s="898"/>
      <c r="M205" s="875" t="str">
        <f t="shared" si="4"/>
        <v>0</v>
      </c>
      <c r="N205" s="26" t="str">
        <f t="shared" si="3"/>
        <v>3</v>
      </c>
      <c r="O205" s="26" t="str">
        <f t="shared" si="5"/>
        <v>0</v>
      </c>
    </row>
    <row r="206" spans="2:15" ht="23.75" hidden="1" customHeight="1" x14ac:dyDescent="0.15">
      <c r="B206" s="26">
        <f>'Jrnl Exp ~ Dép'!B138</f>
        <v>0</v>
      </c>
      <c r="C206" s="914">
        <f>'Jrnl Exp ~ Dép'!$D138</f>
        <v>0</v>
      </c>
      <c r="D206" s="912">
        <f>'Jrnl Exp ~ Dép'!$F138</f>
        <v>0</v>
      </c>
      <c r="E206" s="918">
        <f>'Jrnl Exp ~ Dép'!$G138</f>
        <v>0</v>
      </c>
      <c r="F206" s="919">
        <f>'Jrnl Exp ~ Dép'!$E138</f>
        <v>0</v>
      </c>
      <c r="G206" s="920" t="str">
        <f>LEFT('Jrnl Exp ~ Dép'!$H138,4)</f>
        <v/>
      </c>
      <c r="H206" s="923"/>
      <c r="I206" s="895"/>
      <c r="J206" s="895"/>
      <c r="K206" s="895"/>
      <c r="L206" s="898"/>
      <c r="M206" s="875" t="str">
        <f t="shared" si="4"/>
        <v>0</v>
      </c>
      <c r="N206" s="26" t="str">
        <f t="shared" si="3"/>
        <v>3</v>
      </c>
      <c r="O206" s="26" t="str">
        <f t="shared" si="5"/>
        <v>0</v>
      </c>
    </row>
    <row r="207" spans="2:15" ht="23.75" hidden="1" customHeight="1" x14ac:dyDescent="0.15">
      <c r="B207" s="26">
        <f>'Jrnl Exp ~ Dép'!B139</f>
        <v>0</v>
      </c>
      <c r="C207" s="914">
        <f>'Jrnl Exp ~ Dép'!$D139</f>
        <v>0</v>
      </c>
      <c r="D207" s="912">
        <f>'Jrnl Exp ~ Dép'!$F139</f>
        <v>0</v>
      </c>
      <c r="E207" s="918">
        <f>'Jrnl Exp ~ Dép'!$G139</f>
        <v>0</v>
      </c>
      <c r="F207" s="919">
        <f>'Jrnl Exp ~ Dép'!$E139</f>
        <v>0</v>
      </c>
      <c r="G207" s="920" t="str">
        <f>LEFT('Jrnl Exp ~ Dép'!$H139,4)</f>
        <v/>
      </c>
      <c r="H207" s="923"/>
      <c r="I207" s="895"/>
      <c r="J207" s="895"/>
      <c r="K207" s="895"/>
      <c r="L207" s="898"/>
      <c r="M207" s="875" t="str">
        <f t="shared" si="4"/>
        <v>0</v>
      </c>
      <c r="N207" s="26" t="str">
        <f t="shared" si="3"/>
        <v>3</v>
      </c>
      <c r="O207" s="26" t="str">
        <f t="shared" si="5"/>
        <v>0</v>
      </c>
    </row>
    <row r="208" spans="2:15" ht="23.75" hidden="1" customHeight="1" x14ac:dyDescent="0.15">
      <c r="B208" s="26">
        <f>'Jrnl Exp ~ Dép'!B140</f>
        <v>0</v>
      </c>
      <c r="C208" s="914">
        <f>'Jrnl Exp ~ Dép'!$D140</f>
        <v>0</v>
      </c>
      <c r="D208" s="912">
        <f>'Jrnl Exp ~ Dép'!$F140</f>
        <v>0</v>
      </c>
      <c r="E208" s="918">
        <f>'Jrnl Exp ~ Dép'!$G140</f>
        <v>0</v>
      </c>
      <c r="F208" s="919">
        <f>'Jrnl Exp ~ Dép'!$E140</f>
        <v>0</v>
      </c>
      <c r="G208" s="920" t="str">
        <f>LEFT('Jrnl Exp ~ Dép'!$H140,4)</f>
        <v/>
      </c>
      <c r="H208" s="923"/>
      <c r="I208" s="895"/>
      <c r="J208" s="895"/>
      <c r="K208" s="895"/>
      <c r="L208" s="898"/>
      <c r="M208" s="875" t="str">
        <f t="shared" si="4"/>
        <v>0</v>
      </c>
      <c r="N208" s="26" t="str">
        <f t="shared" si="3"/>
        <v>3</v>
      </c>
      <c r="O208" s="26" t="str">
        <f t="shared" si="5"/>
        <v>0</v>
      </c>
    </row>
    <row r="209" spans="2:15" ht="23.75" hidden="1" customHeight="1" x14ac:dyDescent="0.15">
      <c r="B209" s="26">
        <f>'Jrnl Exp ~ Dép'!B141</f>
        <v>0</v>
      </c>
      <c r="C209" s="914">
        <f>'Jrnl Exp ~ Dép'!$D141</f>
        <v>0</v>
      </c>
      <c r="D209" s="912">
        <f>'Jrnl Exp ~ Dép'!$F141</f>
        <v>0</v>
      </c>
      <c r="E209" s="918">
        <f>'Jrnl Exp ~ Dép'!$G141</f>
        <v>0</v>
      </c>
      <c r="F209" s="919">
        <f>'Jrnl Exp ~ Dép'!$E141</f>
        <v>0</v>
      </c>
      <c r="G209" s="920" t="str">
        <f>LEFT('Jrnl Exp ~ Dép'!$H141,4)</f>
        <v/>
      </c>
      <c r="H209" s="923"/>
      <c r="I209" s="895"/>
      <c r="J209" s="895"/>
      <c r="K209" s="895"/>
      <c r="L209" s="898"/>
      <c r="M209" s="875" t="str">
        <f t="shared" si="4"/>
        <v>0</v>
      </c>
      <c r="N209" s="26" t="str">
        <f t="shared" si="3"/>
        <v>3</v>
      </c>
      <c r="O209" s="26" t="str">
        <f t="shared" si="5"/>
        <v>0</v>
      </c>
    </row>
    <row r="210" spans="2:15" ht="23.75" hidden="1" customHeight="1" x14ac:dyDescent="0.15">
      <c r="B210" s="26">
        <f>'Jrnl Exp ~ Dép'!B142</f>
        <v>0</v>
      </c>
      <c r="C210" s="914">
        <f>'Jrnl Exp ~ Dép'!$D142</f>
        <v>0</v>
      </c>
      <c r="D210" s="912">
        <f>'Jrnl Exp ~ Dép'!$F142</f>
        <v>0</v>
      </c>
      <c r="E210" s="918">
        <f>'Jrnl Exp ~ Dép'!$G142</f>
        <v>0</v>
      </c>
      <c r="F210" s="919">
        <f>'Jrnl Exp ~ Dép'!$E142</f>
        <v>0</v>
      </c>
      <c r="G210" s="920" t="str">
        <f>LEFT('Jrnl Exp ~ Dép'!$H142,4)</f>
        <v/>
      </c>
      <c r="H210" s="923"/>
      <c r="I210" s="895"/>
      <c r="J210" s="895"/>
      <c r="K210" s="895"/>
      <c r="L210" s="898"/>
      <c r="M210" s="875" t="str">
        <f t="shared" si="4"/>
        <v>0</v>
      </c>
      <c r="N210" s="26" t="str">
        <f t="shared" si="3"/>
        <v>3</v>
      </c>
      <c r="O210" s="26" t="str">
        <f t="shared" si="5"/>
        <v>0</v>
      </c>
    </row>
    <row r="211" spans="2:15" ht="23.75" hidden="1" customHeight="1" x14ac:dyDescent="0.15">
      <c r="B211" s="26">
        <f>'Jrnl Exp ~ Dép'!B143</f>
        <v>0</v>
      </c>
      <c r="C211" s="914">
        <f>'Jrnl Exp ~ Dép'!$D143</f>
        <v>0</v>
      </c>
      <c r="D211" s="912">
        <f>'Jrnl Exp ~ Dép'!$F143</f>
        <v>0</v>
      </c>
      <c r="E211" s="918">
        <f>'Jrnl Exp ~ Dép'!$G143</f>
        <v>0</v>
      </c>
      <c r="F211" s="919">
        <f>'Jrnl Exp ~ Dép'!$E143</f>
        <v>0</v>
      </c>
      <c r="G211" s="920" t="str">
        <f>LEFT('Jrnl Exp ~ Dép'!$H143,4)</f>
        <v/>
      </c>
      <c r="H211" s="923"/>
      <c r="I211" s="895"/>
      <c r="J211" s="895"/>
      <c r="K211" s="895"/>
      <c r="L211" s="898"/>
      <c r="M211" s="875" t="str">
        <f t="shared" si="4"/>
        <v>0</v>
      </c>
      <c r="N211" s="26" t="str">
        <f t="shared" si="3"/>
        <v>3</v>
      </c>
      <c r="O211" s="26" t="str">
        <f t="shared" si="5"/>
        <v>0</v>
      </c>
    </row>
    <row r="212" spans="2:15" ht="23.75" hidden="1" customHeight="1" x14ac:dyDescent="0.15">
      <c r="B212" s="26">
        <f>'Jrnl Exp ~ Dép'!B144</f>
        <v>0</v>
      </c>
      <c r="C212" s="914">
        <f>'Jrnl Exp ~ Dép'!$D144</f>
        <v>0</v>
      </c>
      <c r="D212" s="912">
        <f>'Jrnl Exp ~ Dép'!$F144</f>
        <v>0</v>
      </c>
      <c r="E212" s="918">
        <f>'Jrnl Exp ~ Dép'!$G144</f>
        <v>0</v>
      </c>
      <c r="F212" s="919">
        <f>'Jrnl Exp ~ Dép'!$E144</f>
        <v>0</v>
      </c>
      <c r="G212" s="920" t="str">
        <f>LEFT('Jrnl Exp ~ Dép'!$H144,4)</f>
        <v/>
      </c>
      <c r="H212" s="923"/>
      <c r="I212" s="895"/>
      <c r="J212" s="895"/>
      <c r="K212" s="895"/>
      <c r="L212" s="898"/>
      <c r="M212" s="875" t="str">
        <f t="shared" si="4"/>
        <v>0</v>
      </c>
      <c r="N212" s="26" t="str">
        <f t="shared" ref="N212:N275" si="6">IF(B212="√","2","3")</f>
        <v>3</v>
      </c>
      <c r="O212" s="26" t="str">
        <f t="shared" si="5"/>
        <v>0</v>
      </c>
    </row>
    <row r="213" spans="2:15" ht="23.75" hidden="1" customHeight="1" x14ac:dyDescent="0.15">
      <c r="B213" s="26">
        <f>'Jrnl Exp ~ Dép'!B145</f>
        <v>0</v>
      </c>
      <c r="C213" s="914">
        <f>'Jrnl Exp ~ Dép'!$D145</f>
        <v>0</v>
      </c>
      <c r="D213" s="912">
        <f>'Jrnl Exp ~ Dép'!$F145</f>
        <v>0</v>
      </c>
      <c r="E213" s="918">
        <f>'Jrnl Exp ~ Dép'!$G145</f>
        <v>0</v>
      </c>
      <c r="F213" s="919">
        <f>'Jrnl Exp ~ Dép'!$E145</f>
        <v>0</v>
      </c>
      <c r="G213" s="920" t="str">
        <f>LEFT('Jrnl Exp ~ Dép'!$H145,4)</f>
        <v/>
      </c>
      <c r="H213" s="923"/>
      <c r="I213" s="895"/>
      <c r="J213" s="895"/>
      <c r="K213" s="895"/>
      <c r="L213" s="898"/>
      <c r="M213" s="875" t="str">
        <f t="shared" ref="M213:M276" si="7">IF(E213&gt;0,"1","0")</f>
        <v>0</v>
      </c>
      <c r="N213" s="26" t="str">
        <f t="shared" si="6"/>
        <v>3</v>
      </c>
      <c r="O213" s="26" t="str">
        <f t="shared" ref="O213:O276" si="8">IF(AND(M213="1",N213="3"),"4","0")</f>
        <v>0</v>
      </c>
    </row>
    <row r="214" spans="2:15" ht="23.75" hidden="1" customHeight="1" x14ac:dyDescent="0.15">
      <c r="B214" s="26">
        <f>'Jrnl Exp ~ Dép'!B146</f>
        <v>0</v>
      </c>
      <c r="C214" s="914">
        <f>'Jrnl Exp ~ Dép'!$D146</f>
        <v>0</v>
      </c>
      <c r="D214" s="912">
        <f>'Jrnl Exp ~ Dép'!$F146</f>
        <v>0</v>
      </c>
      <c r="E214" s="918">
        <f>'Jrnl Exp ~ Dép'!$G146</f>
        <v>0</v>
      </c>
      <c r="F214" s="919">
        <f>'Jrnl Exp ~ Dép'!$E146</f>
        <v>0</v>
      </c>
      <c r="G214" s="920" t="str">
        <f>LEFT('Jrnl Exp ~ Dép'!$H146,4)</f>
        <v/>
      </c>
      <c r="H214" s="923"/>
      <c r="I214" s="895"/>
      <c r="J214" s="895"/>
      <c r="K214" s="895"/>
      <c r="L214" s="898"/>
      <c r="M214" s="875" t="str">
        <f t="shared" si="7"/>
        <v>0</v>
      </c>
      <c r="N214" s="26" t="str">
        <f t="shared" si="6"/>
        <v>3</v>
      </c>
      <c r="O214" s="26" t="str">
        <f t="shared" si="8"/>
        <v>0</v>
      </c>
    </row>
    <row r="215" spans="2:15" ht="23.75" hidden="1" customHeight="1" x14ac:dyDescent="0.15">
      <c r="B215" s="26">
        <f>'Jrnl Exp ~ Dép'!B147</f>
        <v>0</v>
      </c>
      <c r="C215" s="914">
        <f>'Jrnl Exp ~ Dép'!$D147</f>
        <v>0</v>
      </c>
      <c r="D215" s="912">
        <f>'Jrnl Exp ~ Dép'!$F147</f>
        <v>0</v>
      </c>
      <c r="E215" s="918">
        <f>'Jrnl Exp ~ Dép'!$G147</f>
        <v>0</v>
      </c>
      <c r="F215" s="919">
        <f>'Jrnl Exp ~ Dép'!$E147</f>
        <v>0</v>
      </c>
      <c r="G215" s="920" t="str">
        <f>LEFT('Jrnl Exp ~ Dép'!$H147,4)</f>
        <v/>
      </c>
      <c r="H215" s="923"/>
      <c r="I215" s="895"/>
      <c r="J215" s="895"/>
      <c r="K215" s="895"/>
      <c r="L215" s="898"/>
      <c r="M215" s="875" t="str">
        <f t="shared" si="7"/>
        <v>0</v>
      </c>
      <c r="N215" s="26" t="str">
        <f t="shared" si="6"/>
        <v>3</v>
      </c>
      <c r="O215" s="26" t="str">
        <f t="shared" si="8"/>
        <v>0</v>
      </c>
    </row>
    <row r="216" spans="2:15" ht="23.75" hidden="1" customHeight="1" x14ac:dyDescent="0.15">
      <c r="B216" s="26">
        <f>'Jrnl Exp ~ Dép'!B148</f>
        <v>0</v>
      </c>
      <c r="C216" s="914">
        <f>'Jrnl Exp ~ Dép'!$D148</f>
        <v>0</v>
      </c>
      <c r="D216" s="912">
        <f>'Jrnl Exp ~ Dép'!$F148</f>
        <v>0</v>
      </c>
      <c r="E216" s="918">
        <f>'Jrnl Exp ~ Dép'!$G148</f>
        <v>0</v>
      </c>
      <c r="F216" s="919">
        <f>'Jrnl Exp ~ Dép'!$E148</f>
        <v>0</v>
      </c>
      <c r="G216" s="920" t="str">
        <f>LEFT('Jrnl Exp ~ Dép'!$H148,4)</f>
        <v/>
      </c>
      <c r="H216" s="923"/>
      <c r="I216" s="895"/>
      <c r="J216" s="895"/>
      <c r="K216" s="895"/>
      <c r="L216" s="898"/>
      <c r="M216" s="875" t="str">
        <f t="shared" si="7"/>
        <v>0</v>
      </c>
      <c r="N216" s="26" t="str">
        <f t="shared" si="6"/>
        <v>3</v>
      </c>
      <c r="O216" s="26" t="str">
        <f t="shared" si="8"/>
        <v>0</v>
      </c>
    </row>
    <row r="217" spans="2:15" ht="23.75" hidden="1" customHeight="1" x14ac:dyDescent="0.15">
      <c r="B217" s="26">
        <f>'Jrnl Exp ~ Dép'!B149</f>
        <v>0</v>
      </c>
      <c r="C217" s="914">
        <f>'Jrnl Exp ~ Dép'!$D149</f>
        <v>0</v>
      </c>
      <c r="D217" s="912">
        <f>'Jrnl Exp ~ Dép'!$F149</f>
        <v>0</v>
      </c>
      <c r="E217" s="918">
        <f>'Jrnl Exp ~ Dép'!$G149</f>
        <v>0</v>
      </c>
      <c r="F217" s="919">
        <f>'Jrnl Exp ~ Dép'!$E149</f>
        <v>0</v>
      </c>
      <c r="G217" s="920" t="str">
        <f>LEFT('Jrnl Exp ~ Dép'!$H149,4)</f>
        <v/>
      </c>
      <c r="H217" s="923"/>
      <c r="I217" s="895"/>
      <c r="J217" s="895"/>
      <c r="K217" s="895"/>
      <c r="L217" s="898"/>
      <c r="M217" s="875" t="str">
        <f t="shared" si="7"/>
        <v>0</v>
      </c>
      <c r="N217" s="26" t="str">
        <f t="shared" si="6"/>
        <v>3</v>
      </c>
      <c r="O217" s="26" t="str">
        <f t="shared" si="8"/>
        <v>0</v>
      </c>
    </row>
    <row r="218" spans="2:15" ht="23.75" hidden="1" customHeight="1" x14ac:dyDescent="0.15">
      <c r="B218" s="26">
        <f>'Jrnl Exp ~ Dép'!B150</f>
        <v>0</v>
      </c>
      <c r="C218" s="914">
        <f>'Jrnl Exp ~ Dép'!$D150</f>
        <v>0</v>
      </c>
      <c r="D218" s="912">
        <f>'Jrnl Exp ~ Dép'!$F150</f>
        <v>0</v>
      </c>
      <c r="E218" s="918">
        <f>'Jrnl Exp ~ Dép'!$G150</f>
        <v>0</v>
      </c>
      <c r="F218" s="919">
        <f>'Jrnl Exp ~ Dép'!$E150</f>
        <v>0</v>
      </c>
      <c r="G218" s="920" t="str">
        <f>LEFT('Jrnl Exp ~ Dép'!$H150,4)</f>
        <v/>
      </c>
      <c r="H218" s="923"/>
      <c r="I218" s="895"/>
      <c r="J218" s="895"/>
      <c r="K218" s="895"/>
      <c r="L218" s="898"/>
      <c r="M218" s="875" t="str">
        <f t="shared" si="7"/>
        <v>0</v>
      </c>
      <c r="N218" s="26" t="str">
        <f t="shared" si="6"/>
        <v>3</v>
      </c>
      <c r="O218" s="26" t="str">
        <f t="shared" si="8"/>
        <v>0</v>
      </c>
    </row>
    <row r="219" spans="2:15" ht="23.75" hidden="1" customHeight="1" x14ac:dyDescent="0.15">
      <c r="B219" s="26">
        <f>'Jrnl Exp ~ Dép'!B151</f>
        <v>0</v>
      </c>
      <c r="C219" s="914">
        <f>'Jrnl Exp ~ Dép'!$D151</f>
        <v>0</v>
      </c>
      <c r="D219" s="912">
        <f>'Jrnl Exp ~ Dép'!$F151</f>
        <v>0</v>
      </c>
      <c r="E219" s="918">
        <f>'Jrnl Exp ~ Dép'!$G151</f>
        <v>0</v>
      </c>
      <c r="F219" s="919">
        <f>'Jrnl Exp ~ Dép'!$E151</f>
        <v>0</v>
      </c>
      <c r="G219" s="920" t="str">
        <f>LEFT('Jrnl Exp ~ Dép'!$H151,4)</f>
        <v/>
      </c>
      <c r="H219" s="923"/>
      <c r="I219" s="895"/>
      <c r="J219" s="895"/>
      <c r="K219" s="895"/>
      <c r="L219" s="898"/>
      <c r="M219" s="875" t="str">
        <f t="shared" si="7"/>
        <v>0</v>
      </c>
      <c r="N219" s="26" t="str">
        <f t="shared" si="6"/>
        <v>3</v>
      </c>
      <c r="O219" s="26" t="str">
        <f t="shared" si="8"/>
        <v>0</v>
      </c>
    </row>
    <row r="220" spans="2:15" ht="23.75" hidden="1" customHeight="1" x14ac:dyDescent="0.15">
      <c r="B220" s="26">
        <f>'Jrnl Exp ~ Dép'!B152</f>
        <v>0</v>
      </c>
      <c r="C220" s="914">
        <f>'Jrnl Exp ~ Dép'!$D152</f>
        <v>0</v>
      </c>
      <c r="D220" s="912">
        <f>'Jrnl Exp ~ Dép'!$F152</f>
        <v>0</v>
      </c>
      <c r="E220" s="918">
        <f>'Jrnl Exp ~ Dép'!$G152</f>
        <v>0</v>
      </c>
      <c r="F220" s="919">
        <f>'Jrnl Exp ~ Dép'!$E152</f>
        <v>0</v>
      </c>
      <c r="G220" s="920" t="str">
        <f>LEFT('Jrnl Exp ~ Dép'!$H152,4)</f>
        <v/>
      </c>
      <c r="H220" s="923"/>
      <c r="I220" s="895"/>
      <c r="J220" s="895"/>
      <c r="K220" s="895"/>
      <c r="L220" s="898"/>
      <c r="M220" s="875" t="str">
        <f t="shared" si="7"/>
        <v>0</v>
      </c>
      <c r="N220" s="26" t="str">
        <f t="shared" si="6"/>
        <v>3</v>
      </c>
      <c r="O220" s="26" t="str">
        <f t="shared" si="8"/>
        <v>0</v>
      </c>
    </row>
    <row r="221" spans="2:15" ht="23.75" hidden="1" customHeight="1" x14ac:dyDescent="0.15">
      <c r="B221" s="26">
        <f>'Jrnl Exp ~ Dép'!B153</f>
        <v>0</v>
      </c>
      <c r="C221" s="914">
        <f>'Jrnl Exp ~ Dép'!$D153</f>
        <v>0</v>
      </c>
      <c r="D221" s="912">
        <f>'Jrnl Exp ~ Dép'!$F153</f>
        <v>0</v>
      </c>
      <c r="E221" s="918">
        <f>'Jrnl Exp ~ Dép'!$G153</f>
        <v>0</v>
      </c>
      <c r="F221" s="919">
        <f>'Jrnl Exp ~ Dép'!$E153</f>
        <v>0</v>
      </c>
      <c r="G221" s="920" t="str">
        <f>LEFT('Jrnl Exp ~ Dép'!$H153,4)</f>
        <v/>
      </c>
      <c r="H221" s="923"/>
      <c r="I221" s="895"/>
      <c r="J221" s="895"/>
      <c r="K221" s="895"/>
      <c r="L221" s="898"/>
      <c r="M221" s="875" t="str">
        <f t="shared" si="7"/>
        <v>0</v>
      </c>
      <c r="N221" s="26" t="str">
        <f t="shared" si="6"/>
        <v>3</v>
      </c>
      <c r="O221" s="26" t="str">
        <f t="shared" si="8"/>
        <v>0</v>
      </c>
    </row>
    <row r="222" spans="2:15" ht="23.75" hidden="1" customHeight="1" x14ac:dyDescent="0.15">
      <c r="B222" s="26">
        <f>'Jrnl Exp ~ Dép'!B154</f>
        <v>0</v>
      </c>
      <c r="C222" s="914">
        <f>'Jrnl Exp ~ Dép'!$D154</f>
        <v>0</v>
      </c>
      <c r="D222" s="912">
        <f>'Jrnl Exp ~ Dép'!$F154</f>
        <v>0</v>
      </c>
      <c r="E222" s="918">
        <f>'Jrnl Exp ~ Dép'!$G154</f>
        <v>0</v>
      </c>
      <c r="F222" s="919">
        <f>'Jrnl Exp ~ Dép'!$E154</f>
        <v>0</v>
      </c>
      <c r="G222" s="920" t="str">
        <f>LEFT('Jrnl Exp ~ Dép'!$H154,4)</f>
        <v/>
      </c>
      <c r="H222" s="923"/>
      <c r="I222" s="895"/>
      <c r="J222" s="895"/>
      <c r="K222" s="895"/>
      <c r="L222" s="898"/>
      <c r="M222" s="875" t="str">
        <f t="shared" si="7"/>
        <v>0</v>
      </c>
      <c r="N222" s="26" t="str">
        <f t="shared" si="6"/>
        <v>3</v>
      </c>
      <c r="O222" s="26" t="str">
        <f t="shared" si="8"/>
        <v>0</v>
      </c>
    </row>
    <row r="223" spans="2:15" ht="23.75" hidden="1" customHeight="1" x14ac:dyDescent="0.15">
      <c r="B223" s="26">
        <f>'Jrnl Exp ~ Dép'!B155</f>
        <v>0</v>
      </c>
      <c r="C223" s="914">
        <f>'Jrnl Exp ~ Dép'!$D155</f>
        <v>0</v>
      </c>
      <c r="D223" s="912">
        <f>'Jrnl Exp ~ Dép'!$F155</f>
        <v>0</v>
      </c>
      <c r="E223" s="918">
        <f>'Jrnl Exp ~ Dép'!$G155</f>
        <v>0</v>
      </c>
      <c r="F223" s="919">
        <f>'Jrnl Exp ~ Dép'!$E155</f>
        <v>0</v>
      </c>
      <c r="G223" s="920" t="str">
        <f>LEFT('Jrnl Exp ~ Dép'!$H155,4)</f>
        <v/>
      </c>
      <c r="H223" s="923"/>
      <c r="I223" s="895"/>
      <c r="J223" s="895"/>
      <c r="K223" s="895"/>
      <c r="L223" s="898"/>
      <c r="M223" s="875" t="str">
        <f t="shared" si="7"/>
        <v>0</v>
      </c>
      <c r="N223" s="26" t="str">
        <f t="shared" si="6"/>
        <v>3</v>
      </c>
      <c r="O223" s="26" t="str">
        <f t="shared" si="8"/>
        <v>0</v>
      </c>
    </row>
    <row r="224" spans="2:15" ht="23.75" hidden="1" customHeight="1" x14ac:dyDescent="0.15">
      <c r="B224" s="26">
        <f>'Jrnl Exp ~ Dép'!B156</f>
        <v>0</v>
      </c>
      <c r="C224" s="914">
        <f>'Jrnl Exp ~ Dép'!$D156</f>
        <v>0</v>
      </c>
      <c r="D224" s="912">
        <f>'Jrnl Exp ~ Dép'!$F156</f>
        <v>0</v>
      </c>
      <c r="E224" s="918">
        <f>'Jrnl Exp ~ Dép'!$G156</f>
        <v>0</v>
      </c>
      <c r="F224" s="919">
        <f>'Jrnl Exp ~ Dép'!$E156</f>
        <v>0</v>
      </c>
      <c r="G224" s="920" t="str">
        <f>LEFT('Jrnl Exp ~ Dép'!$H156,4)</f>
        <v/>
      </c>
      <c r="H224" s="923"/>
      <c r="I224" s="895"/>
      <c r="J224" s="895"/>
      <c r="K224" s="895"/>
      <c r="L224" s="898"/>
      <c r="M224" s="875" t="str">
        <f t="shared" si="7"/>
        <v>0</v>
      </c>
      <c r="N224" s="26" t="str">
        <f t="shared" si="6"/>
        <v>3</v>
      </c>
      <c r="O224" s="26" t="str">
        <f t="shared" si="8"/>
        <v>0</v>
      </c>
    </row>
    <row r="225" spans="2:15" ht="23.75" hidden="1" customHeight="1" x14ac:dyDescent="0.15">
      <c r="B225" s="26">
        <f>'Jrnl Exp ~ Dép'!B157</f>
        <v>0</v>
      </c>
      <c r="C225" s="914">
        <f>'Jrnl Exp ~ Dép'!$D157</f>
        <v>0</v>
      </c>
      <c r="D225" s="912">
        <f>'Jrnl Exp ~ Dép'!$F157</f>
        <v>0</v>
      </c>
      <c r="E225" s="918">
        <f>'Jrnl Exp ~ Dép'!$G157</f>
        <v>0</v>
      </c>
      <c r="F225" s="919">
        <f>'Jrnl Exp ~ Dép'!$E157</f>
        <v>0</v>
      </c>
      <c r="G225" s="920" t="str">
        <f>LEFT('Jrnl Exp ~ Dép'!$H157,4)</f>
        <v/>
      </c>
      <c r="H225" s="923"/>
      <c r="I225" s="895"/>
      <c r="J225" s="895"/>
      <c r="K225" s="895"/>
      <c r="L225" s="898"/>
      <c r="M225" s="875" t="str">
        <f t="shared" si="7"/>
        <v>0</v>
      </c>
      <c r="N225" s="26" t="str">
        <f t="shared" si="6"/>
        <v>3</v>
      </c>
      <c r="O225" s="26" t="str">
        <f t="shared" si="8"/>
        <v>0</v>
      </c>
    </row>
    <row r="226" spans="2:15" ht="23.75" hidden="1" customHeight="1" x14ac:dyDescent="0.15">
      <c r="B226" s="26">
        <f>'Jrnl Exp ~ Dép'!B158</f>
        <v>0</v>
      </c>
      <c r="C226" s="914">
        <f>'Jrnl Exp ~ Dép'!$D158</f>
        <v>0</v>
      </c>
      <c r="D226" s="912">
        <f>'Jrnl Exp ~ Dép'!$F158</f>
        <v>0</v>
      </c>
      <c r="E226" s="918">
        <f>'Jrnl Exp ~ Dép'!$G158</f>
        <v>0</v>
      </c>
      <c r="F226" s="919">
        <f>'Jrnl Exp ~ Dép'!$E158</f>
        <v>0</v>
      </c>
      <c r="G226" s="920" t="str">
        <f>LEFT('Jrnl Exp ~ Dép'!$H158,4)</f>
        <v/>
      </c>
      <c r="H226" s="923"/>
      <c r="I226" s="895"/>
      <c r="J226" s="895"/>
      <c r="K226" s="895"/>
      <c r="L226" s="898"/>
      <c r="M226" s="875" t="str">
        <f t="shared" si="7"/>
        <v>0</v>
      </c>
      <c r="N226" s="26" t="str">
        <f t="shared" si="6"/>
        <v>3</v>
      </c>
      <c r="O226" s="26" t="str">
        <f t="shared" si="8"/>
        <v>0</v>
      </c>
    </row>
    <row r="227" spans="2:15" ht="23.75" hidden="1" customHeight="1" x14ac:dyDescent="0.15">
      <c r="B227" s="26">
        <f>'Jrnl Exp ~ Dép'!B159</f>
        <v>0</v>
      </c>
      <c r="C227" s="914">
        <f>'Jrnl Exp ~ Dép'!$D159</f>
        <v>0</v>
      </c>
      <c r="D227" s="912">
        <f>'Jrnl Exp ~ Dép'!$F159</f>
        <v>0</v>
      </c>
      <c r="E227" s="918">
        <f>'Jrnl Exp ~ Dép'!$G159</f>
        <v>0</v>
      </c>
      <c r="F227" s="919">
        <f>'Jrnl Exp ~ Dép'!$E159</f>
        <v>0</v>
      </c>
      <c r="G227" s="920" t="str">
        <f>LEFT('Jrnl Exp ~ Dép'!$H159,4)</f>
        <v/>
      </c>
      <c r="H227" s="923"/>
      <c r="I227" s="895"/>
      <c r="J227" s="895"/>
      <c r="K227" s="895"/>
      <c r="L227" s="898"/>
      <c r="M227" s="875" t="str">
        <f t="shared" si="7"/>
        <v>0</v>
      </c>
      <c r="N227" s="26" t="str">
        <f t="shared" si="6"/>
        <v>3</v>
      </c>
      <c r="O227" s="26" t="str">
        <f t="shared" si="8"/>
        <v>0</v>
      </c>
    </row>
    <row r="228" spans="2:15" ht="23.75" hidden="1" customHeight="1" x14ac:dyDescent="0.15">
      <c r="B228" s="26">
        <f>'Jrnl Exp ~ Dép'!B160</f>
        <v>0</v>
      </c>
      <c r="C228" s="914">
        <f>'Jrnl Exp ~ Dép'!$D160</f>
        <v>0</v>
      </c>
      <c r="D228" s="912">
        <f>'Jrnl Exp ~ Dép'!$F160</f>
        <v>0</v>
      </c>
      <c r="E228" s="918">
        <f>'Jrnl Exp ~ Dép'!$G160</f>
        <v>0</v>
      </c>
      <c r="F228" s="919">
        <f>'Jrnl Exp ~ Dép'!$E160</f>
        <v>0</v>
      </c>
      <c r="G228" s="920" t="str">
        <f>LEFT('Jrnl Exp ~ Dép'!$H160,4)</f>
        <v/>
      </c>
      <c r="H228" s="923"/>
      <c r="I228" s="895"/>
      <c r="J228" s="895"/>
      <c r="K228" s="895"/>
      <c r="L228" s="898"/>
      <c r="M228" s="875" t="str">
        <f t="shared" si="7"/>
        <v>0</v>
      </c>
      <c r="N228" s="26" t="str">
        <f t="shared" si="6"/>
        <v>3</v>
      </c>
      <c r="O228" s="26" t="str">
        <f t="shared" si="8"/>
        <v>0</v>
      </c>
    </row>
    <row r="229" spans="2:15" ht="23.75" hidden="1" customHeight="1" x14ac:dyDescent="0.15">
      <c r="B229" s="26">
        <f>'Jrnl Exp ~ Dép'!B161</f>
        <v>0</v>
      </c>
      <c r="C229" s="914">
        <f>'Jrnl Exp ~ Dép'!$D161</f>
        <v>0</v>
      </c>
      <c r="D229" s="912">
        <f>'Jrnl Exp ~ Dép'!$F161</f>
        <v>0</v>
      </c>
      <c r="E229" s="918">
        <f>'Jrnl Exp ~ Dép'!$G161</f>
        <v>0</v>
      </c>
      <c r="F229" s="919">
        <f>'Jrnl Exp ~ Dép'!$E161</f>
        <v>0</v>
      </c>
      <c r="G229" s="920" t="str">
        <f>LEFT('Jrnl Exp ~ Dép'!$H161,4)</f>
        <v/>
      </c>
      <c r="H229" s="923"/>
      <c r="I229" s="895"/>
      <c r="J229" s="895"/>
      <c r="K229" s="895"/>
      <c r="L229" s="898"/>
      <c r="M229" s="875" t="str">
        <f t="shared" si="7"/>
        <v>0</v>
      </c>
      <c r="N229" s="26" t="str">
        <f t="shared" si="6"/>
        <v>3</v>
      </c>
      <c r="O229" s="26" t="str">
        <f t="shared" si="8"/>
        <v>0</v>
      </c>
    </row>
    <row r="230" spans="2:15" ht="23.75" hidden="1" customHeight="1" x14ac:dyDescent="0.15">
      <c r="B230" s="26">
        <f>'Jrnl Exp ~ Dép'!B162</f>
        <v>0</v>
      </c>
      <c r="C230" s="914">
        <f>'Jrnl Exp ~ Dép'!$D162</f>
        <v>0</v>
      </c>
      <c r="D230" s="912">
        <f>'Jrnl Exp ~ Dép'!$F162</f>
        <v>0</v>
      </c>
      <c r="E230" s="918">
        <f>'Jrnl Exp ~ Dép'!$G162</f>
        <v>0</v>
      </c>
      <c r="F230" s="919">
        <f>'Jrnl Exp ~ Dép'!$E162</f>
        <v>0</v>
      </c>
      <c r="G230" s="920" t="str">
        <f>LEFT('Jrnl Exp ~ Dép'!$H162,4)</f>
        <v/>
      </c>
      <c r="H230" s="923"/>
      <c r="I230" s="895"/>
      <c r="J230" s="895"/>
      <c r="K230" s="895"/>
      <c r="L230" s="898"/>
      <c r="M230" s="875" t="str">
        <f t="shared" si="7"/>
        <v>0</v>
      </c>
      <c r="N230" s="26" t="str">
        <f t="shared" si="6"/>
        <v>3</v>
      </c>
      <c r="O230" s="26" t="str">
        <f t="shared" si="8"/>
        <v>0</v>
      </c>
    </row>
    <row r="231" spans="2:15" ht="23.75" hidden="1" customHeight="1" x14ac:dyDescent="0.15">
      <c r="B231" s="26">
        <f>'Jrnl Exp ~ Dép'!B163</f>
        <v>0</v>
      </c>
      <c r="C231" s="914">
        <f>'Jrnl Exp ~ Dép'!$D163</f>
        <v>0</v>
      </c>
      <c r="D231" s="912">
        <f>'Jrnl Exp ~ Dép'!$F163</f>
        <v>0</v>
      </c>
      <c r="E231" s="918">
        <f>'Jrnl Exp ~ Dép'!$G163</f>
        <v>0</v>
      </c>
      <c r="F231" s="919">
        <f>'Jrnl Exp ~ Dép'!$E163</f>
        <v>0</v>
      </c>
      <c r="G231" s="920" t="str">
        <f>LEFT('Jrnl Exp ~ Dép'!$H163,4)</f>
        <v/>
      </c>
      <c r="H231" s="923"/>
      <c r="I231" s="895"/>
      <c r="J231" s="895"/>
      <c r="K231" s="895"/>
      <c r="L231" s="898"/>
      <c r="M231" s="875" t="str">
        <f t="shared" si="7"/>
        <v>0</v>
      </c>
      <c r="N231" s="26" t="str">
        <f t="shared" si="6"/>
        <v>3</v>
      </c>
      <c r="O231" s="26" t="str">
        <f t="shared" si="8"/>
        <v>0</v>
      </c>
    </row>
    <row r="232" spans="2:15" ht="23.75" hidden="1" customHeight="1" x14ac:dyDescent="0.15">
      <c r="B232" s="26">
        <f>'Jrnl Exp ~ Dép'!B164</f>
        <v>0</v>
      </c>
      <c r="C232" s="914">
        <f>'Jrnl Exp ~ Dép'!$D164</f>
        <v>0</v>
      </c>
      <c r="D232" s="912">
        <f>'Jrnl Exp ~ Dép'!$F164</f>
        <v>0</v>
      </c>
      <c r="E232" s="918">
        <f>'Jrnl Exp ~ Dép'!$G164</f>
        <v>0</v>
      </c>
      <c r="F232" s="919">
        <f>'Jrnl Exp ~ Dép'!$E164</f>
        <v>0</v>
      </c>
      <c r="G232" s="920" t="str">
        <f>LEFT('Jrnl Exp ~ Dép'!$H164,4)</f>
        <v/>
      </c>
      <c r="H232" s="923"/>
      <c r="I232" s="895"/>
      <c r="J232" s="895"/>
      <c r="K232" s="895"/>
      <c r="L232" s="898"/>
      <c r="M232" s="875" t="str">
        <f t="shared" si="7"/>
        <v>0</v>
      </c>
      <c r="N232" s="26" t="str">
        <f t="shared" si="6"/>
        <v>3</v>
      </c>
      <c r="O232" s="26" t="str">
        <f t="shared" si="8"/>
        <v>0</v>
      </c>
    </row>
    <row r="233" spans="2:15" ht="23.75" hidden="1" customHeight="1" x14ac:dyDescent="0.15">
      <c r="B233" s="26">
        <f>'Jrnl Exp ~ Dép'!B165</f>
        <v>0</v>
      </c>
      <c r="C233" s="914">
        <f>'Jrnl Exp ~ Dép'!$D165</f>
        <v>0</v>
      </c>
      <c r="D233" s="912">
        <f>'Jrnl Exp ~ Dép'!$F165</f>
        <v>0</v>
      </c>
      <c r="E233" s="918">
        <f>'Jrnl Exp ~ Dép'!$G165</f>
        <v>0</v>
      </c>
      <c r="F233" s="919">
        <f>'Jrnl Exp ~ Dép'!$E165</f>
        <v>0</v>
      </c>
      <c r="G233" s="920" t="str">
        <f>LEFT('Jrnl Exp ~ Dép'!$H165,4)</f>
        <v/>
      </c>
      <c r="H233" s="923"/>
      <c r="I233" s="895"/>
      <c r="J233" s="895"/>
      <c r="K233" s="895"/>
      <c r="L233" s="898"/>
      <c r="M233" s="875" t="str">
        <f t="shared" si="7"/>
        <v>0</v>
      </c>
      <c r="N233" s="26" t="str">
        <f t="shared" si="6"/>
        <v>3</v>
      </c>
      <c r="O233" s="26" t="str">
        <f t="shared" si="8"/>
        <v>0</v>
      </c>
    </row>
    <row r="234" spans="2:15" ht="23.75" hidden="1" customHeight="1" x14ac:dyDescent="0.15">
      <c r="B234" s="26">
        <f>'Jrnl Exp ~ Dép'!B166</f>
        <v>0</v>
      </c>
      <c r="C234" s="914">
        <f>'Jrnl Exp ~ Dép'!$D166</f>
        <v>0</v>
      </c>
      <c r="D234" s="912">
        <f>'Jrnl Exp ~ Dép'!$F166</f>
        <v>0</v>
      </c>
      <c r="E234" s="918">
        <f>'Jrnl Exp ~ Dép'!$G166</f>
        <v>0</v>
      </c>
      <c r="F234" s="919">
        <f>'Jrnl Exp ~ Dép'!$E166</f>
        <v>0</v>
      </c>
      <c r="G234" s="920" t="str">
        <f>LEFT('Jrnl Exp ~ Dép'!$H166,4)</f>
        <v/>
      </c>
      <c r="H234" s="923"/>
      <c r="I234" s="895"/>
      <c r="J234" s="895"/>
      <c r="K234" s="895"/>
      <c r="L234" s="898"/>
      <c r="M234" s="875" t="str">
        <f t="shared" si="7"/>
        <v>0</v>
      </c>
      <c r="N234" s="26" t="str">
        <f t="shared" si="6"/>
        <v>3</v>
      </c>
      <c r="O234" s="26" t="str">
        <f t="shared" si="8"/>
        <v>0</v>
      </c>
    </row>
    <row r="235" spans="2:15" ht="23.75" hidden="1" customHeight="1" x14ac:dyDescent="0.15">
      <c r="B235" s="26">
        <f>'Jrnl Exp ~ Dép'!B167</f>
        <v>0</v>
      </c>
      <c r="C235" s="914">
        <f>'Jrnl Exp ~ Dép'!$D167</f>
        <v>0</v>
      </c>
      <c r="D235" s="912">
        <f>'Jrnl Exp ~ Dép'!$F167</f>
        <v>0</v>
      </c>
      <c r="E235" s="918">
        <f>'Jrnl Exp ~ Dép'!$G167</f>
        <v>0</v>
      </c>
      <c r="F235" s="919">
        <f>'Jrnl Exp ~ Dép'!$E167</f>
        <v>0</v>
      </c>
      <c r="G235" s="920" t="str">
        <f>LEFT('Jrnl Exp ~ Dép'!$H167,4)</f>
        <v/>
      </c>
      <c r="H235" s="923"/>
      <c r="I235" s="895"/>
      <c r="J235" s="895"/>
      <c r="K235" s="895"/>
      <c r="L235" s="898"/>
      <c r="M235" s="875" t="str">
        <f t="shared" si="7"/>
        <v>0</v>
      </c>
      <c r="N235" s="26" t="str">
        <f t="shared" si="6"/>
        <v>3</v>
      </c>
      <c r="O235" s="26" t="str">
        <f t="shared" si="8"/>
        <v>0</v>
      </c>
    </row>
    <row r="236" spans="2:15" ht="23.75" hidden="1" customHeight="1" x14ac:dyDescent="0.15">
      <c r="B236" s="26">
        <f>'Jrnl Exp ~ Dép'!B168</f>
        <v>0</v>
      </c>
      <c r="C236" s="914">
        <f>'Jrnl Exp ~ Dép'!$D168</f>
        <v>0</v>
      </c>
      <c r="D236" s="912">
        <f>'Jrnl Exp ~ Dép'!$F168</f>
        <v>0</v>
      </c>
      <c r="E236" s="918">
        <f>'Jrnl Exp ~ Dép'!$G168</f>
        <v>0</v>
      </c>
      <c r="F236" s="919">
        <f>'Jrnl Exp ~ Dép'!$E168</f>
        <v>0</v>
      </c>
      <c r="G236" s="920" t="str">
        <f>LEFT('Jrnl Exp ~ Dép'!$H168,4)</f>
        <v/>
      </c>
      <c r="H236" s="923"/>
      <c r="I236" s="895"/>
      <c r="J236" s="895"/>
      <c r="K236" s="895"/>
      <c r="L236" s="898"/>
      <c r="M236" s="875" t="str">
        <f t="shared" si="7"/>
        <v>0</v>
      </c>
      <c r="N236" s="26" t="str">
        <f t="shared" si="6"/>
        <v>3</v>
      </c>
      <c r="O236" s="26" t="str">
        <f t="shared" si="8"/>
        <v>0</v>
      </c>
    </row>
    <row r="237" spans="2:15" ht="23.75" hidden="1" customHeight="1" x14ac:dyDescent="0.15">
      <c r="B237" s="26">
        <f>'Jrnl Exp ~ Dép'!B169</f>
        <v>0</v>
      </c>
      <c r="C237" s="914">
        <f>'Jrnl Exp ~ Dép'!$D169</f>
        <v>0</v>
      </c>
      <c r="D237" s="912">
        <f>'Jrnl Exp ~ Dép'!$F169</f>
        <v>0</v>
      </c>
      <c r="E237" s="918">
        <f>'Jrnl Exp ~ Dép'!$G169</f>
        <v>0</v>
      </c>
      <c r="F237" s="919">
        <f>'Jrnl Exp ~ Dép'!$E169</f>
        <v>0</v>
      </c>
      <c r="G237" s="920" t="str">
        <f>LEFT('Jrnl Exp ~ Dép'!$H169,4)</f>
        <v/>
      </c>
      <c r="H237" s="923"/>
      <c r="I237" s="895"/>
      <c r="J237" s="895"/>
      <c r="K237" s="895"/>
      <c r="L237" s="898"/>
      <c r="M237" s="875" t="str">
        <f t="shared" si="7"/>
        <v>0</v>
      </c>
      <c r="N237" s="26" t="str">
        <f t="shared" si="6"/>
        <v>3</v>
      </c>
      <c r="O237" s="26" t="str">
        <f t="shared" si="8"/>
        <v>0</v>
      </c>
    </row>
    <row r="238" spans="2:15" ht="23.75" hidden="1" customHeight="1" x14ac:dyDescent="0.15">
      <c r="B238" s="26">
        <f>'Jrnl Exp ~ Dép'!B170</f>
        <v>0</v>
      </c>
      <c r="C238" s="914">
        <f>'Jrnl Exp ~ Dép'!$D170</f>
        <v>0</v>
      </c>
      <c r="D238" s="912">
        <f>'Jrnl Exp ~ Dép'!$F170</f>
        <v>0</v>
      </c>
      <c r="E238" s="918">
        <f>'Jrnl Exp ~ Dép'!$G170</f>
        <v>0</v>
      </c>
      <c r="F238" s="919">
        <f>'Jrnl Exp ~ Dép'!$E170</f>
        <v>0</v>
      </c>
      <c r="G238" s="920" t="str">
        <f>LEFT('Jrnl Exp ~ Dép'!$H170,4)</f>
        <v/>
      </c>
      <c r="H238" s="923"/>
      <c r="I238" s="895"/>
      <c r="J238" s="895"/>
      <c r="K238" s="895"/>
      <c r="L238" s="898"/>
      <c r="M238" s="875" t="str">
        <f t="shared" si="7"/>
        <v>0</v>
      </c>
      <c r="N238" s="26" t="str">
        <f t="shared" si="6"/>
        <v>3</v>
      </c>
      <c r="O238" s="26" t="str">
        <f t="shared" si="8"/>
        <v>0</v>
      </c>
    </row>
    <row r="239" spans="2:15" ht="23.75" hidden="1" customHeight="1" x14ac:dyDescent="0.15">
      <c r="B239" s="26">
        <f>'Jrnl Exp ~ Dép'!B171</f>
        <v>0</v>
      </c>
      <c r="C239" s="914">
        <f>'Jrnl Exp ~ Dép'!$D171</f>
        <v>0</v>
      </c>
      <c r="D239" s="912">
        <f>'Jrnl Exp ~ Dép'!$F171</f>
        <v>0</v>
      </c>
      <c r="E239" s="918">
        <f>'Jrnl Exp ~ Dép'!$G171</f>
        <v>0</v>
      </c>
      <c r="F239" s="919">
        <f>'Jrnl Exp ~ Dép'!$E171</f>
        <v>0</v>
      </c>
      <c r="G239" s="920" t="str">
        <f>LEFT('Jrnl Exp ~ Dép'!$H171,4)</f>
        <v/>
      </c>
      <c r="H239" s="923"/>
      <c r="I239" s="895"/>
      <c r="J239" s="895"/>
      <c r="K239" s="895"/>
      <c r="L239" s="898"/>
      <c r="M239" s="875" t="str">
        <f t="shared" si="7"/>
        <v>0</v>
      </c>
      <c r="N239" s="26" t="str">
        <f t="shared" si="6"/>
        <v>3</v>
      </c>
      <c r="O239" s="26" t="str">
        <f t="shared" si="8"/>
        <v>0</v>
      </c>
    </row>
    <row r="240" spans="2:15" ht="23.75" hidden="1" customHeight="1" x14ac:dyDescent="0.15">
      <c r="B240" s="26">
        <f>'Jrnl Exp ~ Dép'!B172</f>
        <v>0</v>
      </c>
      <c r="C240" s="914">
        <f>'Jrnl Exp ~ Dép'!$D172</f>
        <v>0</v>
      </c>
      <c r="D240" s="912">
        <f>'Jrnl Exp ~ Dép'!$F172</f>
        <v>0</v>
      </c>
      <c r="E240" s="918">
        <f>'Jrnl Exp ~ Dép'!$G172</f>
        <v>0</v>
      </c>
      <c r="F240" s="919">
        <f>'Jrnl Exp ~ Dép'!$E172</f>
        <v>0</v>
      </c>
      <c r="G240" s="920" t="str">
        <f>LEFT('Jrnl Exp ~ Dép'!$H172,4)</f>
        <v/>
      </c>
      <c r="H240" s="923"/>
      <c r="I240" s="895"/>
      <c r="J240" s="895"/>
      <c r="K240" s="895"/>
      <c r="L240" s="898"/>
      <c r="M240" s="875" t="str">
        <f t="shared" si="7"/>
        <v>0</v>
      </c>
      <c r="N240" s="26" t="str">
        <f t="shared" si="6"/>
        <v>3</v>
      </c>
      <c r="O240" s="26" t="str">
        <f t="shared" si="8"/>
        <v>0</v>
      </c>
    </row>
    <row r="241" spans="2:15" ht="23.75" hidden="1" customHeight="1" x14ac:dyDescent="0.15">
      <c r="B241" s="26">
        <f>'Jrnl Exp ~ Dép'!B173</f>
        <v>0</v>
      </c>
      <c r="C241" s="914">
        <f>'Jrnl Exp ~ Dép'!$D173</f>
        <v>0</v>
      </c>
      <c r="D241" s="912">
        <f>'Jrnl Exp ~ Dép'!$F173</f>
        <v>0</v>
      </c>
      <c r="E241" s="918">
        <f>'Jrnl Exp ~ Dép'!$G173</f>
        <v>0</v>
      </c>
      <c r="F241" s="919">
        <f>'Jrnl Exp ~ Dép'!$E173</f>
        <v>0</v>
      </c>
      <c r="G241" s="920" t="str">
        <f>LEFT('Jrnl Exp ~ Dép'!$H173,4)</f>
        <v/>
      </c>
      <c r="H241" s="923"/>
      <c r="I241" s="895"/>
      <c r="J241" s="895"/>
      <c r="K241" s="895"/>
      <c r="L241" s="898"/>
      <c r="M241" s="875" t="str">
        <f t="shared" si="7"/>
        <v>0</v>
      </c>
      <c r="N241" s="26" t="str">
        <f t="shared" si="6"/>
        <v>3</v>
      </c>
      <c r="O241" s="26" t="str">
        <f t="shared" si="8"/>
        <v>0</v>
      </c>
    </row>
    <row r="242" spans="2:15" ht="23.75" hidden="1" customHeight="1" x14ac:dyDescent="0.15">
      <c r="B242" s="26">
        <f>'Jrnl Exp ~ Dép'!B174</f>
        <v>0</v>
      </c>
      <c r="C242" s="914">
        <f>'Jrnl Exp ~ Dép'!$D174</f>
        <v>0</v>
      </c>
      <c r="D242" s="912">
        <f>'Jrnl Exp ~ Dép'!$F174</f>
        <v>0</v>
      </c>
      <c r="E242" s="918">
        <f>'Jrnl Exp ~ Dép'!$G174</f>
        <v>0</v>
      </c>
      <c r="F242" s="919">
        <f>'Jrnl Exp ~ Dép'!$E174</f>
        <v>0</v>
      </c>
      <c r="G242" s="920" t="str">
        <f>LEFT('Jrnl Exp ~ Dép'!$H174,4)</f>
        <v/>
      </c>
      <c r="H242" s="923"/>
      <c r="I242" s="895"/>
      <c r="J242" s="895"/>
      <c r="K242" s="895"/>
      <c r="L242" s="898"/>
      <c r="M242" s="875" t="str">
        <f t="shared" si="7"/>
        <v>0</v>
      </c>
      <c r="N242" s="26" t="str">
        <f t="shared" si="6"/>
        <v>3</v>
      </c>
      <c r="O242" s="26" t="str">
        <f t="shared" si="8"/>
        <v>0</v>
      </c>
    </row>
    <row r="243" spans="2:15" ht="23.75" hidden="1" customHeight="1" x14ac:dyDescent="0.15">
      <c r="B243" s="26">
        <f>'Jrnl Exp ~ Dép'!B175</f>
        <v>0</v>
      </c>
      <c r="C243" s="914">
        <f>'Jrnl Exp ~ Dép'!$D175</f>
        <v>0</v>
      </c>
      <c r="D243" s="912">
        <f>'Jrnl Exp ~ Dép'!$F175</f>
        <v>0</v>
      </c>
      <c r="E243" s="918">
        <f>'Jrnl Exp ~ Dép'!$G175</f>
        <v>0</v>
      </c>
      <c r="F243" s="919">
        <f>'Jrnl Exp ~ Dép'!$E175</f>
        <v>0</v>
      </c>
      <c r="G243" s="920" t="str">
        <f>LEFT('Jrnl Exp ~ Dép'!$H175,4)</f>
        <v/>
      </c>
      <c r="H243" s="923"/>
      <c r="I243" s="895"/>
      <c r="J243" s="895"/>
      <c r="K243" s="895"/>
      <c r="L243" s="898"/>
      <c r="M243" s="875" t="str">
        <f t="shared" si="7"/>
        <v>0</v>
      </c>
      <c r="N243" s="26" t="str">
        <f t="shared" si="6"/>
        <v>3</v>
      </c>
      <c r="O243" s="26" t="str">
        <f t="shared" si="8"/>
        <v>0</v>
      </c>
    </row>
    <row r="244" spans="2:15" ht="23.75" hidden="1" customHeight="1" x14ac:dyDescent="0.15">
      <c r="B244" s="26">
        <f>'Jrnl Exp ~ Dép'!B176</f>
        <v>0</v>
      </c>
      <c r="C244" s="914">
        <f>'Jrnl Exp ~ Dép'!$D176</f>
        <v>0</v>
      </c>
      <c r="D244" s="912">
        <f>'Jrnl Exp ~ Dép'!$F176</f>
        <v>0</v>
      </c>
      <c r="E244" s="918">
        <f>'Jrnl Exp ~ Dép'!$G176</f>
        <v>0</v>
      </c>
      <c r="F244" s="919">
        <f>'Jrnl Exp ~ Dép'!$E176</f>
        <v>0</v>
      </c>
      <c r="G244" s="920" t="str">
        <f>LEFT('Jrnl Exp ~ Dép'!$H176,4)</f>
        <v/>
      </c>
      <c r="H244" s="923"/>
      <c r="I244" s="895"/>
      <c r="J244" s="895"/>
      <c r="K244" s="895"/>
      <c r="L244" s="898"/>
      <c r="M244" s="875" t="str">
        <f t="shared" si="7"/>
        <v>0</v>
      </c>
      <c r="N244" s="26" t="str">
        <f t="shared" si="6"/>
        <v>3</v>
      </c>
      <c r="O244" s="26" t="str">
        <f t="shared" si="8"/>
        <v>0</v>
      </c>
    </row>
    <row r="245" spans="2:15" ht="23.75" hidden="1" customHeight="1" x14ac:dyDescent="0.15">
      <c r="B245" s="26">
        <f>'Jrnl Exp ~ Dép'!B177</f>
        <v>0</v>
      </c>
      <c r="C245" s="914">
        <f>'Jrnl Exp ~ Dép'!$D177</f>
        <v>0</v>
      </c>
      <c r="D245" s="912">
        <f>'Jrnl Exp ~ Dép'!$F177</f>
        <v>0</v>
      </c>
      <c r="E245" s="918">
        <f>'Jrnl Exp ~ Dép'!$G177</f>
        <v>0</v>
      </c>
      <c r="F245" s="919">
        <f>'Jrnl Exp ~ Dép'!$E177</f>
        <v>0</v>
      </c>
      <c r="G245" s="920" t="str">
        <f>LEFT('Jrnl Exp ~ Dép'!$H177,4)</f>
        <v/>
      </c>
      <c r="H245" s="923"/>
      <c r="I245" s="895"/>
      <c r="J245" s="895"/>
      <c r="K245" s="895"/>
      <c r="L245" s="898"/>
      <c r="M245" s="875" t="str">
        <f t="shared" si="7"/>
        <v>0</v>
      </c>
      <c r="N245" s="26" t="str">
        <f t="shared" si="6"/>
        <v>3</v>
      </c>
      <c r="O245" s="26" t="str">
        <f t="shared" si="8"/>
        <v>0</v>
      </c>
    </row>
    <row r="246" spans="2:15" ht="23.75" hidden="1" customHeight="1" x14ac:dyDescent="0.15">
      <c r="B246" s="26">
        <f>'Jrnl Exp ~ Dép'!B178</f>
        <v>0</v>
      </c>
      <c r="C246" s="914">
        <f>'Jrnl Exp ~ Dép'!$D178</f>
        <v>0</v>
      </c>
      <c r="D246" s="912">
        <f>'Jrnl Exp ~ Dép'!$F178</f>
        <v>0</v>
      </c>
      <c r="E246" s="918">
        <f>'Jrnl Exp ~ Dép'!$G178</f>
        <v>0</v>
      </c>
      <c r="F246" s="919">
        <f>'Jrnl Exp ~ Dép'!$E178</f>
        <v>0</v>
      </c>
      <c r="G246" s="920" t="str">
        <f>LEFT('Jrnl Exp ~ Dép'!$H178,4)</f>
        <v/>
      </c>
      <c r="H246" s="923"/>
      <c r="I246" s="895"/>
      <c r="J246" s="895"/>
      <c r="K246" s="895"/>
      <c r="L246" s="898"/>
      <c r="M246" s="875" t="str">
        <f t="shared" si="7"/>
        <v>0</v>
      </c>
      <c r="N246" s="26" t="str">
        <f t="shared" si="6"/>
        <v>3</v>
      </c>
      <c r="O246" s="26" t="str">
        <f t="shared" si="8"/>
        <v>0</v>
      </c>
    </row>
    <row r="247" spans="2:15" ht="23.75" hidden="1" customHeight="1" x14ac:dyDescent="0.15">
      <c r="B247" s="26">
        <f>'Jrnl Exp ~ Dép'!B179</f>
        <v>0</v>
      </c>
      <c r="C247" s="914">
        <f>'Jrnl Exp ~ Dép'!$D179</f>
        <v>0</v>
      </c>
      <c r="D247" s="912">
        <f>'Jrnl Exp ~ Dép'!$F179</f>
        <v>0</v>
      </c>
      <c r="E247" s="918">
        <f>'Jrnl Exp ~ Dép'!$G179</f>
        <v>0</v>
      </c>
      <c r="F247" s="919">
        <f>'Jrnl Exp ~ Dép'!$E179</f>
        <v>0</v>
      </c>
      <c r="G247" s="920" t="str">
        <f>LEFT('Jrnl Exp ~ Dép'!$H179,4)</f>
        <v/>
      </c>
      <c r="H247" s="923"/>
      <c r="I247" s="895"/>
      <c r="J247" s="895"/>
      <c r="K247" s="895"/>
      <c r="L247" s="898"/>
      <c r="M247" s="875" t="str">
        <f t="shared" si="7"/>
        <v>0</v>
      </c>
      <c r="N247" s="26" t="str">
        <f t="shared" si="6"/>
        <v>3</v>
      </c>
      <c r="O247" s="26" t="str">
        <f t="shared" si="8"/>
        <v>0</v>
      </c>
    </row>
    <row r="248" spans="2:15" ht="23.75" hidden="1" customHeight="1" x14ac:dyDescent="0.15">
      <c r="B248" s="26">
        <f>'Jrnl Exp ~ Dép'!B180</f>
        <v>0</v>
      </c>
      <c r="C248" s="914">
        <f>'Jrnl Exp ~ Dép'!$D180</f>
        <v>0</v>
      </c>
      <c r="D248" s="912">
        <f>'Jrnl Exp ~ Dép'!$F180</f>
        <v>0</v>
      </c>
      <c r="E248" s="918">
        <f>'Jrnl Exp ~ Dép'!$G180</f>
        <v>0</v>
      </c>
      <c r="F248" s="919">
        <f>'Jrnl Exp ~ Dép'!$E180</f>
        <v>0</v>
      </c>
      <c r="G248" s="920" t="str">
        <f>LEFT('Jrnl Exp ~ Dép'!$H180,4)</f>
        <v/>
      </c>
      <c r="H248" s="923"/>
      <c r="I248" s="895"/>
      <c r="J248" s="895"/>
      <c r="K248" s="895"/>
      <c r="L248" s="898"/>
      <c r="M248" s="875" t="str">
        <f t="shared" si="7"/>
        <v>0</v>
      </c>
      <c r="N248" s="26" t="str">
        <f t="shared" si="6"/>
        <v>3</v>
      </c>
      <c r="O248" s="26" t="str">
        <f t="shared" si="8"/>
        <v>0</v>
      </c>
    </row>
    <row r="249" spans="2:15" ht="23.75" hidden="1" customHeight="1" x14ac:dyDescent="0.15">
      <c r="B249" s="26">
        <f>'Jrnl Exp ~ Dép'!B181</f>
        <v>0</v>
      </c>
      <c r="C249" s="914">
        <f>'Jrnl Exp ~ Dép'!$D181</f>
        <v>0</v>
      </c>
      <c r="D249" s="912">
        <f>'Jrnl Exp ~ Dép'!$F181</f>
        <v>0</v>
      </c>
      <c r="E249" s="918">
        <f>'Jrnl Exp ~ Dép'!$G181</f>
        <v>0</v>
      </c>
      <c r="F249" s="919">
        <f>'Jrnl Exp ~ Dép'!$E181</f>
        <v>0</v>
      </c>
      <c r="G249" s="920" t="str">
        <f>LEFT('Jrnl Exp ~ Dép'!$H181,4)</f>
        <v/>
      </c>
      <c r="H249" s="923"/>
      <c r="I249" s="895"/>
      <c r="J249" s="895"/>
      <c r="K249" s="895"/>
      <c r="L249" s="898"/>
      <c r="M249" s="875" t="str">
        <f t="shared" si="7"/>
        <v>0</v>
      </c>
      <c r="N249" s="26" t="str">
        <f t="shared" si="6"/>
        <v>3</v>
      </c>
      <c r="O249" s="26" t="str">
        <f t="shared" si="8"/>
        <v>0</v>
      </c>
    </row>
    <row r="250" spans="2:15" ht="23.75" hidden="1" customHeight="1" x14ac:dyDescent="0.15">
      <c r="B250" s="26">
        <f>'Jrnl Exp ~ Dép'!B182</f>
        <v>0</v>
      </c>
      <c r="C250" s="914">
        <f>'Jrnl Exp ~ Dép'!$D182</f>
        <v>0</v>
      </c>
      <c r="D250" s="912">
        <f>'Jrnl Exp ~ Dép'!$F182</f>
        <v>0</v>
      </c>
      <c r="E250" s="918">
        <f>'Jrnl Exp ~ Dép'!$G182</f>
        <v>0</v>
      </c>
      <c r="F250" s="919">
        <f>'Jrnl Exp ~ Dép'!$E182</f>
        <v>0</v>
      </c>
      <c r="G250" s="920" t="str">
        <f>LEFT('Jrnl Exp ~ Dép'!$H182,4)</f>
        <v/>
      </c>
      <c r="H250" s="923"/>
      <c r="I250" s="895"/>
      <c r="J250" s="895"/>
      <c r="K250" s="895"/>
      <c r="L250" s="898"/>
      <c r="M250" s="875" t="str">
        <f t="shared" si="7"/>
        <v>0</v>
      </c>
      <c r="N250" s="26" t="str">
        <f t="shared" si="6"/>
        <v>3</v>
      </c>
      <c r="O250" s="26" t="str">
        <f t="shared" si="8"/>
        <v>0</v>
      </c>
    </row>
    <row r="251" spans="2:15" ht="23.75" hidden="1" customHeight="1" x14ac:dyDescent="0.15">
      <c r="B251" s="26">
        <f>'Jrnl Exp ~ Dép'!B183</f>
        <v>0</v>
      </c>
      <c r="C251" s="914">
        <f>'Jrnl Exp ~ Dép'!$D183</f>
        <v>0</v>
      </c>
      <c r="D251" s="912">
        <f>'Jrnl Exp ~ Dép'!$F183</f>
        <v>0</v>
      </c>
      <c r="E251" s="918">
        <f>'Jrnl Exp ~ Dép'!$G183</f>
        <v>0</v>
      </c>
      <c r="F251" s="919">
        <f>'Jrnl Exp ~ Dép'!$E183</f>
        <v>0</v>
      </c>
      <c r="G251" s="920" t="str">
        <f>LEFT('Jrnl Exp ~ Dép'!$H183,4)</f>
        <v/>
      </c>
      <c r="H251" s="923"/>
      <c r="I251" s="895"/>
      <c r="J251" s="895"/>
      <c r="K251" s="895"/>
      <c r="L251" s="898"/>
      <c r="M251" s="875" t="str">
        <f t="shared" si="7"/>
        <v>0</v>
      </c>
      <c r="N251" s="26" t="str">
        <f t="shared" si="6"/>
        <v>3</v>
      </c>
      <c r="O251" s="26" t="str">
        <f t="shared" si="8"/>
        <v>0</v>
      </c>
    </row>
    <row r="252" spans="2:15" ht="23.75" hidden="1" customHeight="1" x14ac:dyDescent="0.15">
      <c r="B252" s="26">
        <f>'Jrnl Exp ~ Dép'!B184</f>
        <v>0</v>
      </c>
      <c r="C252" s="914">
        <f>'Jrnl Exp ~ Dép'!$D184</f>
        <v>0</v>
      </c>
      <c r="D252" s="912">
        <f>'Jrnl Exp ~ Dép'!$F184</f>
        <v>0</v>
      </c>
      <c r="E252" s="918">
        <f>'Jrnl Exp ~ Dép'!$G184</f>
        <v>0</v>
      </c>
      <c r="F252" s="919">
        <f>'Jrnl Exp ~ Dép'!$E184</f>
        <v>0</v>
      </c>
      <c r="G252" s="920" t="str">
        <f>LEFT('Jrnl Exp ~ Dép'!$H184,4)</f>
        <v/>
      </c>
      <c r="H252" s="923"/>
      <c r="I252" s="895"/>
      <c r="J252" s="895"/>
      <c r="K252" s="895"/>
      <c r="L252" s="898"/>
      <c r="M252" s="875" t="str">
        <f t="shared" si="7"/>
        <v>0</v>
      </c>
      <c r="N252" s="26" t="str">
        <f t="shared" si="6"/>
        <v>3</v>
      </c>
      <c r="O252" s="26" t="str">
        <f t="shared" si="8"/>
        <v>0</v>
      </c>
    </row>
    <row r="253" spans="2:15" ht="23.75" hidden="1" customHeight="1" x14ac:dyDescent="0.15">
      <c r="B253" s="26">
        <f>'Jrnl Exp ~ Dép'!B185</f>
        <v>0</v>
      </c>
      <c r="C253" s="914">
        <f>'Jrnl Exp ~ Dép'!$D185</f>
        <v>0</v>
      </c>
      <c r="D253" s="912">
        <f>'Jrnl Exp ~ Dép'!$F185</f>
        <v>0</v>
      </c>
      <c r="E253" s="918">
        <f>'Jrnl Exp ~ Dép'!$G185</f>
        <v>0</v>
      </c>
      <c r="F253" s="919">
        <f>'Jrnl Exp ~ Dép'!$E185</f>
        <v>0</v>
      </c>
      <c r="G253" s="920" t="str">
        <f>LEFT('Jrnl Exp ~ Dép'!$H185,4)</f>
        <v/>
      </c>
      <c r="H253" s="923"/>
      <c r="I253" s="895"/>
      <c r="J253" s="895"/>
      <c r="K253" s="895"/>
      <c r="L253" s="898"/>
      <c r="M253" s="875" t="str">
        <f t="shared" si="7"/>
        <v>0</v>
      </c>
      <c r="N253" s="26" t="str">
        <f t="shared" si="6"/>
        <v>3</v>
      </c>
      <c r="O253" s="26" t="str">
        <f t="shared" si="8"/>
        <v>0</v>
      </c>
    </row>
    <row r="254" spans="2:15" ht="23.75" hidden="1" customHeight="1" x14ac:dyDescent="0.15">
      <c r="B254" s="26">
        <f>'Jrnl Exp ~ Dép'!B186</f>
        <v>0</v>
      </c>
      <c r="C254" s="914">
        <f>'Jrnl Exp ~ Dép'!$D186</f>
        <v>0</v>
      </c>
      <c r="D254" s="912">
        <f>'Jrnl Exp ~ Dép'!$F186</f>
        <v>0</v>
      </c>
      <c r="E254" s="918">
        <f>'Jrnl Exp ~ Dép'!$G186</f>
        <v>0</v>
      </c>
      <c r="F254" s="919">
        <f>'Jrnl Exp ~ Dép'!$E186</f>
        <v>0</v>
      </c>
      <c r="G254" s="920" t="str">
        <f>LEFT('Jrnl Exp ~ Dép'!$H186,4)</f>
        <v/>
      </c>
      <c r="H254" s="923"/>
      <c r="I254" s="895"/>
      <c r="J254" s="895"/>
      <c r="K254" s="895"/>
      <c r="L254" s="898"/>
      <c r="M254" s="875" t="str">
        <f t="shared" si="7"/>
        <v>0</v>
      </c>
      <c r="N254" s="26" t="str">
        <f t="shared" si="6"/>
        <v>3</v>
      </c>
      <c r="O254" s="26" t="str">
        <f t="shared" si="8"/>
        <v>0</v>
      </c>
    </row>
    <row r="255" spans="2:15" ht="23.75" hidden="1" customHeight="1" x14ac:dyDescent="0.15">
      <c r="B255" s="26">
        <f>'Jrnl Exp ~ Dép'!B187</f>
        <v>0</v>
      </c>
      <c r="C255" s="914">
        <f>'Jrnl Exp ~ Dép'!$D187</f>
        <v>0</v>
      </c>
      <c r="D255" s="912">
        <f>'Jrnl Exp ~ Dép'!$F187</f>
        <v>0</v>
      </c>
      <c r="E255" s="918">
        <f>'Jrnl Exp ~ Dép'!$G187</f>
        <v>0</v>
      </c>
      <c r="F255" s="919">
        <f>'Jrnl Exp ~ Dép'!$E187</f>
        <v>0</v>
      </c>
      <c r="G255" s="920" t="str">
        <f>LEFT('Jrnl Exp ~ Dép'!$H187,4)</f>
        <v/>
      </c>
      <c r="H255" s="923"/>
      <c r="I255" s="895"/>
      <c r="J255" s="895"/>
      <c r="K255" s="895"/>
      <c r="L255" s="898"/>
      <c r="M255" s="875" t="str">
        <f t="shared" si="7"/>
        <v>0</v>
      </c>
      <c r="N255" s="26" t="str">
        <f t="shared" si="6"/>
        <v>3</v>
      </c>
      <c r="O255" s="26" t="str">
        <f t="shared" si="8"/>
        <v>0</v>
      </c>
    </row>
    <row r="256" spans="2:15" ht="23.75" hidden="1" customHeight="1" x14ac:dyDescent="0.15">
      <c r="B256" s="26">
        <f>'Jrnl Exp ~ Dép'!B188</f>
        <v>0</v>
      </c>
      <c r="C256" s="914">
        <f>'Jrnl Exp ~ Dép'!$D188</f>
        <v>0</v>
      </c>
      <c r="D256" s="912">
        <f>'Jrnl Exp ~ Dép'!$F188</f>
        <v>0</v>
      </c>
      <c r="E256" s="918">
        <f>'Jrnl Exp ~ Dép'!$G188</f>
        <v>0</v>
      </c>
      <c r="F256" s="919">
        <f>'Jrnl Exp ~ Dép'!$E188</f>
        <v>0</v>
      </c>
      <c r="G256" s="920" t="str">
        <f>LEFT('Jrnl Exp ~ Dép'!$H188,4)</f>
        <v/>
      </c>
      <c r="H256" s="923"/>
      <c r="I256" s="895"/>
      <c r="J256" s="895"/>
      <c r="K256" s="895"/>
      <c r="L256" s="898"/>
      <c r="M256" s="875" t="str">
        <f t="shared" si="7"/>
        <v>0</v>
      </c>
      <c r="N256" s="26" t="str">
        <f t="shared" si="6"/>
        <v>3</v>
      </c>
      <c r="O256" s="26" t="str">
        <f t="shared" si="8"/>
        <v>0</v>
      </c>
    </row>
    <row r="257" spans="2:15" ht="23.75" hidden="1" customHeight="1" x14ac:dyDescent="0.15">
      <c r="B257" s="26">
        <f>'Jrnl Exp ~ Dép'!B189</f>
        <v>0</v>
      </c>
      <c r="C257" s="914">
        <f>'Jrnl Exp ~ Dép'!$D189</f>
        <v>0</v>
      </c>
      <c r="D257" s="912">
        <f>'Jrnl Exp ~ Dép'!$F189</f>
        <v>0</v>
      </c>
      <c r="E257" s="918">
        <f>'Jrnl Exp ~ Dép'!$G189</f>
        <v>0</v>
      </c>
      <c r="F257" s="919">
        <f>'Jrnl Exp ~ Dép'!$E189</f>
        <v>0</v>
      </c>
      <c r="G257" s="920" t="str">
        <f>LEFT('Jrnl Exp ~ Dép'!$H189,4)</f>
        <v/>
      </c>
      <c r="H257" s="923"/>
      <c r="I257" s="895"/>
      <c r="J257" s="895"/>
      <c r="K257" s="895"/>
      <c r="L257" s="898"/>
      <c r="M257" s="875" t="str">
        <f t="shared" si="7"/>
        <v>0</v>
      </c>
      <c r="N257" s="26" t="str">
        <f t="shared" si="6"/>
        <v>3</v>
      </c>
      <c r="O257" s="26" t="str">
        <f t="shared" si="8"/>
        <v>0</v>
      </c>
    </row>
    <row r="258" spans="2:15" ht="23.75" hidden="1" customHeight="1" x14ac:dyDescent="0.15">
      <c r="B258" s="26">
        <f>'Jrnl Exp ~ Dép'!B190</f>
        <v>0</v>
      </c>
      <c r="C258" s="914">
        <f>'Jrnl Exp ~ Dép'!$D190</f>
        <v>0</v>
      </c>
      <c r="D258" s="912">
        <f>'Jrnl Exp ~ Dép'!$F190</f>
        <v>0</v>
      </c>
      <c r="E258" s="918">
        <f>'Jrnl Exp ~ Dép'!$G190</f>
        <v>0</v>
      </c>
      <c r="F258" s="919">
        <f>'Jrnl Exp ~ Dép'!$E190</f>
        <v>0</v>
      </c>
      <c r="G258" s="920" t="str">
        <f>LEFT('Jrnl Exp ~ Dép'!$H190,4)</f>
        <v/>
      </c>
      <c r="H258" s="923"/>
      <c r="I258" s="895"/>
      <c r="J258" s="895"/>
      <c r="K258" s="895"/>
      <c r="L258" s="898"/>
      <c r="M258" s="875" t="str">
        <f t="shared" si="7"/>
        <v>0</v>
      </c>
      <c r="N258" s="26" t="str">
        <f t="shared" si="6"/>
        <v>3</v>
      </c>
      <c r="O258" s="26" t="str">
        <f t="shared" si="8"/>
        <v>0</v>
      </c>
    </row>
    <row r="259" spans="2:15" ht="23.75" hidden="1" customHeight="1" x14ac:dyDescent="0.15">
      <c r="B259" s="26">
        <f>'Jrnl Exp ~ Dép'!B191</f>
        <v>0</v>
      </c>
      <c r="C259" s="914">
        <f>'Jrnl Exp ~ Dép'!$D191</f>
        <v>0</v>
      </c>
      <c r="D259" s="912">
        <f>'Jrnl Exp ~ Dép'!$F191</f>
        <v>0</v>
      </c>
      <c r="E259" s="918">
        <f>'Jrnl Exp ~ Dép'!$G191</f>
        <v>0</v>
      </c>
      <c r="F259" s="919">
        <f>'Jrnl Exp ~ Dép'!$E191</f>
        <v>0</v>
      </c>
      <c r="G259" s="920" t="str">
        <f>LEFT('Jrnl Exp ~ Dép'!$H191,4)</f>
        <v/>
      </c>
      <c r="H259" s="923"/>
      <c r="I259" s="895"/>
      <c r="J259" s="895"/>
      <c r="K259" s="895"/>
      <c r="L259" s="898"/>
      <c r="M259" s="875" t="str">
        <f t="shared" si="7"/>
        <v>0</v>
      </c>
      <c r="N259" s="26" t="str">
        <f t="shared" si="6"/>
        <v>3</v>
      </c>
      <c r="O259" s="26" t="str">
        <f t="shared" si="8"/>
        <v>0</v>
      </c>
    </row>
    <row r="260" spans="2:15" ht="23.75" hidden="1" customHeight="1" x14ac:dyDescent="0.15">
      <c r="B260" s="26">
        <f>'Jrnl Exp ~ Dép'!B192</f>
        <v>0</v>
      </c>
      <c r="C260" s="914">
        <f>'Jrnl Exp ~ Dép'!$D192</f>
        <v>0</v>
      </c>
      <c r="D260" s="912">
        <f>'Jrnl Exp ~ Dép'!$F192</f>
        <v>0</v>
      </c>
      <c r="E260" s="918">
        <f>'Jrnl Exp ~ Dép'!$G192</f>
        <v>0</v>
      </c>
      <c r="F260" s="919">
        <f>'Jrnl Exp ~ Dép'!$E192</f>
        <v>0</v>
      </c>
      <c r="G260" s="920" t="str">
        <f>LEFT('Jrnl Exp ~ Dép'!$H192,4)</f>
        <v/>
      </c>
      <c r="H260" s="923"/>
      <c r="I260" s="895"/>
      <c r="J260" s="895"/>
      <c r="K260" s="895"/>
      <c r="L260" s="898"/>
      <c r="M260" s="875" t="str">
        <f t="shared" si="7"/>
        <v>0</v>
      </c>
      <c r="N260" s="26" t="str">
        <f t="shared" si="6"/>
        <v>3</v>
      </c>
      <c r="O260" s="26" t="str">
        <f t="shared" si="8"/>
        <v>0</v>
      </c>
    </row>
    <row r="261" spans="2:15" ht="23.75" hidden="1" customHeight="1" x14ac:dyDescent="0.15">
      <c r="B261" s="26">
        <f>'Jrnl Exp ~ Dép'!B193</f>
        <v>0</v>
      </c>
      <c r="C261" s="914">
        <f>'Jrnl Exp ~ Dép'!$D193</f>
        <v>0</v>
      </c>
      <c r="D261" s="912">
        <f>'Jrnl Exp ~ Dép'!$F193</f>
        <v>0</v>
      </c>
      <c r="E261" s="918">
        <f>'Jrnl Exp ~ Dép'!$G193</f>
        <v>0</v>
      </c>
      <c r="F261" s="919">
        <f>'Jrnl Exp ~ Dép'!$E193</f>
        <v>0</v>
      </c>
      <c r="G261" s="920" t="str">
        <f>LEFT('Jrnl Exp ~ Dép'!$H193,4)</f>
        <v/>
      </c>
      <c r="H261" s="923"/>
      <c r="I261" s="895"/>
      <c r="J261" s="895"/>
      <c r="K261" s="895"/>
      <c r="L261" s="898"/>
      <c r="M261" s="875" t="str">
        <f t="shared" si="7"/>
        <v>0</v>
      </c>
      <c r="N261" s="26" t="str">
        <f t="shared" si="6"/>
        <v>3</v>
      </c>
      <c r="O261" s="26" t="str">
        <f t="shared" si="8"/>
        <v>0</v>
      </c>
    </row>
    <row r="262" spans="2:15" ht="23.75" hidden="1" customHeight="1" x14ac:dyDescent="0.15">
      <c r="B262" s="26">
        <f>'Jrnl Exp ~ Dép'!B194</f>
        <v>0</v>
      </c>
      <c r="C262" s="914">
        <f>'Jrnl Exp ~ Dép'!$D194</f>
        <v>0</v>
      </c>
      <c r="D262" s="912">
        <f>'Jrnl Exp ~ Dép'!$F194</f>
        <v>0</v>
      </c>
      <c r="E262" s="918">
        <f>'Jrnl Exp ~ Dép'!$G194</f>
        <v>0</v>
      </c>
      <c r="F262" s="919">
        <f>'Jrnl Exp ~ Dép'!$E194</f>
        <v>0</v>
      </c>
      <c r="G262" s="920" t="str">
        <f>LEFT('Jrnl Exp ~ Dép'!$H194,4)</f>
        <v/>
      </c>
      <c r="H262" s="923"/>
      <c r="I262" s="895"/>
      <c r="J262" s="895"/>
      <c r="K262" s="895"/>
      <c r="L262" s="898"/>
      <c r="M262" s="875" t="str">
        <f t="shared" si="7"/>
        <v>0</v>
      </c>
      <c r="N262" s="26" t="str">
        <f t="shared" si="6"/>
        <v>3</v>
      </c>
      <c r="O262" s="26" t="str">
        <f t="shared" si="8"/>
        <v>0</v>
      </c>
    </row>
    <row r="263" spans="2:15" ht="23.75" hidden="1" customHeight="1" x14ac:dyDescent="0.15">
      <c r="B263" s="26">
        <f>'Jrnl Exp ~ Dép'!B195</f>
        <v>0</v>
      </c>
      <c r="C263" s="914">
        <f>'Jrnl Exp ~ Dép'!$D195</f>
        <v>0</v>
      </c>
      <c r="D263" s="912">
        <f>'Jrnl Exp ~ Dép'!$F195</f>
        <v>0</v>
      </c>
      <c r="E263" s="918">
        <f>'Jrnl Exp ~ Dép'!$G195</f>
        <v>0</v>
      </c>
      <c r="F263" s="919">
        <f>'Jrnl Exp ~ Dép'!$E195</f>
        <v>0</v>
      </c>
      <c r="G263" s="920" t="str">
        <f>LEFT('Jrnl Exp ~ Dép'!$H195,4)</f>
        <v/>
      </c>
      <c r="H263" s="923"/>
      <c r="I263" s="895"/>
      <c r="J263" s="895"/>
      <c r="K263" s="895"/>
      <c r="L263" s="898"/>
      <c r="M263" s="875" t="str">
        <f t="shared" si="7"/>
        <v>0</v>
      </c>
      <c r="N263" s="26" t="str">
        <f t="shared" si="6"/>
        <v>3</v>
      </c>
      <c r="O263" s="26" t="str">
        <f t="shared" si="8"/>
        <v>0</v>
      </c>
    </row>
    <row r="264" spans="2:15" ht="23.75" hidden="1" customHeight="1" x14ac:dyDescent="0.15">
      <c r="B264" s="26">
        <f>'Jrnl Exp ~ Dép'!B196</f>
        <v>0</v>
      </c>
      <c r="C264" s="914">
        <f>'Jrnl Exp ~ Dép'!$D196</f>
        <v>0</v>
      </c>
      <c r="D264" s="912">
        <f>'Jrnl Exp ~ Dép'!$F196</f>
        <v>0</v>
      </c>
      <c r="E264" s="918">
        <f>'Jrnl Exp ~ Dép'!$G196</f>
        <v>0</v>
      </c>
      <c r="F264" s="919">
        <f>'Jrnl Exp ~ Dép'!$E196</f>
        <v>0</v>
      </c>
      <c r="G264" s="920" t="str">
        <f>LEFT('Jrnl Exp ~ Dép'!$H196,4)</f>
        <v/>
      </c>
      <c r="H264" s="923"/>
      <c r="I264" s="895"/>
      <c r="J264" s="895"/>
      <c r="K264" s="895"/>
      <c r="L264" s="898"/>
      <c r="M264" s="875" t="str">
        <f t="shared" si="7"/>
        <v>0</v>
      </c>
      <c r="N264" s="26" t="str">
        <f t="shared" si="6"/>
        <v>3</v>
      </c>
      <c r="O264" s="26" t="str">
        <f t="shared" si="8"/>
        <v>0</v>
      </c>
    </row>
    <row r="265" spans="2:15" ht="23.75" hidden="1" customHeight="1" x14ac:dyDescent="0.15">
      <c r="B265" s="26">
        <f>'Jrnl Exp ~ Dép'!B197</f>
        <v>0</v>
      </c>
      <c r="C265" s="914">
        <f>'Jrnl Exp ~ Dép'!$D197</f>
        <v>0</v>
      </c>
      <c r="D265" s="912">
        <f>'Jrnl Exp ~ Dép'!$F197</f>
        <v>0</v>
      </c>
      <c r="E265" s="918">
        <f>'Jrnl Exp ~ Dép'!$G197</f>
        <v>0</v>
      </c>
      <c r="F265" s="919">
        <f>'Jrnl Exp ~ Dép'!$E197</f>
        <v>0</v>
      </c>
      <c r="G265" s="920" t="str">
        <f>LEFT('Jrnl Exp ~ Dép'!$H197,4)</f>
        <v/>
      </c>
      <c r="H265" s="923"/>
      <c r="I265" s="895"/>
      <c r="J265" s="895"/>
      <c r="K265" s="895"/>
      <c r="L265" s="898"/>
      <c r="M265" s="875" t="str">
        <f t="shared" si="7"/>
        <v>0</v>
      </c>
      <c r="N265" s="26" t="str">
        <f t="shared" si="6"/>
        <v>3</v>
      </c>
      <c r="O265" s="26" t="str">
        <f t="shared" si="8"/>
        <v>0</v>
      </c>
    </row>
    <row r="266" spans="2:15" ht="23.75" hidden="1" customHeight="1" x14ac:dyDescent="0.15">
      <c r="B266" s="26">
        <f>'Jrnl Exp ~ Dép'!B198</f>
        <v>0</v>
      </c>
      <c r="C266" s="914">
        <f>'Jrnl Exp ~ Dép'!$D198</f>
        <v>0</v>
      </c>
      <c r="D266" s="912">
        <f>'Jrnl Exp ~ Dép'!$F198</f>
        <v>0</v>
      </c>
      <c r="E266" s="918">
        <f>'Jrnl Exp ~ Dép'!$G198</f>
        <v>0</v>
      </c>
      <c r="F266" s="919">
        <f>'Jrnl Exp ~ Dép'!$E198</f>
        <v>0</v>
      </c>
      <c r="G266" s="920" t="str">
        <f>LEFT('Jrnl Exp ~ Dép'!$H198,4)</f>
        <v/>
      </c>
      <c r="H266" s="923"/>
      <c r="I266" s="895"/>
      <c r="J266" s="895"/>
      <c r="K266" s="895"/>
      <c r="L266" s="898"/>
      <c r="M266" s="875" t="str">
        <f t="shared" si="7"/>
        <v>0</v>
      </c>
      <c r="N266" s="26" t="str">
        <f t="shared" si="6"/>
        <v>3</v>
      </c>
      <c r="O266" s="26" t="str">
        <f t="shared" si="8"/>
        <v>0</v>
      </c>
    </row>
    <row r="267" spans="2:15" ht="23.75" hidden="1" customHeight="1" x14ac:dyDescent="0.15">
      <c r="B267" s="26">
        <f>'Jrnl Exp ~ Dép'!B199</f>
        <v>0</v>
      </c>
      <c r="C267" s="914">
        <f>'Jrnl Exp ~ Dép'!$D199</f>
        <v>0</v>
      </c>
      <c r="D267" s="912">
        <f>'Jrnl Exp ~ Dép'!$F199</f>
        <v>0</v>
      </c>
      <c r="E267" s="918">
        <f>'Jrnl Exp ~ Dép'!$G199</f>
        <v>0</v>
      </c>
      <c r="F267" s="919">
        <f>'Jrnl Exp ~ Dép'!$E199</f>
        <v>0</v>
      </c>
      <c r="G267" s="920" t="str">
        <f>LEFT('Jrnl Exp ~ Dép'!$H199,4)</f>
        <v/>
      </c>
      <c r="H267" s="923"/>
      <c r="I267" s="895"/>
      <c r="J267" s="895"/>
      <c r="K267" s="895"/>
      <c r="L267" s="898"/>
      <c r="M267" s="875" t="str">
        <f t="shared" si="7"/>
        <v>0</v>
      </c>
      <c r="N267" s="26" t="str">
        <f t="shared" si="6"/>
        <v>3</v>
      </c>
      <c r="O267" s="26" t="str">
        <f t="shared" si="8"/>
        <v>0</v>
      </c>
    </row>
    <row r="268" spans="2:15" ht="23.75" hidden="1" customHeight="1" x14ac:dyDescent="0.15">
      <c r="B268" s="26">
        <f>'Jrnl Exp ~ Dép'!B200</f>
        <v>0</v>
      </c>
      <c r="C268" s="914">
        <f>'Jrnl Exp ~ Dép'!$D200</f>
        <v>0</v>
      </c>
      <c r="D268" s="912">
        <f>'Jrnl Exp ~ Dép'!$F200</f>
        <v>0</v>
      </c>
      <c r="E268" s="918">
        <f>'Jrnl Exp ~ Dép'!$G200</f>
        <v>0</v>
      </c>
      <c r="F268" s="919">
        <f>'Jrnl Exp ~ Dép'!$E200</f>
        <v>0</v>
      </c>
      <c r="G268" s="920" t="str">
        <f>LEFT('Jrnl Exp ~ Dép'!$H200,4)</f>
        <v/>
      </c>
      <c r="H268" s="923"/>
      <c r="I268" s="895"/>
      <c r="J268" s="895"/>
      <c r="K268" s="895"/>
      <c r="L268" s="898"/>
      <c r="M268" s="875" t="str">
        <f t="shared" si="7"/>
        <v>0</v>
      </c>
      <c r="N268" s="26" t="str">
        <f t="shared" si="6"/>
        <v>3</v>
      </c>
      <c r="O268" s="26" t="str">
        <f t="shared" si="8"/>
        <v>0</v>
      </c>
    </row>
    <row r="269" spans="2:15" ht="23.75" hidden="1" customHeight="1" x14ac:dyDescent="0.15">
      <c r="B269" s="26">
        <f>'Jrnl Exp ~ Dép'!B201</f>
        <v>0</v>
      </c>
      <c r="C269" s="914">
        <f>'Jrnl Exp ~ Dép'!$D201</f>
        <v>0</v>
      </c>
      <c r="D269" s="912">
        <f>'Jrnl Exp ~ Dép'!$F201</f>
        <v>0</v>
      </c>
      <c r="E269" s="918">
        <f>'Jrnl Exp ~ Dép'!$G201</f>
        <v>0</v>
      </c>
      <c r="F269" s="919">
        <f>'Jrnl Exp ~ Dép'!$E201</f>
        <v>0</v>
      </c>
      <c r="G269" s="920" t="str">
        <f>LEFT('Jrnl Exp ~ Dép'!$H201,4)</f>
        <v/>
      </c>
      <c r="H269" s="923"/>
      <c r="I269" s="895"/>
      <c r="J269" s="895"/>
      <c r="K269" s="895"/>
      <c r="L269" s="898"/>
      <c r="M269" s="875" t="str">
        <f t="shared" si="7"/>
        <v>0</v>
      </c>
      <c r="N269" s="26" t="str">
        <f t="shared" si="6"/>
        <v>3</v>
      </c>
      <c r="O269" s="26" t="str">
        <f t="shared" si="8"/>
        <v>0</v>
      </c>
    </row>
    <row r="270" spans="2:15" ht="23.75" hidden="1" customHeight="1" x14ac:dyDescent="0.15">
      <c r="B270" s="26">
        <f>'Jrnl Exp ~ Dép'!B202</f>
        <v>0</v>
      </c>
      <c r="C270" s="914">
        <f>'Jrnl Exp ~ Dép'!$D202</f>
        <v>0</v>
      </c>
      <c r="D270" s="912">
        <f>'Jrnl Exp ~ Dép'!$F202</f>
        <v>0</v>
      </c>
      <c r="E270" s="918">
        <f>'Jrnl Exp ~ Dép'!$G202</f>
        <v>0</v>
      </c>
      <c r="F270" s="919">
        <f>'Jrnl Exp ~ Dép'!$E202</f>
        <v>0</v>
      </c>
      <c r="G270" s="920" t="str">
        <f>LEFT('Jrnl Exp ~ Dép'!$H202,4)</f>
        <v/>
      </c>
      <c r="H270" s="923"/>
      <c r="I270" s="895"/>
      <c r="J270" s="895"/>
      <c r="K270" s="895"/>
      <c r="L270" s="898"/>
      <c r="M270" s="875" t="str">
        <f t="shared" si="7"/>
        <v>0</v>
      </c>
      <c r="N270" s="26" t="str">
        <f t="shared" si="6"/>
        <v>3</v>
      </c>
      <c r="O270" s="26" t="str">
        <f t="shared" si="8"/>
        <v>0</v>
      </c>
    </row>
    <row r="271" spans="2:15" ht="23.75" hidden="1" customHeight="1" x14ac:dyDescent="0.15">
      <c r="B271" s="26">
        <f>'Jrnl Exp ~ Dép'!B203</f>
        <v>0</v>
      </c>
      <c r="C271" s="914">
        <f>'Jrnl Exp ~ Dép'!$D203</f>
        <v>0</v>
      </c>
      <c r="D271" s="912">
        <f>'Jrnl Exp ~ Dép'!$F203</f>
        <v>0</v>
      </c>
      <c r="E271" s="918">
        <f>'Jrnl Exp ~ Dép'!$G203</f>
        <v>0</v>
      </c>
      <c r="F271" s="919">
        <f>'Jrnl Exp ~ Dép'!$E203</f>
        <v>0</v>
      </c>
      <c r="G271" s="920" t="str">
        <f>LEFT('Jrnl Exp ~ Dép'!$H203,4)</f>
        <v/>
      </c>
      <c r="H271" s="923"/>
      <c r="I271" s="895"/>
      <c r="J271" s="895"/>
      <c r="K271" s="895"/>
      <c r="L271" s="898"/>
      <c r="M271" s="875" t="str">
        <f t="shared" si="7"/>
        <v>0</v>
      </c>
      <c r="N271" s="26" t="str">
        <f t="shared" si="6"/>
        <v>3</v>
      </c>
      <c r="O271" s="26" t="str">
        <f t="shared" si="8"/>
        <v>0</v>
      </c>
    </row>
    <row r="272" spans="2:15" ht="23.75" hidden="1" customHeight="1" x14ac:dyDescent="0.15">
      <c r="B272" s="26">
        <f>'Jrnl Exp ~ Dép'!B204</f>
        <v>0</v>
      </c>
      <c r="C272" s="914">
        <f>'Jrnl Exp ~ Dép'!$D204</f>
        <v>0</v>
      </c>
      <c r="D272" s="912">
        <f>'Jrnl Exp ~ Dép'!$F204</f>
        <v>0</v>
      </c>
      <c r="E272" s="918">
        <f>'Jrnl Exp ~ Dép'!$G204</f>
        <v>0</v>
      </c>
      <c r="F272" s="919">
        <f>'Jrnl Exp ~ Dép'!$E204</f>
        <v>0</v>
      </c>
      <c r="G272" s="920" t="str">
        <f>LEFT('Jrnl Exp ~ Dép'!$H204,4)</f>
        <v/>
      </c>
      <c r="H272" s="923"/>
      <c r="I272" s="895"/>
      <c r="J272" s="895"/>
      <c r="K272" s="895"/>
      <c r="L272" s="898"/>
      <c r="M272" s="875" t="str">
        <f t="shared" si="7"/>
        <v>0</v>
      </c>
      <c r="N272" s="26" t="str">
        <f t="shared" si="6"/>
        <v>3</v>
      </c>
      <c r="O272" s="26" t="str">
        <f t="shared" si="8"/>
        <v>0</v>
      </c>
    </row>
    <row r="273" spans="2:15" ht="23.75" hidden="1" customHeight="1" x14ac:dyDescent="0.15">
      <c r="B273" s="26">
        <f>'Jrnl Exp ~ Dép'!B205</f>
        <v>0</v>
      </c>
      <c r="C273" s="914">
        <f>'Jrnl Exp ~ Dép'!$D205</f>
        <v>0</v>
      </c>
      <c r="D273" s="912">
        <f>'Jrnl Exp ~ Dép'!$F205</f>
        <v>0</v>
      </c>
      <c r="E273" s="918">
        <f>'Jrnl Exp ~ Dép'!$G205</f>
        <v>0</v>
      </c>
      <c r="F273" s="919">
        <f>'Jrnl Exp ~ Dép'!$E205</f>
        <v>0</v>
      </c>
      <c r="G273" s="920" t="str">
        <f>LEFT('Jrnl Exp ~ Dép'!$H205,4)</f>
        <v/>
      </c>
      <c r="H273" s="923"/>
      <c r="I273" s="895"/>
      <c r="J273" s="895"/>
      <c r="K273" s="895"/>
      <c r="L273" s="898"/>
      <c r="M273" s="875" t="str">
        <f t="shared" si="7"/>
        <v>0</v>
      </c>
      <c r="N273" s="26" t="str">
        <f t="shared" si="6"/>
        <v>3</v>
      </c>
      <c r="O273" s="26" t="str">
        <f t="shared" si="8"/>
        <v>0</v>
      </c>
    </row>
    <row r="274" spans="2:15" ht="23.75" hidden="1" customHeight="1" x14ac:dyDescent="0.15">
      <c r="B274" s="26">
        <f>'Jrnl Exp ~ Dép'!B206</f>
        <v>0</v>
      </c>
      <c r="C274" s="914">
        <f>'Jrnl Exp ~ Dép'!$D206</f>
        <v>0</v>
      </c>
      <c r="D274" s="912">
        <f>'Jrnl Exp ~ Dép'!$F206</f>
        <v>0</v>
      </c>
      <c r="E274" s="918">
        <f>'Jrnl Exp ~ Dép'!$G206</f>
        <v>0</v>
      </c>
      <c r="F274" s="919">
        <f>'Jrnl Exp ~ Dép'!$E206</f>
        <v>0</v>
      </c>
      <c r="G274" s="920" t="str">
        <f>LEFT('Jrnl Exp ~ Dép'!$H206,4)</f>
        <v/>
      </c>
      <c r="H274" s="923"/>
      <c r="I274" s="895"/>
      <c r="J274" s="895"/>
      <c r="K274" s="895"/>
      <c r="L274" s="898"/>
      <c r="M274" s="875" t="str">
        <f t="shared" si="7"/>
        <v>0</v>
      </c>
      <c r="N274" s="26" t="str">
        <f t="shared" si="6"/>
        <v>3</v>
      </c>
      <c r="O274" s="26" t="str">
        <f t="shared" si="8"/>
        <v>0</v>
      </c>
    </row>
    <row r="275" spans="2:15" ht="23.75" hidden="1" customHeight="1" x14ac:dyDescent="0.15">
      <c r="B275" s="26">
        <f>'Jrnl Exp ~ Dép'!B207</f>
        <v>0</v>
      </c>
      <c r="C275" s="914">
        <f>'Jrnl Exp ~ Dép'!$D207</f>
        <v>0</v>
      </c>
      <c r="D275" s="912">
        <f>'Jrnl Exp ~ Dép'!$F207</f>
        <v>0</v>
      </c>
      <c r="E275" s="918">
        <f>'Jrnl Exp ~ Dép'!$G207</f>
        <v>0</v>
      </c>
      <c r="F275" s="919">
        <f>'Jrnl Exp ~ Dép'!$E207</f>
        <v>0</v>
      </c>
      <c r="G275" s="920" t="str">
        <f>LEFT('Jrnl Exp ~ Dép'!$H207,4)</f>
        <v/>
      </c>
      <c r="H275" s="923"/>
      <c r="I275" s="895"/>
      <c r="J275" s="895"/>
      <c r="K275" s="895"/>
      <c r="L275" s="898"/>
      <c r="M275" s="875" t="str">
        <f t="shared" si="7"/>
        <v>0</v>
      </c>
      <c r="N275" s="26" t="str">
        <f t="shared" si="6"/>
        <v>3</v>
      </c>
      <c r="O275" s="26" t="str">
        <f t="shared" si="8"/>
        <v>0</v>
      </c>
    </row>
    <row r="276" spans="2:15" ht="23.75" hidden="1" customHeight="1" x14ac:dyDescent="0.15">
      <c r="B276" s="26">
        <f>'Jrnl Exp ~ Dép'!B208</f>
        <v>0</v>
      </c>
      <c r="C276" s="914">
        <f>'Jrnl Exp ~ Dép'!$D208</f>
        <v>0</v>
      </c>
      <c r="D276" s="912">
        <f>'Jrnl Exp ~ Dép'!$F208</f>
        <v>0</v>
      </c>
      <c r="E276" s="918">
        <f>'Jrnl Exp ~ Dép'!$G208</f>
        <v>0</v>
      </c>
      <c r="F276" s="919">
        <f>'Jrnl Exp ~ Dép'!$E208</f>
        <v>0</v>
      </c>
      <c r="G276" s="920" t="str">
        <f>LEFT('Jrnl Exp ~ Dép'!$H208,4)</f>
        <v/>
      </c>
      <c r="H276" s="923"/>
      <c r="I276" s="895"/>
      <c r="J276" s="895"/>
      <c r="K276" s="895"/>
      <c r="L276" s="898"/>
      <c r="M276" s="875" t="str">
        <f t="shared" si="7"/>
        <v>0</v>
      </c>
      <c r="N276" s="26" t="str">
        <f t="shared" ref="N276:N339" si="9">IF(B276="√","2","3")</f>
        <v>3</v>
      </c>
      <c r="O276" s="26" t="str">
        <f t="shared" si="8"/>
        <v>0</v>
      </c>
    </row>
    <row r="277" spans="2:15" ht="23.75" hidden="1" customHeight="1" x14ac:dyDescent="0.15">
      <c r="B277" s="26">
        <f>'Jrnl Exp ~ Dép'!B209</f>
        <v>0</v>
      </c>
      <c r="C277" s="914">
        <f>'Jrnl Exp ~ Dép'!$D209</f>
        <v>0</v>
      </c>
      <c r="D277" s="912">
        <f>'Jrnl Exp ~ Dép'!$F209</f>
        <v>0</v>
      </c>
      <c r="E277" s="918">
        <f>'Jrnl Exp ~ Dép'!$G209</f>
        <v>0</v>
      </c>
      <c r="F277" s="919">
        <f>'Jrnl Exp ~ Dép'!$E209</f>
        <v>0</v>
      </c>
      <c r="G277" s="920" t="str">
        <f>LEFT('Jrnl Exp ~ Dép'!$H209,4)</f>
        <v/>
      </c>
      <c r="H277" s="923"/>
      <c r="I277" s="895"/>
      <c r="J277" s="895"/>
      <c r="K277" s="895"/>
      <c r="L277" s="898"/>
      <c r="M277" s="875" t="str">
        <f t="shared" ref="M277:M340" si="10">IF(E277&gt;0,"1","0")</f>
        <v>0</v>
      </c>
      <c r="N277" s="26" t="str">
        <f t="shared" si="9"/>
        <v>3</v>
      </c>
      <c r="O277" s="26" t="str">
        <f t="shared" ref="O277:O340" si="11">IF(AND(M277="1",N277="3"),"4","0")</f>
        <v>0</v>
      </c>
    </row>
    <row r="278" spans="2:15" ht="23.75" hidden="1" customHeight="1" x14ac:dyDescent="0.15">
      <c r="B278" s="26">
        <f>'Jrnl Exp ~ Dép'!B210</f>
        <v>0</v>
      </c>
      <c r="C278" s="914">
        <f>'Jrnl Exp ~ Dép'!$D210</f>
        <v>0</v>
      </c>
      <c r="D278" s="912">
        <f>'Jrnl Exp ~ Dép'!$F210</f>
        <v>0</v>
      </c>
      <c r="E278" s="918">
        <f>'Jrnl Exp ~ Dép'!$G210</f>
        <v>0</v>
      </c>
      <c r="F278" s="919">
        <f>'Jrnl Exp ~ Dép'!$E210</f>
        <v>0</v>
      </c>
      <c r="G278" s="920" t="str">
        <f>LEFT('Jrnl Exp ~ Dép'!$H210,4)</f>
        <v/>
      </c>
      <c r="H278" s="923"/>
      <c r="I278" s="895"/>
      <c r="J278" s="895"/>
      <c r="K278" s="895"/>
      <c r="L278" s="898"/>
      <c r="M278" s="875" t="str">
        <f t="shared" si="10"/>
        <v>0</v>
      </c>
      <c r="N278" s="26" t="str">
        <f t="shared" si="9"/>
        <v>3</v>
      </c>
      <c r="O278" s="26" t="str">
        <f t="shared" si="11"/>
        <v>0</v>
      </c>
    </row>
    <row r="279" spans="2:15" ht="23.75" hidden="1" customHeight="1" x14ac:dyDescent="0.15">
      <c r="B279" s="26">
        <f>'Jrnl Exp ~ Dép'!B211</f>
        <v>0</v>
      </c>
      <c r="C279" s="914">
        <f>'Jrnl Exp ~ Dép'!$D211</f>
        <v>0</v>
      </c>
      <c r="D279" s="912">
        <f>'Jrnl Exp ~ Dép'!$F211</f>
        <v>0</v>
      </c>
      <c r="E279" s="918">
        <f>'Jrnl Exp ~ Dép'!$G211</f>
        <v>0</v>
      </c>
      <c r="F279" s="919">
        <f>'Jrnl Exp ~ Dép'!$E211</f>
        <v>0</v>
      </c>
      <c r="G279" s="920" t="str">
        <f>LEFT('Jrnl Exp ~ Dép'!$H211,4)</f>
        <v/>
      </c>
      <c r="H279" s="923"/>
      <c r="I279" s="895"/>
      <c r="J279" s="895"/>
      <c r="K279" s="895"/>
      <c r="L279" s="898"/>
      <c r="M279" s="875" t="str">
        <f t="shared" si="10"/>
        <v>0</v>
      </c>
      <c r="N279" s="26" t="str">
        <f t="shared" si="9"/>
        <v>3</v>
      </c>
      <c r="O279" s="26" t="str">
        <f t="shared" si="11"/>
        <v>0</v>
      </c>
    </row>
    <row r="280" spans="2:15" ht="23.75" hidden="1" customHeight="1" x14ac:dyDescent="0.15">
      <c r="B280" s="26">
        <f>'Jrnl Exp ~ Dép'!B212</f>
        <v>0</v>
      </c>
      <c r="C280" s="914">
        <f>'Jrnl Exp ~ Dép'!$D212</f>
        <v>0</v>
      </c>
      <c r="D280" s="912">
        <f>'Jrnl Exp ~ Dép'!$F212</f>
        <v>0</v>
      </c>
      <c r="E280" s="918">
        <f>'Jrnl Exp ~ Dép'!$G212</f>
        <v>0</v>
      </c>
      <c r="F280" s="919">
        <f>'Jrnl Exp ~ Dép'!$E212</f>
        <v>0</v>
      </c>
      <c r="G280" s="920" t="str">
        <f>LEFT('Jrnl Exp ~ Dép'!$H212,4)</f>
        <v/>
      </c>
      <c r="H280" s="923"/>
      <c r="I280" s="895"/>
      <c r="J280" s="895"/>
      <c r="K280" s="895"/>
      <c r="L280" s="898"/>
      <c r="M280" s="875" t="str">
        <f t="shared" si="10"/>
        <v>0</v>
      </c>
      <c r="N280" s="26" t="str">
        <f t="shared" si="9"/>
        <v>3</v>
      </c>
      <c r="O280" s="26" t="str">
        <f t="shared" si="11"/>
        <v>0</v>
      </c>
    </row>
    <row r="281" spans="2:15" ht="23.75" hidden="1" customHeight="1" x14ac:dyDescent="0.15">
      <c r="B281" s="26">
        <f>'Jrnl Exp ~ Dép'!B213</f>
        <v>0</v>
      </c>
      <c r="C281" s="914">
        <f>'Jrnl Exp ~ Dép'!$D213</f>
        <v>0</v>
      </c>
      <c r="D281" s="912">
        <f>'Jrnl Exp ~ Dép'!$F213</f>
        <v>0</v>
      </c>
      <c r="E281" s="918">
        <f>'Jrnl Exp ~ Dép'!$G213</f>
        <v>0</v>
      </c>
      <c r="F281" s="919">
        <f>'Jrnl Exp ~ Dép'!$E213</f>
        <v>0</v>
      </c>
      <c r="G281" s="920" t="str">
        <f>LEFT('Jrnl Exp ~ Dép'!$H213,4)</f>
        <v/>
      </c>
      <c r="H281" s="923"/>
      <c r="I281" s="895"/>
      <c r="J281" s="895"/>
      <c r="K281" s="895"/>
      <c r="L281" s="898"/>
      <c r="M281" s="875" t="str">
        <f t="shared" si="10"/>
        <v>0</v>
      </c>
      <c r="N281" s="26" t="str">
        <f t="shared" si="9"/>
        <v>3</v>
      </c>
      <c r="O281" s="26" t="str">
        <f t="shared" si="11"/>
        <v>0</v>
      </c>
    </row>
    <row r="282" spans="2:15" ht="23.75" hidden="1" customHeight="1" x14ac:dyDescent="0.15">
      <c r="B282" s="26">
        <f>'Jrnl Exp ~ Dép'!B214</f>
        <v>0</v>
      </c>
      <c r="C282" s="914">
        <f>'Jrnl Exp ~ Dép'!$D214</f>
        <v>0</v>
      </c>
      <c r="D282" s="912">
        <f>'Jrnl Exp ~ Dép'!$F214</f>
        <v>0</v>
      </c>
      <c r="E282" s="918">
        <f>'Jrnl Exp ~ Dép'!$G214</f>
        <v>0</v>
      </c>
      <c r="F282" s="919">
        <f>'Jrnl Exp ~ Dép'!$E214</f>
        <v>0</v>
      </c>
      <c r="G282" s="920" t="str">
        <f>LEFT('Jrnl Exp ~ Dép'!$H214,4)</f>
        <v/>
      </c>
      <c r="H282" s="923"/>
      <c r="I282" s="895"/>
      <c r="J282" s="895"/>
      <c r="K282" s="895"/>
      <c r="L282" s="898"/>
      <c r="M282" s="875" t="str">
        <f t="shared" si="10"/>
        <v>0</v>
      </c>
      <c r="N282" s="26" t="str">
        <f t="shared" si="9"/>
        <v>3</v>
      </c>
      <c r="O282" s="26" t="str">
        <f t="shared" si="11"/>
        <v>0</v>
      </c>
    </row>
    <row r="283" spans="2:15" ht="23.75" hidden="1" customHeight="1" x14ac:dyDescent="0.15">
      <c r="B283" s="26">
        <f>'Jrnl Exp ~ Dép'!B215</f>
        <v>0</v>
      </c>
      <c r="C283" s="914">
        <f>'Jrnl Exp ~ Dép'!$D215</f>
        <v>0</v>
      </c>
      <c r="D283" s="912">
        <f>'Jrnl Exp ~ Dép'!$F215</f>
        <v>0</v>
      </c>
      <c r="E283" s="918">
        <f>'Jrnl Exp ~ Dép'!$G215</f>
        <v>0</v>
      </c>
      <c r="F283" s="919">
        <f>'Jrnl Exp ~ Dép'!$E215</f>
        <v>0</v>
      </c>
      <c r="G283" s="920" t="str">
        <f>LEFT('Jrnl Exp ~ Dép'!$H215,4)</f>
        <v/>
      </c>
      <c r="H283" s="923"/>
      <c r="I283" s="895"/>
      <c r="J283" s="895"/>
      <c r="K283" s="895"/>
      <c r="L283" s="898"/>
      <c r="M283" s="875" t="str">
        <f t="shared" si="10"/>
        <v>0</v>
      </c>
      <c r="N283" s="26" t="str">
        <f t="shared" si="9"/>
        <v>3</v>
      </c>
      <c r="O283" s="26" t="str">
        <f t="shared" si="11"/>
        <v>0</v>
      </c>
    </row>
    <row r="284" spans="2:15" ht="23.75" hidden="1" customHeight="1" x14ac:dyDescent="0.15">
      <c r="B284" s="26">
        <f>'Jrnl Exp ~ Dép'!B216</f>
        <v>0</v>
      </c>
      <c r="C284" s="914">
        <f>'Jrnl Exp ~ Dép'!$D216</f>
        <v>0</v>
      </c>
      <c r="D284" s="912">
        <f>'Jrnl Exp ~ Dép'!$F216</f>
        <v>0</v>
      </c>
      <c r="E284" s="918">
        <f>'Jrnl Exp ~ Dép'!$G216</f>
        <v>0</v>
      </c>
      <c r="F284" s="919">
        <f>'Jrnl Exp ~ Dép'!$E216</f>
        <v>0</v>
      </c>
      <c r="G284" s="920" t="str">
        <f>LEFT('Jrnl Exp ~ Dép'!$H216,4)</f>
        <v/>
      </c>
      <c r="H284" s="923"/>
      <c r="I284" s="895"/>
      <c r="J284" s="895"/>
      <c r="K284" s="895"/>
      <c r="L284" s="898"/>
      <c r="M284" s="875" t="str">
        <f t="shared" si="10"/>
        <v>0</v>
      </c>
      <c r="N284" s="26" t="str">
        <f t="shared" si="9"/>
        <v>3</v>
      </c>
      <c r="O284" s="26" t="str">
        <f t="shared" si="11"/>
        <v>0</v>
      </c>
    </row>
    <row r="285" spans="2:15" ht="23.75" hidden="1" customHeight="1" x14ac:dyDescent="0.15">
      <c r="B285" s="26">
        <f>'Jrnl Exp ~ Dép'!B217</f>
        <v>0</v>
      </c>
      <c r="C285" s="914">
        <f>'Jrnl Exp ~ Dép'!$D217</f>
        <v>0</v>
      </c>
      <c r="D285" s="912">
        <f>'Jrnl Exp ~ Dép'!$F217</f>
        <v>0</v>
      </c>
      <c r="E285" s="918">
        <f>'Jrnl Exp ~ Dép'!$G217</f>
        <v>0</v>
      </c>
      <c r="F285" s="919">
        <f>'Jrnl Exp ~ Dép'!$E217</f>
        <v>0</v>
      </c>
      <c r="G285" s="920" t="str">
        <f>LEFT('Jrnl Exp ~ Dép'!$H217,4)</f>
        <v/>
      </c>
      <c r="H285" s="923"/>
      <c r="I285" s="895"/>
      <c r="J285" s="895"/>
      <c r="K285" s="895"/>
      <c r="L285" s="898"/>
      <c r="M285" s="875" t="str">
        <f t="shared" si="10"/>
        <v>0</v>
      </c>
      <c r="N285" s="26" t="str">
        <f t="shared" si="9"/>
        <v>3</v>
      </c>
      <c r="O285" s="26" t="str">
        <f t="shared" si="11"/>
        <v>0</v>
      </c>
    </row>
    <row r="286" spans="2:15" ht="23.75" hidden="1" customHeight="1" x14ac:dyDescent="0.15">
      <c r="B286" s="26">
        <f>'Jrnl Exp ~ Dép'!B218</f>
        <v>0</v>
      </c>
      <c r="C286" s="914">
        <f>'Jrnl Exp ~ Dép'!$D218</f>
        <v>0</v>
      </c>
      <c r="D286" s="912">
        <f>'Jrnl Exp ~ Dép'!$F218</f>
        <v>0</v>
      </c>
      <c r="E286" s="918">
        <f>'Jrnl Exp ~ Dép'!$G218</f>
        <v>0</v>
      </c>
      <c r="F286" s="919">
        <f>'Jrnl Exp ~ Dép'!$E218</f>
        <v>0</v>
      </c>
      <c r="G286" s="920" t="str">
        <f>LEFT('Jrnl Exp ~ Dép'!$H218,4)</f>
        <v/>
      </c>
      <c r="H286" s="923"/>
      <c r="I286" s="895"/>
      <c r="J286" s="895"/>
      <c r="K286" s="895"/>
      <c r="L286" s="898"/>
      <c r="M286" s="875" t="str">
        <f t="shared" si="10"/>
        <v>0</v>
      </c>
      <c r="N286" s="26" t="str">
        <f t="shared" si="9"/>
        <v>3</v>
      </c>
      <c r="O286" s="26" t="str">
        <f t="shared" si="11"/>
        <v>0</v>
      </c>
    </row>
    <row r="287" spans="2:15" ht="23.75" hidden="1" customHeight="1" x14ac:dyDescent="0.15">
      <c r="B287" s="26">
        <f>'Jrnl Exp ~ Dép'!B219</f>
        <v>0</v>
      </c>
      <c r="C287" s="914">
        <f>'Jrnl Exp ~ Dép'!$D219</f>
        <v>0</v>
      </c>
      <c r="D287" s="912">
        <f>'Jrnl Exp ~ Dép'!$F219</f>
        <v>0</v>
      </c>
      <c r="E287" s="918">
        <f>'Jrnl Exp ~ Dép'!$G219</f>
        <v>0</v>
      </c>
      <c r="F287" s="919">
        <f>'Jrnl Exp ~ Dép'!$E219</f>
        <v>0</v>
      </c>
      <c r="G287" s="920" t="str">
        <f>LEFT('Jrnl Exp ~ Dép'!$H219,4)</f>
        <v/>
      </c>
      <c r="H287" s="923"/>
      <c r="I287" s="895"/>
      <c r="J287" s="895"/>
      <c r="K287" s="895"/>
      <c r="L287" s="898"/>
      <c r="M287" s="875" t="str">
        <f t="shared" si="10"/>
        <v>0</v>
      </c>
      <c r="N287" s="26" t="str">
        <f t="shared" si="9"/>
        <v>3</v>
      </c>
      <c r="O287" s="26" t="str">
        <f t="shared" si="11"/>
        <v>0</v>
      </c>
    </row>
    <row r="288" spans="2:15" ht="23.75" hidden="1" customHeight="1" x14ac:dyDescent="0.15">
      <c r="B288" s="26">
        <f>'Jrnl Exp ~ Dép'!B220</f>
        <v>0</v>
      </c>
      <c r="C288" s="914">
        <f>'Jrnl Exp ~ Dép'!$D220</f>
        <v>0</v>
      </c>
      <c r="D288" s="912">
        <f>'Jrnl Exp ~ Dép'!$F220</f>
        <v>0</v>
      </c>
      <c r="E288" s="918">
        <f>'Jrnl Exp ~ Dép'!$G220</f>
        <v>0</v>
      </c>
      <c r="F288" s="919">
        <f>'Jrnl Exp ~ Dép'!$E220</f>
        <v>0</v>
      </c>
      <c r="G288" s="920" t="str">
        <f>LEFT('Jrnl Exp ~ Dép'!$H220,4)</f>
        <v/>
      </c>
      <c r="H288" s="923"/>
      <c r="I288" s="895"/>
      <c r="J288" s="895"/>
      <c r="K288" s="895"/>
      <c r="L288" s="898"/>
      <c r="M288" s="875" t="str">
        <f t="shared" si="10"/>
        <v>0</v>
      </c>
      <c r="N288" s="26" t="str">
        <f t="shared" si="9"/>
        <v>3</v>
      </c>
      <c r="O288" s="26" t="str">
        <f t="shared" si="11"/>
        <v>0</v>
      </c>
    </row>
    <row r="289" spans="2:15" ht="23.75" hidden="1" customHeight="1" x14ac:dyDescent="0.15">
      <c r="B289" s="26">
        <f>'Jrnl Exp ~ Dép'!B221</f>
        <v>0</v>
      </c>
      <c r="C289" s="914">
        <f>'Jrnl Exp ~ Dép'!$D221</f>
        <v>0</v>
      </c>
      <c r="D289" s="912">
        <f>'Jrnl Exp ~ Dép'!$F221</f>
        <v>0</v>
      </c>
      <c r="E289" s="918">
        <f>'Jrnl Exp ~ Dép'!$G221</f>
        <v>0</v>
      </c>
      <c r="F289" s="919">
        <f>'Jrnl Exp ~ Dép'!$E221</f>
        <v>0</v>
      </c>
      <c r="G289" s="920" t="str">
        <f>LEFT('Jrnl Exp ~ Dép'!$H221,4)</f>
        <v/>
      </c>
      <c r="H289" s="923"/>
      <c r="I289" s="895"/>
      <c r="J289" s="895"/>
      <c r="K289" s="895"/>
      <c r="L289" s="898"/>
      <c r="M289" s="875" t="str">
        <f t="shared" si="10"/>
        <v>0</v>
      </c>
      <c r="N289" s="26" t="str">
        <f t="shared" si="9"/>
        <v>3</v>
      </c>
      <c r="O289" s="26" t="str">
        <f t="shared" si="11"/>
        <v>0</v>
      </c>
    </row>
    <row r="290" spans="2:15" ht="23.75" hidden="1" customHeight="1" x14ac:dyDescent="0.15">
      <c r="B290" s="26">
        <f>'Jrnl Exp ~ Dép'!B222</f>
        <v>0</v>
      </c>
      <c r="C290" s="914">
        <f>'Jrnl Exp ~ Dép'!$D222</f>
        <v>0</v>
      </c>
      <c r="D290" s="912">
        <f>'Jrnl Exp ~ Dép'!$F222</f>
        <v>0</v>
      </c>
      <c r="E290" s="918">
        <f>'Jrnl Exp ~ Dép'!$G222</f>
        <v>0</v>
      </c>
      <c r="F290" s="919">
        <f>'Jrnl Exp ~ Dép'!$E222</f>
        <v>0</v>
      </c>
      <c r="G290" s="920" t="str">
        <f>LEFT('Jrnl Exp ~ Dép'!$H222,4)</f>
        <v/>
      </c>
      <c r="H290" s="923"/>
      <c r="I290" s="895"/>
      <c r="J290" s="895"/>
      <c r="K290" s="895"/>
      <c r="L290" s="898"/>
      <c r="M290" s="875" t="str">
        <f t="shared" si="10"/>
        <v>0</v>
      </c>
      <c r="N290" s="26" t="str">
        <f t="shared" si="9"/>
        <v>3</v>
      </c>
      <c r="O290" s="26" t="str">
        <f t="shared" si="11"/>
        <v>0</v>
      </c>
    </row>
    <row r="291" spans="2:15" ht="23.75" hidden="1" customHeight="1" x14ac:dyDescent="0.15">
      <c r="B291" s="26">
        <f>'Jrnl Exp ~ Dép'!B223</f>
        <v>0</v>
      </c>
      <c r="C291" s="914">
        <f>'Jrnl Exp ~ Dép'!$D223</f>
        <v>0</v>
      </c>
      <c r="D291" s="912">
        <f>'Jrnl Exp ~ Dép'!$F223</f>
        <v>0</v>
      </c>
      <c r="E291" s="918">
        <f>'Jrnl Exp ~ Dép'!$G223</f>
        <v>0</v>
      </c>
      <c r="F291" s="919">
        <f>'Jrnl Exp ~ Dép'!$E223</f>
        <v>0</v>
      </c>
      <c r="G291" s="920" t="str">
        <f>LEFT('Jrnl Exp ~ Dép'!$H223,4)</f>
        <v/>
      </c>
      <c r="H291" s="923"/>
      <c r="I291" s="895"/>
      <c r="J291" s="895"/>
      <c r="K291" s="895"/>
      <c r="L291" s="898"/>
      <c r="M291" s="875" t="str">
        <f t="shared" si="10"/>
        <v>0</v>
      </c>
      <c r="N291" s="26" t="str">
        <f t="shared" si="9"/>
        <v>3</v>
      </c>
      <c r="O291" s="26" t="str">
        <f t="shared" si="11"/>
        <v>0</v>
      </c>
    </row>
    <row r="292" spans="2:15" ht="23.75" hidden="1" customHeight="1" x14ac:dyDescent="0.15">
      <c r="B292" s="26">
        <f>'Jrnl Exp ~ Dép'!B224</f>
        <v>0</v>
      </c>
      <c r="C292" s="914">
        <f>'Jrnl Exp ~ Dép'!$D224</f>
        <v>0</v>
      </c>
      <c r="D292" s="912">
        <f>'Jrnl Exp ~ Dép'!$F224</f>
        <v>0</v>
      </c>
      <c r="E292" s="918">
        <f>'Jrnl Exp ~ Dép'!$G224</f>
        <v>0</v>
      </c>
      <c r="F292" s="919">
        <f>'Jrnl Exp ~ Dép'!$E224</f>
        <v>0</v>
      </c>
      <c r="G292" s="920" t="str">
        <f>LEFT('Jrnl Exp ~ Dép'!$H224,4)</f>
        <v/>
      </c>
      <c r="H292" s="923"/>
      <c r="I292" s="895"/>
      <c r="J292" s="895"/>
      <c r="K292" s="895"/>
      <c r="L292" s="898"/>
      <c r="M292" s="875" t="str">
        <f t="shared" si="10"/>
        <v>0</v>
      </c>
      <c r="N292" s="26" t="str">
        <f t="shared" si="9"/>
        <v>3</v>
      </c>
      <c r="O292" s="26" t="str">
        <f t="shared" si="11"/>
        <v>0</v>
      </c>
    </row>
    <row r="293" spans="2:15" ht="23.75" hidden="1" customHeight="1" x14ac:dyDescent="0.15">
      <c r="B293" s="26">
        <f>'Jrnl Exp ~ Dép'!B225</f>
        <v>0</v>
      </c>
      <c r="C293" s="914">
        <f>'Jrnl Exp ~ Dép'!$D225</f>
        <v>0</v>
      </c>
      <c r="D293" s="912">
        <f>'Jrnl Exp ~ Dép'!$F225</f>
        <v>0</v>
      </c>
      <c r="E293" s="918">
        <f>'Jrnl Exp ~ Dép'!$G225</f>
        <v>0</v>
      </c>
      <c r="F293" s="919">
        <f>'Jrnl Exp ~ Dép'!$E225</f>
        <v>0</v>
      </c>
      <c r="G293" s="920" t="str">
        <f>LEFT('Jrnl Exp ~ Dép'!$H225,4)</f>
        <v/>
      </c>
      <c r="H293" s="923"/>
      <c r="I293" s="895"/>
      <c r="J293" s="895"/>
      <c r="K293" s="895"/>
      <c r="L293" s="898"/>
      <c r="M293" s="875" t="str">
        <f t="shared" si="10"/>
        <v>0</v>
      </c>
      <c r="N293" s="26" t="str">
        <f t="shared" si="9"/>
        <v>3</v>
      </c>
      <c r="O293" s="26" t="str">
        <f t="shared" si="11"/>
        <v>0</v>
      </c>
    </row>
    <row r="294" spans="2:15" ht="23.75" hidden="1" customHeight="1" x14ac:dyDescent="0.15">
      <c r="B294" s="26">
        <f>'Jrnl Exp ~ Dép'!B226</f>
        <v>0</v>
      </c>
      <c r="C294" s="914">
        <f>'Jrnl Exp ~ Dép'!$D226</f>
        <v>0</v>
      </c>
      <c r="D294" s="912">
        <f>'Jrnl Exp ~ Dép'!$F226</f>
        <v>0</v>
      </c>
      <c r="E294" s="918">
        <f>'Jrnl Exp ~ Dép'!$G226</f>
        <v>0</v>
      </c>
      <c r="F294" s="919">
        <f>'Jrnl Exp ~ Dép'!$E226</f>
        <v>0</v>
      </c>
      <c r="G294" s="920" t="str">
        <f>LEFT('Jrnl Exp ~ Dép'!$H226,4)</f>
        <v/>
      </c>
      <c r="H294" s="923"/>
      <c r="I294" s="895"/>
      <c r="J294" s="895"/>
      <c r="K294" s="895"/>
      <c r="L294" s="898"/>
      <c r="M294" s="875" t="str">
        <f t="shared" si="10"/>
        <v>0</v>
      </c>
      <c r="N294" s="26" t="str">
        <f t="shared" si="9"/>
        <v>3</v>
      </c>
      <c r="O294" s="26" t="str">
        <f t="shared" si="11"/>
        <v>0</v>
      </c>
    </row>
    <row r="295" spans="2:15" ht="23.75" hidden="1" customHeight="1" x14ac:dyDescent="0.15">
      <c r="B295" s="26">
        <f>'Jrnl Exp ~ Dép'!B227</f>
        <v>0</v>
      </c>
      <c r="C295" s="914">
        <f>'Jrnl Exp ~ Dép'!$D227</f>
        <v>0</v>
      </c>
      <c r="D295" s="912">
        <f>'Jrnl Exp ~ Dép'!$F227</f>
        <v>0</v>
      </c>
      <c r="E295" s="918">
        <f>'Jrnl Exp ~ Dép'!$G227</f>
        <v>0</v>
      </c>
      <c r="F295" s="919">
        <f>'Jrnl Exp ~ Dép'!$E227</f>
        <v>0</v>
      </c>
      <c r="G295" s="920" t="str">
        <f>LEFT('Jrnl Exp ~ Dép'!$H227,4)</f>
        <v/>
      </c>
      <c r="H295" s="923"/>
      <c r="I295" s="895"/>
      <c r="J295" s="895"/>
      <c r="K295" s="895"/>
      <c r="L295" s="898"/>
      <c r="M295" s="875" t="str">
        <f t="shared" si="10"/>
        <v>0</v>
      </c>
      <c r="N295" s="26" t="str">
        <f t="shared" si="9"/>
        <v>3</v>
      </c>
      <c r="O295" s="26" t="str">
        <f t="shared" si="11"/>
        <v>0</v>
      </c>
    </row>
    <row r="296" spans="2:15" ht="23.75" hidden="1" customHeight="1" x14ac:dyDescent="0.15">
      <c r="B296" s="26">
        <f>'Jrnl Exp ~ Dép'!B228</f>
        <v>0</v>
      </c>
      <c r="C296" s="914">
        <f>'Jrnl Exp ~ Dép'!$D228</f>
        <v>0</v>
      </c>
      <c r="D296" s="912">
        <f>'Jrnl Exp ~ Dép'!$F228</f>
        <v>0</v>
      </c>
      <c r="E296" s="918">
        <f>'Jrnl Exp ~ Dép'!$G228</f>
        <v>0</v>
      </c>
      <c r="F296" s="919">
        <f>'Jrnl Exp ~ Dép'!$E228</f>
        <v>0</v>
      </c>
      <c r="G296" s="920" t="str">
        <f>LEFT('Jrnl Exp ~ Dép'!$H228,4)</f>
        <v/>
      </c>
      <c r="H296" s="923"/>
      <c r="I296" s="895"/>
      <c r="J296" s="895"/>
      <c r="K296" s="895"/>
      <c r="L296" s="898"/>
      <c r="M296" s="875" t="str">
        <f t="shared" si="10"/>
        <v>0</v>
      </c>
      <c r="N296" s="26" t="str">
        <f t="shared" si="9"/>
        <v>3</v>
      </c>
      <c r="O296" s="26" t="str">
        <f t="shared" si="11"/>
        <v>0</v>
      </c>
    </row>
    <row r="297" spans="2:15" ht="23.75" hidden="1" customHeight="1" x14ac:dyDescent="0.15">
      <c r="B297" s="26">
        <f>'Jrnl Exp ~ Dép'!B229</f>
        <v>0</v>
      </c>
      <c r="C297" s="914">
        <f>'Jrnl Exp ~ Dép'!$D229</f>
        <v>0</v>
      </c>
      <c r="D297" s="912">
        <f>'Jrnl Exp ~ Dép'!$F229</f>
        <v>0</v>
      </c>
      <c r="E297" s="918">
        <f>'Jrnl Exp ~ Dép'!$G229</f>
        <v>0</v>
      </c>
      <c r="F297" s="919">
        <f>'Jrnl Exp ~ Dép'!$E229</f>
        <v>0</v>
      </c>
      <c r="G297" s="920" t="str">
        <f>LEFT('Jrnl Exp ~ Dép'!$H229,4)</f>
        <v/>
      </c>
      <c r="H297" s="923"/>
      <c r="I297" s="895"/>
      <c r="J297" s="895"/>
      <c r="K297" s="895"/>
      <c r="L297" s="898"/>
      <c r="M297" s="875" t="str">
        <f t="shared" si="10"/>
        <v>0</v>
      </c>
      <c r="N297" s="26" t="str">
        <f t="shared" si="9"/>
        <v>3</v>
      </c>
      <c r="O297" s="26" t="str">
        <f t="shared" si="11"/>
        <v>0</v>
      </c>
    </row>
    <row r="298" spans="2:15" ht="23.75" hidden="1" customHeight="1" x14ac:dyDescent="0.15">
      <c r="B298" s="26">
        <f>'Jrnl Exp ~ Dép'!B230</f>
        <v>0</v>
      </c>
      <c r="C298" s="914">
        <f>'Jrnl Exp ~ Dép'!$D230</f>
        <v>0</v>
      </c>
      <c r="D298" s="912">
        <f>'Jrnl Exp ~ Dép'!$F230</f>
        <v>0</v>
      </c>
      <c r="E298" s="918">
        <f>'Jrnl Exp ~ Dép'!$G230</f>
        <v>0</v>
      </c>
      <c r="F298" s="919">
        <f>'Jrnl Exp ~ Dép'!$E230</f>
        <v>0</v>
      </c>
      <c r="G298" s="920" t="str">
        <f>LEFT('Jrnl Exp ~ Dép'!$H230,4)</f>
        <v/>
      </c>
      <c r="H298" s="923"/>
      <c r="I298" s="895"/>
      <c r="J298" s="895"/>
      <c r="K298" s="895"/>
      <c r="L298" s="898"/>
      <c r="M298" s="875" t="str">
        <f t="shared" si="10"/>
        <v>0</v>
      </c>
      <c r="N298" s="26" t="str">
        <f t="shared" si="9"/>
        <v>3</v>
      </c>
      <c r="O298" s="26" t="str">
        <f t="shared" si="11"/>
        <v>0</v>
      </c>
    </row>
    <row r="299" spans="2:15" ht="23.75" hidden="1" customHeight="1" x14ac:dyDescent="0.15">
      <c r="B299" s="26">
        <f>'Jrnl Exp ~ Dép'!B231</f>
        <v>0</v>
      </c>
      <c r="C299" s="914">
        <f>'Jrnl Exp ~ Dép'!$D231</f>
        <v>0</v>
      </c>
      <c r="D299" s="912">
        <f>'Jrnl Exp ~ Dép'!$F231</f>
        <v>0</v>
      </c>
      <c r="E299" s="918">
        <f>'Jrnl Exp ~ Dép'!$G231</f>
        <v>0</v>
      </c>
      <c r="F299" s="919">
        <f>'Jrnl Exp ~ Dép'!$E231</f>
        <v>0</v>
      </c>
      <c r="G299" s="920" t="str">
        <f>LEFT('Jrnl Exp ~ Dép'!$H231,4)</f>
        <v/>
      </c>
      <c r="H299" s="923"/>
      <c r="I299" s="895"/>
      <c r="J299" s="895"/>
      <c r="K299" s="895"/>
      <c r="L299" s="898"/>
      <c r="M299" s="875" t="str">
        <f t="shared" si="10"/>
        <v>0</v>
      </c>
      <c r="N299" s="26" t="str">
        <f t="shared" si="9"/>
        <v>3</v>
      </c>
      <c r="O299" s="26" t="str">
        <f t="shared" si="11"/>
        <v>0</v>
      </c>
    </row>
    <row r="300" spans="2:15" ht="23.75" hidden="1" customHeight="1" x14ac:dyDescent="0.15">
      <c r="B300" s="26">
        <f>'Jrnl Exp ~ Dép'!B232</f>
        <v>0</v>
      </c>
      <c r="C300" s="914">
        <f>'Jrnl Exp ~ Dép'!$D232</f>
        <v>0</v>
      </c>
      <c r="D300" s="912">
        <f>'Jrnl Exp ~ Dép'!$F232</f>
        <v>0</v>
      </c>
      <c r="E300" s="918">
        <f>'Jrnl Exp ~ Dép'!$G232</f>
        <v>0</v>
      </c>
      <c r="F300" s="919">
        <f>'Jrnl Exp ~ Dép'!$E232</f>
        <v>0</v>
      </c>
      <c r="G300" s="920" t="str">
        <f>LEFT('Jrnl Exp ~ Dép'!$H232,4)</f>
        <v/>
      </c>
      <c r="H300" s="923"/>
      <c r="I300" s="895"/>
      <c r="J300" s="895"/>
      <c r="K300" s="895"/>
      <c r="L300" s="898"/>
      <c r="M300" s="875" t="str">
        <f t="shared" si="10"/>
        <v>0</v>
      </c>
      <c r="N300" s="26" t="str">
        <f t="shared" si="9"/>
        <v>3</v>
      </c>
      <c r="O300" s="26" t="str">
        <f t="shared" si="11"/>
        <v>0</v>
      </c>
    </row>
    <row r="301" spans="2:15" ht="23.75" hidden="1" customHeight="1" x14ac:dyDescent="0.15">
      <c r="B301" s="26">
        <f>'Jrnl Exp ~ Dép'!B233</f>
        <v>0</v>
      </c>
      <c r="C301" s="914">
        <f>'Jrnl Exp ~ Dép'!$D233</f>
        <v>0</v>
      </c>
      <c r="D301" s="912">
        <f>'Jrnl Exp ~ Dép'!$F233</f>
        <v>0</v>
      </c>
      <c r="E301" s="918">
        <f>'Jrnl Exp ~ Dép'!$G233</f>
        <v>0</v>
      </c>
      <c r="F301" s="919">
        <f>'Jrnl Exp ~ Dép'!$E233</f>
        <v>0</v>
      </c>
      <c r="G301" s="920" t="str">
        <f>LEFT('Jrnl Exp ~ Dép'!$H233,4)</f>
        <v/>
      </c>
      <c r="H301" s="923"/>
      <c r="I301" s="895"/>
      <c r="J301" s="895"/>
      <c r="K301" s="895"/>
      <c r="L301" s="898"/>
      <c r="M301" s="875" t="str">
        <f t="shared" si="10"/>
        <v>0</v>
      </c>
      <c r="N301" s="26" t="str">
        <f t="shared" si="9"/>
        <v>3</v>
      </c>
      <c r="O301" s="26" t="str">
        <f t="shared" si="11"/>
        <v>0</v>
      </c>
    </row>
    <row r="302" spans="2:15" ht="23.75" hidden="1" customHeight="1" x14ac:dyDescent="0.15">
      <c r="B302" s="26">
        <f>'Jrnl Exp ~ Dép'!B234</f>
        <v>0</v>
      </c>
      <c r="C302" s="914">
        <f>'Jrnl Exp ~ Dép'!$D234</f>
        <v>0</v>
      </c>
      <c r="D302" s="912">
        <f>'Jrnl Exp ~ Dép'!$F234</f>
        <v>0</v>
      </c>
      <c r="E302" s="918">
        <f>'Jrnl Exp ~ Dép'!$G234</f>
        <v>0</v>
      </c>
      <c r="F302" s="919">
        <f>'Jrnl Exp ~ Dép'!$E234</f>
        <v>0</v>
      </c>
      <c r="G302" s="920" t="str">
        <f>LEFT('Jrnl Exp ~ Dép'!$H234,4)</f>
        <v/>
      </c>
      <c r="H302" s="923"/>
      <c r="I302" s="895"/>
      <c r="J302" s="895"/>
      <c r="K302" s="895"/>
      <c r="L302" s="898"/>
      <c r="M302" s="875" t="str">
        <f t="shared" si="10"/>
        <v>0</v>
      </c>
      <c r="N302" s="26" t="str">
        <f t="shared" si="9"/>
        <v>3</v>
      </c>
      <c r="O302" s="26" t="str">
        <f t="shared" si="11"/>
        <v>0</v>
      </c>
    </row>
    <row r="303" spans="2:15" ht="23.75" hidden="1" customHeight="1" x14ac:dyDescent="0.15">
      <c r="B303" s="26">
        <f>'Jrnl Exp ~ Dép'!B235</f>
        <v>0</v>
      </c>
      <c r="C303" s="914">
        <f>'Jrnl Exp ~ Dép'!$D235</f>
        <v>0</v>
      </c>
      <c r="D303" s="912">
        <f>'Jrnl Exp ~ Dép'!$F235</f>
        <v>0</v>
      </c>
      <c r="E303" s="918">
        <f>'Jrnl Exp ~ Dép'!$G235</f>
        <v>0</v>
      </c>
      <c r="F303" s="919">
        <f>'Jrnl Exp ~ Dép'!$E235</f>
        <v>0</v>
      </c>
      <c r="G303" s="920" t="str">
        <f>LEFT('Jrnl Exp ~ Dép'!$H235,4)</f>
        <v/>
      </c>
      <c r="H303" s="923"/>
      <c r="I303" s="895"/>
      <c r="J303" s="895"/>
      <c r="K303" s="895"/>
      <c r="L303" s="898"/>
      <c r="M303" s="875" t="str">
        <f t="shared" si="10"/>
        <v>0</v>
      </c>
      <c r="N303" s="26" t="str">
        <f t="shared" si="9"/>
        <v>3</v>
      </c>
      <c r="O303" s="26" t="str">
        <f t="shared" si="11"/>
        <v>0</v>
      </c>
    </row>
    <row r="304" spans="2:15" ht="23.75" hidden="1" customHeight="1" x14ac:dyDescent="0.15">
      <c r="B304" s="26">
        <f>'Jrnl Exp ~ Dép'!B236</f>
        <v>0</v>
      </c>
      <c r="C304" s="914">
        <f>'Jrnl Exp ~ Dép'!$D236</f>
        <v>0</v>
      </c>
      <c r="D304" s="912">
        <f>'Jrnl Exp ~ Dép'!$F236</f>
        <v>0</v>
      </c>
      <c r="E304" s="918">
        <f>'Jrnl Exp ~ Dép'!$G236</f>
        <v>0</v>
      </c>
      <c r="F304" s="919">
        <f>'Jrnl Exp ~ Dép'!$E236</f>
        <v>0</v>
      </c>
      <c r="G304" s="920" t="str">
        <f>LEFT('Jrnl Exp ~ Dép'!$H236,4)</f>
        <v/>
      </c>
      <c r="H304" s="923"/>
      <c r="I304" s="895"/>
      <c r="J304" s="895"/>
      <c r="K304" s="895"/>
      <c r="L304" s="898"/>
      <c r="M304" s="875" t="str">
        <f t="shared" si="10"/>
        <v>0</v>
      </c>
      <c r="N304" s="26" t="str">
        <f t="shared" si="9"/>
        <v>3</v>
      </c>
      <c r="O304" s="26" t="str">
        <f t="shared" si="11"/>
        <v>0</v>
      </c>
    </row>
    <row r="305" spans="2:15" ht="23.75" hidden="1" customHeight="1" x14ac:dyDescent="0.15">
      <c r="B305" s="26">
        <f>'Jrnl Exp ~ Dép'!B237</f>
        <v>0</v>
      </c>
      <c r="C305" s="914">
        <f>'Jrnl Exp ~ Dép'!$D237</f>
        <v>0</v>
      </c>
      <c r="D305" s="912">
        <f>'Jrnl Exp ~ Dép'!$F237</f>
        <v>0</v>
      </c>
      <c r="E305" s="918">
        <f>'Jrnl Exp ~ Dép'!$G237</f>
        <v>0</v>
      </c>
      <c r="F305" s="919">
        <f>'Jrnl Exp ~ Dép'!$E237</f>
        <v>0</v>
      </c>
      <c r="G305" s="920" t="str">
        <f>LEFT('Jrnl Exp ~ Dép'!$H237,4)</f>
        <v/>
      </c>
      <c r="H305" s="923"/>
      <c r="I305" s="895"/>
      <c r="J305" s="895"/>
      <c r="K305" s="895"/>
      <c r="L305" s="898"/>
      <c r="M305" s="875" t="str">
        <f t="shared" si="10"/>
        <v>0</v>
      </c>
      <c r="N305" s="26" t="str">
        <f t="shared" si="9"/>
        <v>3</v>
      </c>
      <c r="O305" s="26" t="str">
        <f t="shared" si="11"/>
        <v>0</v>
      </c>
    </row>
    <row r="306" spans="2:15" ht="23.75" hidden="1" customHeight="1" x14ac:dyDescent="0.15">
      <c r="B306" s="26">
        <f>'Jrnl Exp ~ Dép'!B238</f>
        <v>0</v>
      </c>
      <c r="C306" s="914">
        <f>'Jrnl Exp ~ Dép'!$D238</f>
        <v>0</v>
      </c>
      <c r="D306" s="912">
        <f>'Jrnl Exp ~ Dép'!$F238</f>
        <v>0</v>
      </c>
      <c r="E306" s="918">
        <f>'Jrnl Exp ~ Dép'!$G238</f>
        <v>0</v>
      </c>
      <c r="F306" s="919">
        <f>'Jrnl Exp ~ Dép'!$E238</f>
        <v>0</v>
      </c>
      <c r="G306" s="920" t="str">
        <f>LEFT('Jrnl Exp ~ Dép'!$H238,4)</f>
        <v/>
      </c>
      <c r="H306" s="923"/>
      <c r="I306" s="895"/>
      <c r="J306" s="895"/>
      <c r="K306" s="895"/>
      <c r="L306" s="898"/>
      <c r="M306" s="875" t="str">
        <f t="shared" si="10"/>
        <v>0</v>
      </c>
      <c r="N306" s="26" t="str">
        <f t="shared" si="9"/>
        <v>3</v>
      </c>
      <c r="O306" s="26" t="str">
        <f t="shared" si="11"/>
        <v>0</v>
      </c>
    </row>
    <row r="307" spans="2:15" ht="23.75" hidden="1" customHeight="1" x14ac:dyDescent="0.15">
      <c r="B307" s="26">
        <f>'Jrnl Exp ~ Dép'!B239</f>
        <v>0</v>
      </c>
      <c r="C307" s="914">
        <f>'Jrnl Exp ~ Dép'!$D239</f>
        <v>0</v>
      </c>
      <c r="D307" s="912">
        <f>'Jrnl Exp ~ Dép'!$F239</f>
        <v>0</v>
      </c>
      <c r="E307" s="918">
        <f>'Jrnl Exp ~ Dép'!$G239</f>
        <v>0</v>
      </c>
      <c r="F307" s="919">
        <f>'Jrnl Exp ~ Dép'!$E239</f>
        <v>0</v>
      </c>
      <c r="G307" s="920" t="str">
        <f>LEFT('Jrnl Exp ~ Dép'!$H239,4)</f>
        <v/>
      </c>
      <c r="H307" s="923"/>
      <c r="I307" s="895"/>
      <c r="J307" s="895"/>
      <c r="K307" s="895"/>
      <c r="L307" s="898"/>
      <c r="M307" s="875" t="str">
        <f t="shared" si="10"/>
        <v>0</v>
      </c>
      <c r="N307" s="26" t="str">
        <f t="shared" si="9"/>
        <v>3</v>
      </c>
      <c r="O307" s="26" t="str">
        <f t="shared" si="11"/>
        <v>0</v>
      </c>
    </row>
    <row r="308" spans="2:15" ht="23.75" hidden="1" customHeight="1" x14ac:dyDescent="0.15">
      <c r="B308" s="26">
        <f>'Jrnl Exp ~ Dép'!B240</f>
        <v>0</v>
      </c>
      <c r="C308" s="914">
        <f>'Jrnl Exp ~ Dép'!$D240</f>
        <v>0</v>
      </c>
      <c r="D308" s="912">
        <f>'Jrnl Exp ~ Dép'!$F240</f>
        <v>0</v>
      </c>
      <c r="E308" s="918">
        <f>'Jrnl Exp ~ Dép'!$G240</f>
        <v>0</v>
      </c>
      <c r="F308" s="919">
        <f>'Jrnl Exp ~ Dép'!$E240</f>
        <v>0</v>
      </c>
      <c r="G308" s="920" t="str">
        <f>LEFT('Jrnl Exp ~ Dép'!$H240,4)</f>
        <v/>
      </c>
      <c r="H308" s="923"/>
      <c r="I308" s="895"/>
      <c r="J308" s="895"/>
      <c r="K308" s="895"/>
      <c r="L308" s="898"/>
      <c r="M308" s="875" t="str">
        <f t="shared" si="10"/>
        <v>0</v>
      </c>
      <c r="N308" s="26" t="str">
        <f t="shared" si="9"/>
        <v>3</v>
      </c>
      <c r="O308" s="26" t="str">
        <f t="shared" si="11"/>
        <v>0</v>
      </c>
    </row>
    <row r="309" spans="2:15" ht="23.75" hidden="1" customHeight="1" x14ac:dyDescent="0.15">
      <c r="B309" s="26">
        <f>'Jrnl Exp ~ Dép'!B241</f>
        <v>0</v>
      </c>
      <c r="C309" s="914">
        <f>'Jrnl Exp ~ Dép'!$D241</f>
        <v>0</v>
      </c>
      <c r="D309" s="912">
        <f>'Jrnl Exp ~ Dép'!$F241</f>
        <v>0</v>
      </c>
      <c r="E309" s="918">
        <f>'Jrnl Exp ~ Dép'!$G241</f>
        <v>0</v>
      </c>
      <c r="F309" s="919">
        <f>'Jrnl Exp ~ Dép'!$E241</f>
        <v>0</v>
      </c>
      <c r="G309" s="920" t="str">
        <f>LEFT('Jrnl Exp ~ Dép'!$H241,4)</f>
        <v/>
      </c>
      <c r="H309" s="923"/>
      <c r="I309" s="895"/>
      <c r="J309" s="895"/>
      <c r="K309" s="895"/>
      <c r="L309" s="898"/>
      <c r="M309" s="875" t="str">
        <f t="shared" si="10"/>
        <v>0</v>
      </c>
      <c r="N309" s="26" t="str">
        <f t="shared" si="9"/>
        <v>3</v>
      </c>
      <c r="O309" s="26" t="str">
        <f t="shared" si="11"/>
        <v>0</v>
      </c>
    </row>
    <row r="310" spans="2:15" ht="23.75" hidden="1" customHeight="1" x14ac:dyDescent="0.15">
      <c r="B310" s="26">
        <f>'Jrnl Exp ~ Dép'!B242</f>
        <v>0</v>
      </c>
      <c r="C310" s="914">
        <f>'Jrnl Exp ~ Dép'!$D242</f>
        <v>0</v>
      </c>
      <c r="D310" s="912">
        <f>'Jrnl Exp ~ Dép'!$F242</f>
        <v>0</v>
      </c>
      <c r="E310" s="918">
        <f>'Jrnl Exp ~ Dép'!$G242</f>
        <v>0</v>
      </c>
      <c r="F310" s="919">
        <f>'Jrnl Exp ~ Dép'!$E242</f>
        <v>0</v>
      </c>
      <c r="G310" s="920" t="str">
        <f>LEFT('Jrnl Exp ~ Dép'!$H242,4)</f>
        <v/>
      </c>
      <c r="H310" s="923"/>
      <c r="I310" s="895"/>
      <c r="J310" s="895"/>
      <c r="K310" s="895"/>
      <c r="L310" s="898"/>
      <c r="M310" s="875" t="str">
        <f t="shared" si="10"/>
        <v>0</v>
      </c>
      <c r="N310" s="26" t="str">
        <f t="shared" si="9"/>
        <v>3</v>
      </c>
      <c r="O310" s="26" t="str">
        <f t="shared" si="11"/>
        <v>0</v>
      </c>
    </row>
    <row r="311" spans="2:15" ht="23.75" hidden="1" customHeight="1" x14ac:dyDescent="0.15">
      <c r="B311" s="26">
        <f>'Jrnl Exp ~ Dép'!B243</f>
        <v>0</v>
      </c>
      <c r="C311" s="914">
        <f>'Jrnl Exp ~ Dép'!$D243</f>
        <v>0</v>
      </c>
      <c r="D311" s="912">
        <f>'Jrnl Exp ~ Dép'!$F243</f>
        <v>0</v>
      </c>
      <c r="E311" s="918">
        <f>'Jrnl Exp ~ Dép'!$G243</f>
        <v>0</v>
      </c>
      <c r="F311" s="919">
        <f>'Jrnl Exp ~ Dép'!$E243</f>
        <v>0</v>
      </c>
      <c r="G311" s="920" t="str">
        <f>LEFT('Jrnl Exp ~ Dép'!$H243,4)</f>
        <v/>
      </c>
      <c r="H311" s="923"/>
      <c r="I311" s="895"/>
      <c r="J311" s="895"/>
      <c r="K311" s="895"/>
      <c r="L311" s="898"/>
      <c r="M311" s="875" t="str">
        <f t="shared" si="10"/>
        <v>0</v>
      </c>
      <c r="N311" s="26" t="str">
        <f t="shared" si="9"/>
        <v>3</v>
      </c>
      <c r="O311" s="26" t="str">
        <f t="shared" si="11"/>
        <v>0</v>
      </c>
    </row>
    <row r="312" spans="2:15" ht="23.75" hidden="1" customHeight="1" x14ac:dyDescent="0.15">
      <c r="B312" s="26">
        <f>'Jrnl Exp ~ Dép'!B244</f>
        <v>0</v>
      </c>
      <c r="C312" s="914">
        <f>'Jrnl Exp ~ Dép'!$D244</f>
        <v>0</v>
      </c>
      <c r="D312" s="912">
        <f>'Jrnl Exp ~ Dép'!$F244</f>
        <v>0</v>
      </c>
      <c r="E312" s="918">
        <f>'Jrnl Exp ~ Dép'!$G244</f>
        <v>0</v>
      </c>
      <c r="F312" s="919">
        <f>'Jrnl Exp ~ Dép'!$E244</f>
        <v>0</v>
      </c>
      <c r="G312" s="920" t="str">
        <f>LEFT('Jrnl Exp ~ Dép'!$H244,4)</f>
        <v/>
      </c>
      <c r="H312" s="923"/>
      <c r="I312" s="895"/>
      <c r="J312" s="895"/>
      <c r="K312" s="895"/>
      <c r="L312" s="898"/>
      <c r="M312" s="875" t="str">
        <f t="shared" si="10"/>
        <v>0</v>
      </c>
      <c r="N312" s="26" t="str">
        <f t="shared" si="9"/>
        <v>3</v>
      </c>
      <c r="O312" s="26" t="str">
        <f t="shared" si="11"/>
        <v>0</v>
      </c>
    </row>
    <row r="313" spans="2:15" ht="23.75" hidden="1" customHeight="1" x14ac:dyDescent="0.15">
      <c r="B313" s="26">
        <f>'Jrnl Exp ~ Dép'!B245</f>
        <v>0</v>
      </c>
      <c r="C313" s="914">
        <f>'Jrnl Exp ~ Dép'!$D245</f>
        <v>0</v>
      </c>
      <c r="D313" s="912">
        <f>'Jrnl Exp ~ Dép'!$F245</f>
        <v>0</v>
      </c>
      <c r="E313" s="918">
        <f>'Jrnl Exp ~ Dép'!$G245</f>
        <v>0</v>
      </c>
      <c r="F313" s="919">
        <f>'Jrnl Exp ~ Dép'!$E245</f>
        <v>0</v>
      </c>
      <c r="G313" s="920" t="str">
        <f>LEFT('Jrnl Exp ~ Dép'!$H245,4)</f>
        <v/>
      </c>
      <c r="H313" s="923"/>
      <c r="I313" s="895"/>
      <c r="J313" s="895"/>
      <c r="K313" s="895"/>
      <c r="L313" s="898"/>
      <c r="M313" s="875" t="str">
        <f t="shared" si="10"/>
        <v>0</v>
      </c>
      <c r="N313" s="26" t="str">
        <f t="shared" si="9"/>
        <v>3</v>
      </c>
      <c r="O313" s="26" t="str">
        <f t="shared" si="11"/>
        <v>0</v>
      </c>
    </row>
    <row r="314" spans="2:15" ht="23.75" hidden="1" customHeight="1" x14ac:dyDescent="0.15">
      <c r="B314" s="26">
        <f>'Jrnl Exp ~ Dép'!B246</f>
        <v>0</v>
      </c>
      <c r="C314" s="914">
        <f>'Jrnl Exp ~ Dép'!$D246</f>
        <v>0</v>
      </c>
      <c r="D314" s="912">
        <f>'Jrnl Exp ~ Dép'!$F246</f>
        <v>0</v>
      </c>
      <c r="E314" s="918">
        <f>'Jrnl Exp ~ Dép'!$G246</f>
        <v>0</v>
      </c>
      <c r="F314" s="919">
        <f>'Jrnl Exp ~ Dép'!$E246</f>
        <v>0</v>
      </c>
      <c r="G314" s="920" t="str">
        <f>LEFT('Jrnl Exp ~ Dép'!$H246,4)</f>
        <v/>
      </c>
      <c r="H314" s="923"/>
      <c r="I314" s="895"/>
      <c r="J314" s="895"/>
      <c r="K314" s="895"/>
      <c r="L314" s="898"/>
      <c r="M314" s="875" t="str">
        <f t="shared" si="10"/>
        <v>0</v>
      </c>
      <c r="N314" s="26" t="str">
        <f t="shared" si="9"/>
        <v>3</v>
      </c>
      <c r="O314" s="26" t="str">
        <f t="shared" si="11"/>
        <v>0</v>
      </c>
    </row>
    <row r="315" spans="2:15" ht="23.75" hidden="1" customHeight="1" x14ac:dyDescent="0.15">
      <c r="B315" s="26">
        <f>'Jrnl Exp ~ Dép'!B247</f>
        <v>0</v>
      </c>
      <c r="C315" s="914">
        <f>'Jrnl Exp ~ Dép'!$D247</f>
        <v>0</v>
      </c>
      <c r="D315" s="912">
        <f>'Jrnl Exp ~ Dép'!$F247</f>
        <v>0</v>
      </c>
      <c r="E315" s="918">
        <f>'Jrnl Exp ~ Dép'!$G247</f>
        <v>0</v>
      </c>
      <c r="F315" s="919">
        <f>'Jrnl Exp ~ Dép'!$E247</f>
        <v>0</v>
      </c>
      <c r="G315" s="920" t="str">
        <f>LEFT('Jrnl Exp ~ Dép'!$H247,4)</f>
        <v/>
      </c>
      <c r="H315" s="923"/>
      <c r="I315" s="895"/>
      <c r="J315" s="895"/>
      <c r="K315" s="895"/>
      <c r="L315" s="898"/>
      <c r="M315" s="875" t="str">
        <f t="shared" si="10"/>
        <v>0</v>
      </c>
      <c r="N315" s="26" t="str">
        <f t="shared" si="9"/>
        <v>3</v>
      </c>
      <c r="O315" s="26" t="str">
        <f t="shared" si="11"/>
        <v>0</v>
      </c>
    </row>
    <row r="316" spans="2:15" ht="23.75" hidden="1" customHeight="1" x14ac:dyDescent="0.15">
      <c r="B316" s="26">
        <f>'Jrnl Exp ~ Dép'!B248</f>
        <v>0</v>
      </c>
      <c r="C316" s="914">
        <f>'Jrnl Exp ~ Dép'!$D248</f>
        <v>0</v>
      </c>
      <c r="D316" s="912">
        <f>'Jrnl Exp ~ Dép'!$F248</f>
        <v>0</v>
      </c>
      <c r="E316" s="918">
        <f>'Jrnl Exp ~ Dép'!$G248</f>
        <v>0</v>
      </c>
      <c r="F316" s="919">
        <f>'Jrnl Exp ~ Dép'!$E248</f>
        <v>0</v>
      </c>
      <c r="G316" s="920" t="str">
        <f>LEFT('Jrnl Exp ~ Dép'!$H248,4)</f>
        <v/>
      </c>
      <c r="H316" s="923"/>
      <c r="I316" s="895"/>
      <c r="J316" s="895"/>
      <c r="K316" s="895"/>
      <c r="L316" s="898"/>
      <c r="M316" s="875" t="str">
        <f t="shared" si="10"/>
        <v>0</v>
      </c>
      <c r="N316" s="26" t="str">
        <f t="shared" si="9"/>
        <v>3</v>
      </c>
      <c r="O316" s="26" t="str">
        <f t="shared" si="11"/>
        <v>0</v>
      </c>
    </row>
    <row r="317" spans="2:15" ht="23.75" hidden="1" customHeight="1" x14ac:dyDescent="0.15">
      <c r="B317" s="26">
        <f>'Jrnl Exp ~ Dép'!B249</f>
        <v>0</v>
      </c>
      <c r="C317" s="914">
        <f>'Jrnl Exp ~ Dép'!$D249</f>
        <v>0</v>
      </c>
      <c r="D317" s="912">
        <f>'Jrnl Exp ~ Dép'!$F249</f>
        <v>0</v>
      </c>
      <c r="E317" s="918">
        <f>'Jrnl Exp ~ Dép'!$G249</f>
        <v>0</v>
      </c>
      <c r="F317" s="919">
        <f>'Jrnl Exp ~ Dép'!$E249</f>
        <v>0</v>
      </c>
      <c r="G317" s="920" t="str">
        <f>LEFT('Jrnl Exp ~ Dép'!$H249,4)</f>
        <v/>
      </c>
      <c r="H317" s="923"/>
      <c r="I317" s="895"/>
      <c r="J317" s="895"/>
      <c r="K317" s="895"/>
      <c r="L317" s="898"/>
      <c r="M317" s="875" t="str">
        <f t="shared" si="10"/>
        <v>0</v>
      </c>
      <c r="N317" s="26" t="str">
        <f t="shared" si="9"/>
        <v>3</v>
      </c>
      <c r="O317" s="26" t="str">
        <f t="shared" si="11"/>
        <v>0</v>
      </c>
    </row>
    <row r="318" spans="2:15" ht="23.75" hidden="1" customHeight="1" x14ac:dyDescent="0.15">
      <c r="B318" s="26">
        <f>'Jrnl Exp ~ Dép'!B250</f>
        <v>0</v>
      </c>
      <c r="C318" s="914">
        <f>'Jrnl Exp ~ Dép'!$D250</f>
        <v>0</v>
      </c>
      <c r="D318" s="912">
        <f>'Jrnl Exp ~ Dép'!$F250</f>
        <v>0</v>
      </c>
      <c r="E318" s="918">
        <f>'Jrnl Exp ~ Dép'!$G250</f>
        <v>0</v>
      </c>
      <c r="F318" s="919">
        <f>'Jrnl Exp ~ Dép'!$E250</f>
        <v>0</v>
      </c>
      <c r="G318" s="920" t="str">
        <f>LEFT('Jrnl Exp ~ Dép'!$H250,4)</f>
        <v/>
      </c>
      <c r="H318" s="923"/>
      <c r="I318" s="895"/>
      <c r="J318" s="895"/>
      <c r="K318" s="895"/>
      <c r="L318" s="898"/>
      <c r="M318" s="875" t="str">
        <f t="shared" si="10"/>
        <v>0</v>
      </c>
      <c r="N318" s="26" t="str">
        <f t="shared" si="9"/>
        <v>3</v>
      </c>
      <c r="O318" s="26" t="str">
        <f t="shared" si="11"/>
        <v>0</v>
      </c>
    </row>
    <row r="319" spans="2:15" ht="23.75" hidden="1" customHeight="1" x14ac:dyDescent="0.15">
      <c r="B319" s="26">
        <f>'Jrnl Exp ~ Dép'!B251</f>
        <v>0</v>
      </c>
      <c r="C319" s="914">
        <f>'Jrnl Exp ~ Dép'!$D251</f>
        <v>0</v>
      </c>
      <c r="D319" s="912">
        <f>'Jrnl Exp ~ Dép'!$F251</f>
        <v>0</v>
      </c>
      <c r="E319" s="918">
        <f>'Jrnl Exp ~ Dép'!$G251</f>
        <v>0</v>
      </c>
      <c r="F319" s="919">
        <f>'Jrnl Exp ~ Dép'!$E251</f>
        <v>0</v>
      </c>
      <c r="G319" s="920" t="str">
        <f>LEFT('Jrnl Exp ~ Dép'!$H251,4)</f>
        <v/>
      </c>
      <c r="H319" s="923"/>
      <c r="I319" s="895"/>
      <c r="J319" s="895"/>
      <c r="K319" s="895"/>
      <c r="L319" s="898"/>
      <c r="M319" s="875" t="str">
        <f t="shared" si="10"/>
        <v>0</v>
      </c>
      <c r="N319" s="26" t="str">
        <f t="shared" si="9"/>
        <v>3</v>
      </c>
      <c r="O319" s="26" t="str">
        <f t="shared" si="11"/>
        <v>0</v>
      </c>
    </row>
    <row r="320" spans="2:15" ht="23.75" hidden="1" customHeight="1" x14ac:dyDescent="0.15">
      <c r="B320" s="26">
        <f>'Jrnl Exp ~ Dép'!B252</f>
        <v>0</v>
      </c>
      <c r="C320" s="914">
        <f>'Jrnl Exp ~ Dép'!$D252</f>
        <v>0</v>
      </c>
      <c r="D320" s="912">
        <f>'Jrnl Exp ~ Dép'!$F252</f>
        <v>0</v>
      </c>
      <c r="E320" s="918">
        <f>'Jrnl Exp ~ Dép'!$G252</f>
        <v>0</v>
      </c>
      <c r="F320" s="919">
        <f>'Jrnl Exp ~ Dép'!$E252</f>
        <v>0</v>
      </c>
      <c r="G320" s="920" t="str">
        <f>LEFT('Jrnl Exp ~ Dép'!$H252,4)</f>
        <v/>
      </c>
      <c r="H320" s="923"/>
      <c r="I320" s="895"/>
      <c r="J320" s="895"/>
      <c r="K320" s="895"/>
      <c r="L320" s="898"/>
      <c r="M320" s="875" t="str">
        <f t="shared" si="10"/>
        <v>0</v>
      </c>
      <c r="N320" s="26" t="str">
        <f t="shared" si="9"/>
        <v>3</v>
      </c>
      <c r="O320" s="26" t="str">
        <f t="shared" si="11"/>
        <v>0</v>
      </c>
    </row>
    <row r="321" spans="2:15" ht="23.75" hidden="1" customHeight="1" x14ac:dyDescent="0.15">
      <c r="B321" s="26">
        <f>'Jrnl Exp ~ Dép'!B253</f>
        <v>0</v>
      </c>
      <c r="C321" s="914">
        <f>'Jrnl Exp ~ Dép'!$D253</f>
        <v>0</v>
      </c>
      <c r="D321" s="912">
        <f>'Jrnl Exp ~ Dép'!$F253</f>
        <v>0</v>
      </c>
      <c r="E321" s="918">
        <f>'Jrnl Exp ~ Dép'!$G253</f>
        <v>0</v>
      </c>
      <c r="F321" s="919">
        <f>'Jrnl Exp ~ Dép'!$E253</f>
        <v>0</v>
      </c>
      <c r="G321" s="920" t="str">
        <f>LEFT('Jrnl Exp ~ Dép'!$H253,4)</f>
        <v/>
      </c>
      <c r="H321" s="923"/>
      <c r="I321" s="895"/>
      <c r="J321" s="895"/>
      <c r="K321" s="895"/>
      <c r="L321" s="898"/>
      <c r="M321" s="875" t="str">
        <f t="shared" si="10"/>
        <v>0</v>
      </c>
      <c r="N321" s="26" t="str">
        <f t="shared" si="9"/>
        <v>3</v>
      </c>
      <c r="O321" s="26" t="str">
        <f t="shared" si="11"/>
        <v>0</v>
      </c>
    </row>
    <row r="322" spans="2:15" ht="23.75" hidden="1" customHeight="1" x14ac:dyDescent="0.15">
      <c r="B322" s="26">
        <f>'Jrnl Exp ~ Dép'!B254</f>
        <v>0</v>
      </c>
      <c r="C322" s="914">
        <f>'Jrnl Exp ~ Dép'!$D254</f>
        <v>0</v>
      </c>
      <c r="D322" s="912">
        <f>'Jrnl Exp ~ Dép'!$F254</f>
        <v>0</v>
      </c>
      <c r="E322" s="918">
        <f>'Jrnl Exp ~ Dép'!$G254</f>
        <v>0</v>
      </c>
      <c r="F322" s="919">
        <f>'Jrnl Exp ~ Dép'!$E254</f>
        <v>0</v>
      </c>
      <c r="G322" s="920" t="str">
        <f>LEFT('Jrnl Exp ~ Dép'!$H254,4)</f>
        <v/>
      </c>
      <c r="H322" s="923"/>
      <c r="I322" s="895"/>
      <c r="J322" s="895"/>
      <c r="K322" s="895"/>
      <c r="L322" s="898"/>
      <c r="M322" s="875" t="str">
        <f t="shared" si="10"/>
        <v>0</v>
      </c>
      <c r="N322" s="26" t="str">
        <f t="shared" si="9"/>
        <v>3</v>
      </c>
      <c r="O322" s="26" t="str">
        <f t="shared" si="11"/>
        <v>0</v>
      </c>
    </row>
    <row r="323" spans="2:15" ht="23.75" hidden="1" customHeight="1" x14ac:dyDescent="0.15">
      <c r="B323" s="26">
        <f>'Jrnl Exp ~ Dép'!B255</f>
        <v>0</v>
      </c>
      <c r="C323" s="914">
        <f>'Jrnl Exp ~ Dép'!$D255</f>
        <v>0</v>
      </c>
      <c r="D323" s="912">
        <f>'Jrnl Exp ~ Dép'!$F255</f>
        <v>0</v>
      </c>
      <c r="E323" s="918">
        <f>'Jrnl Exp ~ Dép'!$G255</f>
        <v>0</v>
      </c>
      <c r="F323" s="919">
        <f>'Jrnl Exp ~ Dép'!$E255</f>
        <v>0</v>
      </c>
      <c r="G323" s="920" t="str">
        <f>LEFT('Jrnl Exp ~ Dép'!$H255,4)</f>
        <v/>
      </c>
      <c r="H323" s="923"/>
      <c r="I323" s="895"/>
      <c r="J323" s="895"/>
      <c r="K323" s="895"/>
      <c r="L323" s="898"/>
      <c r="M323" s="875" t="str">
        <f t="shared" si="10"/>
        <v>0</v>
      </c>
      <c r="N323" s="26" t="str">
        <f t="shared" si="9"/>
        <v>3</v>
      </c>
      <c r="O323" s="26" t="str">
        <f t="shared" si="11"/>
        <v>0</v>
      </c>
    </row>
    <row r="324" spans="2:15" ht="23.75" hidden="1" customHeight="1" x14ac:dyDescent="0.15">
      <c r="B324" s="26">
        <f>'Jrnl Exp ~ Dép'!B256</f>
        <v>0</v>
      </c>
      <c r="C324" s="914">
        <f>'Jrnl Exp ~ Dép'!$D256</f>
        <v>0</v>
      </c>
      <c r="D324" s="912">
        <f>'Jrnl Exp ~ Dép'!$F256</f>
        <v>0</v>
      </c>
      <c r="E324" s="918">
        <f>'Jrnl Exp ~ Dép'!$G256</f>
        <v>0</v>
      </c>
      <c r="F324" s="919">
        <f>'Jrnl Exp ~ Dép'!$E256</f>
        <v>0</v>
      </c>
      <c r="G324" s="920" t="str">
        <f>LEFT('Jrnl Exp ~ Dép'!$H256,4)</f>
        <v/>
      </c>
      <c r="H324" s="923"/>
      <c r="I324" s="895"/>
      <c r="J324" s="895"/>
      <c r="K324" s="895"/>
      <c r="L324" s="898"/>
      <c r="M324" s="875" t="str">
        <f t="shared" si="10"/>
        <v>0</v>
      </c>
      <c r="N324" s="26" t="str">
        <f t="shared" si="9"/>
        <v>3</v>
      </c>
      <c r="O324" s="26" t="str">
        <f t="shared" si="11"/>
        <v>0</v>
      </c>
    </row>
    <row r="325" spans="2:15" ht="23.75" hidden="1" customHeight="1" x14ac:dyDescent="0.15">
      <c r="B325" s="26">
        <f>'Jrnl Exp ~ Dép'!B257</f>
        <v>0</v>
      </c>
      <c r="C325" s="914">
        <f>'Jrnl Exp ~ Dép'!$D257</f>
        <v>0</v>
      </c>
      <c r="D325" s="912">
        <f>'Jrnl Exp ~ Dép'!$F257</f>
        <v>0</v>
      </c>
      <c r="E325" s="918">
        <f>'Jrnl Exp ~ Dép'!$G257</f>
        <v>0</v>
      </c>
      <c r="F325" s="919">
        <f>'Jrnl Exp ~ Dép'!$E257</f>
        <v>0</v>
      </c>
      <c r="G325" s="920" t="str">
        <f>LEFT('Jrnl Exp ~ Dép'!$H257,4)</f>
        <v/>
      </c>
      <c r="H325" s="923"/>
      <c r="I325" s="895"/>
      <c r="J325" s="895"/>
      <c r="K325" s="895"/>
      <c r="L325" s="898"/>
      <c r="M325" s="875" t="str">
        <f t="shared" si="10"/>
        <v>0</v>
      </c>
      <c r="N325" s="26" t="str">
        <f t="shared" si="9"/>
        <v>3</v>
      </c>
      <c r="O325" s="26" t="str">
        <f t="shared" si="11"/>
        <v>0</v>
      </c>
    </row>
    <row r="326" spans="2:15" ht="23.75" hidden="1" customHeight="1" x14ac:dyDescent="0.15">
      <c r="B326" s="26">
        <f>'Jrnl Exp ~ Dép'!B258</f>
        <v>0</v>
      </c>
      <c r="C326" s="914">
        <f>'Jrnl Exp ~ Dép'!$D258</f>
        <v>0</v>
      </c>
      <c r="D326" s="912">
        <f>'Jrnl Exp ~ Dép'!$F258</f>
        <v>0</v>
      </c>
      <c r="E326" s="918">
        <f>'Jrnl Exp ~ Dép'!$G258</f>
        <v>0</v>
      </c>
      <c r="F326" s="919">
        <f>'Jrnl Exp ~ Dép'!$E258</f>
        <v>0</v>
      </c>
      <c r="G326" s="920" t="str">
        <f>LEFT('Jrnl Exp ~ Dép'!$H258,4)</f>
        <v/>
      </c>
      <c r="H326" s="923"/>
      <c r="I326" s="895"/>
      <c r="J326" s="895"/>
      <c r="K326" s="895"/>
      <c r="L326" s="898"/>
      <c r="M326" s="875" t="str">
        <f t="shared" si="10"/>
        <v>0</v>
      </c>
      <c r="N326" s="26" t="str">
        <f t="shared" si="9"/>
        <v>3</v>
      </c>
      <c r="O326" s="26" t="str">
        <f t="shared" si="11"/>
        <v>0</v>
      </c>
    </row>
    <row r="327" spans="2:15" ht="23.75" hidden="1" customHeight="1" x14ac:dyDescent="0.15">
      <c r="B327" s="26">
        <f>'Jrnl Exp ~ Dép'!B259</f>
        <v>0</v>
      </c>
      <c r="C327" s="914">
        <f>'Jrnl Exp ~ Dép'!$D259</f>
        <v>0</v>
      </c>
      <c r="D327" s="912">
        <f>'Jrnl Exp ~ Dép'!$F259</f>
        <v>0</v>
      </c>
      <c r="E327" s="918">
        <f>'Jrnl Exp ~ Dép'!$G259</f>
        <v>0</v>
      </c>
      <c r="F327" s="919">
        <f>'Jrnl Exp ~ Dép'!$E259</f>
        <v>0</v>
      </c>
      <c r="G327" s="920" t="str">
        <f>LEFT('Jrnl Exp ~ Dép'!$H259,4)</f>
        <v/>
      </c>
      <c r="H327" s="923"/>
      <c r="I327" s="895"/>
      <c r="J327" s="895"/>
      <c r="K327" s="895"/>
      <c r="L327" s="898"/>
      <c r="M327" s="875" t="str">
        <f t="shared" si="10"/>
        <v>0</v>
      </c>
      <c r="N327" s="26" t="str">
        <f t="shared" si="9"/>
        <v>3</v>
      </c>
      <c r="O327" s="26" t="str">
        <f t="shared" si="11"/>
        <v>0</v>
      </c>
    </row>
    <row r="328" spans="2:15" ht="23.75" hidden="1" customHeight="1" x14ac:dyDescent="0.15">
      <c r="B328" s="26">
        <f>'Jrnl Exp ~ Dép'!B260</f>
        <v>0</v>
      </c>
      <c r="C328" s="914">
        <f>'Jrnl Exp ~ Dép'!$D260</f>
        <v>0</v>
      </c>
      <c r="D328" s="912">
        <f>'Jrnl Exp ~ Dép'!$F260</f>
        <v>0</v>
      </c>
      <c r="E328" s="918">
        <f>'Jrnl Exp ~ Dép'!$G260</f>
        <v>0</v>
      </c>
      <c r="F328" s="919">
        <f>'Jrnl Exp ~ Dép'!$E260</f>
        <v>0</v>
      </c>
      <c r="G328" s="920" t="str">
        <f>LEFT('Jrnl Exp ~ Dép'!$H260,4)</f>
        <v/>
      </c>
      <c r="H328" s="923"/>
      <c r="I328" s="895"/>
      <c r="J328" s="895"/>
      <c r="K328" s="895"/>
      <c r="L328" s="898"/>
      <c r="M328" s="875" t="str">
        <f t="shared" si="10"/>
        <v>0</v>
      </c>
      <c r="N328" s="26" t="str">
        <f t="shared" si="9"/>
        <v>3</v>
      </c>
      <c r="O328" s="26" t="str">
        <f t="shared" si="11"/>
        <v>0</v>
      </c>
    </row>
    <row r="329" spans="2:15" ht="23.75" hidden="1" customHeight="1" x14ac:dyDescent="0.15">
      <c r="B329" s="26">
        <f>'Jrnl Exp ~ Dép'!B261</f>
        <v>0</v>
      </c>
      <c r="C329" s="914">
        <f>'Jrnl Exp ~ Dép'!$D261</f>
        <v>0</v>
      </c>
      <c r="D329" s="912">
        <f>'Jrnl Exp ~ Dép'!$F261</f>
        <v>0</v>
      </c>
      <c r="E329" s="918">
        <f>'Jrnl Exp ~ Dép'!$G261</f>
        <v>0</v>
      </c>
      <c r="F329" s="919">
        <f>'Jrnl Exp ~ Dép'!$E261</f>
        <v>0</v>
      </c>
      <c r="G329" s="920" t="str">
        <f>LEFT('Jrnl Exp ~ Dép'!$H261,4)</f>
        <v/>
      </c>
      <c r="H329" s="923"/>
      <c r="I329" s="895"/>
      <c r="J329" s="895"/>
      <c r="K329" s="895"/>
      <c r="L329" s="898"/>
      <c r="M329" s="875" t="str">
        <f t="shared" si="10"/>
        <v>0</v>
      </c>
      <c r="N329" s="26" t="str">
        <f t="shared" si="9"/>
        <v>3</v>
      </c>
      <c r="O329" s="26" t="str">
        <f t="shared" si="11"/>
        <v>0</v>
      </c>
    </row>
    <row r="330" spans="2:15" ht="23.75" hidden="1" customHeight="1" x14ac:dyDescent="0.15">
      <c r="B330" s="26">
        <f>'Jrnl Exp ~ Dép'!B262</f>
        <v>0</v>
      </c>
      <c r="C330" s="914">
        <f>'Jrnl Exp ~ Dép'!$D262</f>
        <v>0</v>
      </c>
      <c r="D330" s="912">
        <f>'Jrnl Exp ~ Dép'!$F262</f>
        <v>0</v>
      </c>
      <c r="E330" s="918">
        <f>'Jrnl Exp ~ Dép'!$G262</f>
        <v>0</v>
      </c>
      <c r="F330" s="919">
        <f>'Jrnl Exp ~ Dép'!$E262</f>
        <v>0</v>
      </c>
      <c r="G330" s="920" t="str">
        <f>LEFT('Jrnl Exp ~ Dép'!$H262,4)</f>
        <v/>
      </c>
      <c r="H330" s="923"/>
      <c r="I330" s="895"/>
      <c r="J330" s="895"/>
      <c r="K330" s="895"/>
      <c r="L330" s="898"/>
      <c r="M330" s="875" t="str">
        <f t="shared" si="10"/>
        <v>0</v>
      </c>
      <c r="N330" s="26" t="str">
        <f t="shared" si="9"/>
        <v>3</v>
      </c>
      <c r="O330" s="26" t="str">
        <f t="shared" si="11"/>
        <v>0</v>
      </c>
    </row>
    <row r="331" spans="2:15" ht="23.75" hidden="1" customHeight="1" x14ac:dyDescent="0.15">
      <c r="B331" s="26">
        <f>'Jrnl Exp ~ Dép'!B263</f>
        <v>0</v>
      </c>
      <c r="C331" s="914">
        <f>'Jrnl Exp ~ Dép'!$D263</f>
        <v>0</v>
      </c>
      <c r="D331" s="912">
        <f>'Jrnl Exp ~ Dép'!$F263</f>
        <v>0</v>
      </c>
      <c r="E331" s="918">
        <f>'Jrnl Exp ~ Dép'!$G263</f>
        <v>0</v>
      </c>
      <c r="F331" s="919">
        <f>'Jrnl Exp ~ Dép'!$E263</f>
        <v>0</v>
      </c>
      <c r="G331" s="920" t="str">
        <f>LEFT('Jrnl Exp ~ Dép'!$H263,4)</f>
        <v/>
      </c>
      <c r="H331" s="923"/>
      <c r="I331" s="895"/>
      <c r="J331" s="895"/>
      <c r="K331" s="895"/>
      <c r="L331" s="898"/>
      <c r="M331" s="875" t="str">
        <f t="shared" si="10"/>
        <v>0</v>
      </c>
      <c r="N331" s="26" t="str">
        <f t="shared" si="9"/>
        <v>3</v>
      </c>
      <c r="O331" s="26" t="str">
        <f t="shared" si="11"/>
        <v>0</v>
      </c>
    </row>
    <row r="332" spans="2:15" ht="23.75" hidden="1" customHeight="1" x14ac:dyDescent="0.15">
      <c r="B332" s="26">
        <f>'Jrnl Exp ~ Dép'!B264</f>
        <v>0</v>
      </c>
      <c r="C332" s="914">
        <f>'Jrnl Exp ~ Dép'!$D264</f>
        <v>0</v>
      </c>
      <c r="D332" s="912">
        <f>'Jrnl Exp ~ Dép'!$F264</f>
        <v>0</v>
      </c>
      <c r="E332" s="918">
        <f>'Jrnl Exp ~ Dép'!$G264</f>
        <v>0</v>
      </c>
      <c r="F332" s="919">
        <f>'Jrnl Exp ~ Dép'!$E264</f>
        <v>0</v>
      </c>
      <c r="G332" s="920" t="str">
        <f>LEFT('Jrnl Exp ~ Dép'!$H264,4)</f>
        <v/>
      </c>
      <c r="H332" s="923"/>
      <c r="I332" s="895"/>
      <c r="J332" s="895"/>
      <c r="K332" s="895"/>
      <c r="L332" s="898"/>
      <c r="M332" s="875" t="str">
        <f t="shared" si="10"/>
        <v>0</v>
      </c>
      <c r="N332" s="26" t="str">
        <f t="shared" si="9"/>
        <v>3</v>
      </c>
      <c r="O332" s="26" t="str">
        <f t="shared" si="11"/>
        <v>0</v>
      </c>
    </row>
    <row r="333" spans="2:15" ht="23.75" hidden="1" customHeight="1" x14ac:dyDescent="0.15">
      <c r="B333" s="26">
        <f>'Jrnl Exp ~ Dép'!B265</f>
        <v>0</v>
      </c>
      <c r="C333" s="914">
        <f>'Jrnl Exp ~ Dép'!$D265</f>
        <v>0</v>
      </c>
      <c r="D333" s="912">
        <f>'Jrnl Exp ~ Dép'!$F265</f>
        <v>0</v>
      </c>
      <c r="E333" s="918">
        <f>'Jrnl Exp ~ Dép'!$G265</f>
        <v>0</v>
      </c>
      <c r="F333" s="919">
        <f>'Jrnl Exp ~ Dép'!$E265</f>
        <v>0</v>
      </c>
      <c r="G333" s="920" t="str">
        <f>LEFT('Jrnl Exp ~ Dép'!$H265,4)</f>
        <v/>
      </c>
      <c r="H333" s="923"/>
      <c r="I333" s="895"/>
      <c r="J333" s="895"/>
      <c r="K333" s="895"/>
      <c r="L333" s="898"/>
      <c r="M333" s="875" t="str">
        <f t="shared" si="10"/>
        <v>0</v>
      </c>
      <c r="N333" s="26" t="str">
        <f t="shared" si="9"/>
        <v>3</v>
      </c>
      <c r="O333" s="26" t="str">
        <f t="shared" si="11"/>
        <v>0</v>
      </c>
    </row>
    <row r="334" spans="2:15" ht="23.75" hidden="1" customHeight="1" x14ac:dyDescent="0.15">
      <c r="B334" s="26">
        <f>'Jrnl Exp ~ Dép'!B266</f>
        <v>0</v>
      </c>
      <c r="C334" s="914">
        <f>'Jrnl Exp ~ Dép'!$D266</f>
        <v>0</v>
      </c>
      <c r="D334" s="912">
        <f>'Jrnl Exp ~ Dép'!$F266</f>
        <v>0</v>
      </c>
      <c r="E334" s="918">
        <f>'Jrnl Exp ~ Dép'!$G266</f>
        <v>0</v>
      </c>
      <c r="F334" s="919">
        <f>'Jrnl Exp ~ Dép'!$E266</f>
        <v>0</v>
      </c>
      <c r="G334" s="920" t="str">
        <f>LEFT('Jrnl Exp ~ Dép'!$H266,4)</f>
        <v/>
      </c>
      <c r="H334" s="923"/>
      <c r="I334" s="895"/>
      <c r="J334" s="895"/>
      <c r="K334" s="895"/>
      <c r="L334" s="898"/>
      <c r="M334" s="875" t="str">
        <f t="shared" si="10"/>
        <v>0</v>
      </c>
      <c r="N334" s="26" t="str">
        <f t="shared" si="9"/>
        <v>3</v>
      </c>
      <c r="O334" s="26" t="str">
        <f t="shared" si="11"/>
        <v>0</v>
      </c>
    </row>
    <row r="335" spans="2:15" ht="23.75" hidden="1" customHeight="1" x14ac:dyDescent="0.15">
      <c r="B335" s="26">
        <f>'Jrnl Exp ~ Dép'!B267</f>
        <v>0</v>
      </c>
      <c r="C335" s="914">
        <f>'Jrnl Exp ~ Dép'!$D267</f>
        <v>0</v>
      </c>
      <c r="D335" s="912">
        <f>'Jrnl Exp ~ Dép'!$F267</f>
        <v>0</v>
      </c>
      <c r="E335" s="918">
        <f>'Jrnl Exp ~ Dép'!$G267</f>
        <v>0</v>
      </c>
      <c r="F335" s="919">
        <f>'Jrnl Exp ~ Dép'!$E267</f>
        <v>0</v>
      </c>
      <c r="G335" s="920" t="str">
        <f>LEFT('Jrnl Exp ~ Dép'!$H267,4)</f>
        <v/>
      </c>
      <c r="H335" s="923"/>
      <c r="I335" s="895"/>
      <c r="J335" s="895"/>
      <c r="K335" s="895"/>
      <c r="L335" s="898"/>
      <c r="M335" s="875" t="str">
        <f t="shared" si="10"/>
        <v>0</v>
      </c>
      <c r="N335" s="26" t="str">
        <f t="shared" si="9"/>
        <v>3</v>
      </c>
      <c r="O335" s="26" t="str">
        <f t="shared" si="11"/>
        <v>0</v>
      </c>
    </row>
    <row r="336" spans="2:15" ht="23.75" hidden="1" customHeight="1" x14ac:dyDescent="0.15">
      <c r="B336" s="26">
        <f>'Jrnl Exp ~ Dép'!B268</f>
        <v>0</v>
      </c>
      <c r="C336" s="914">
        <f>'Jrnl Exp ~ Dép'!$D268</f>
        <v>0</v>
      </c>
      <c r="D336" s="912">
        <f>'Jrnl Exp ~ Dép'!$F268</f>
        <v>0</v>
      </c>
      <c r="E336" s="918">
        <f>'Jrnl Exp ~ Dép'!$G268</f>
        <v>0</v>
      </c>
      <c r="F336" s="919">
        <f>'Jrnl Exp ~ Dép'!$E268</f>
        <v>0</v>
      </c>
      <c r="G336" s="920" t="str">
        <f>LEFT('Jrnl Exp ~ Dép'!$H268,4)</f>
        <v/>
      </c>
      <c r="H336" s="923"/>
      <c r="I336" s="895"/>
      <c r="J336" s="895"/>
      <c r="K336" s="895"/>
      <c r="L336" s="898"/>
      <c r="M336" s="875" t="str">
        <f t="shared" si="10"/>
        <v>0</v>
      </c>
      <c r="N336" s="26" t="str">
        <f t="shared" si="9"/>
        <v>3</v>
      </c>
      <c r="O336" s="26" t="str">
        <f t="shared" si="11"/>
        <v>0</v>
      </c>
    </row>
    <row r="337" spans="2:15" ht="23.75" hidden="1" customHeight="1" x14ac:dyDescent="0.15">
      <c r="B337" s="26">
        <f>'Jrnl Exp ~ Dép'!B269</f>
        <v>0</v>
      </c>
      <c r="C337" s="914">
        <f>'Jrnl Exp ~ Dép'!$D269</f>
        <v>0</v>
      </c>
      <c r="D337" s="912">
        <f>'Jrnl Exp ~ Dép'!$F269</f>
        <v>0</v>
      </c>
      <c r="E337" s="918">
        <f>'Jrnl Exp ~ Dép'!$G269</f>
        <v>0</v>
      </c>
      <c r="F337" s="919">
        <f>'Jrnl Exp ~ Dép'!$E269</f>
        <v>0</v>
      </c>
      <c r="G337" s="920" t="str">
        <f>LEFT('Jrnl Exp ~ Dép'!$H269,4)</f>
        <v/>
      </c>
      <c r="H337" s="923"/>
      <c r="I337" s="895"/>
      <c r="J337" s="895"/>
      <c r="K337" s="895"/>
      <c r="L337" s="898"/>
      <c r="M337" s="875" t="str">
        <f t="shared" si="10"/>
        <v>0</v>
      </c>
      <c r="N337" s="26" t="str">
        <f t="shared" si="9"/>
        <v>3</v>
      </c>
      <c r="O337" s="26" t="str">
        <f t="shared" si="11"/>
        <v>0</v>
      </c>
    </row>
    <row r="338" spans="2:15" ht="23.75" hidden="1" customHeight="1" x14ac:dyDescent="0.15">
      <c r="B338" s="26">
        <f>'Jrnl Exp ~ Dép'!B270</f>
        <v>0</v>
      </c>
      <c r="C338" s="914">
        <f>'Jrnl Exp ~ Dép'!$D270</f>
        <v>0</v>
      </c>
      <c r="D338" s="912">
        <f>'Jrnl Exp ~ Dép'!$F270</f>
        <v>0</v>
      </c>
      <c r="E338" s="918">
        <f>'Jrnl Exp ~ Dép'!$G270</f>
        <v>0</v>
      </c>
      <c r="F338" s="919">
        <f>'Jrnl Exp ~ Dép'!$E270</f>
        <v>0</v>
      </c>
      <c r="G338" s="920" t="str">
        <f>LEFT('Jrnl Exp ~ Dép'!$H270,4)</f>
        <v/>
      </c>
      <c r="H338" s="923"/>
      <c r="I338" s="895"/>
      <c r="J338" s="895"/>
      <c r="K338" s="895"/>
      <c r="L338" s="898"/>
      <c r="M338" s="875" t="str">
        <f t="shared" si="10"/>
        <v>0</v>
      </c>
      <c r="N338" s="26" t="str">
        <f t="shared" si="9"/>
        <v>3</v>
      </c>
      <c r="O338" s="26" t="str">
        <f t="shared" si="11"/>
        <v>0</v>
      </c>
    </row>
    <row r="339" spans="2:15" ht="23.75" hidden="1" customHeight="1" x14ac:dyDescent="0.15">
      <c r="B339" s="26">
        <f>'Jrnl Exp ~ Dép'!B271</f>
        <v>0</v>
      </c>
      <c r="C339" s="914">
        <f>'Jrnl Exp ~ Dép'!$D271</f>
        <v>0</v>
      </c>
      <c r="D339" s="912">
        <f>'Jrnl Exp ~ Dép'!$F271</f>
        <v>0</v>
      </c>
      <c r="E339" s="918">
        <f>'Jrnl Exp ~ Dép'!$G271</f>
        <v>0</v>
      </c>
      <c r="F339" s="919">
        <f>'Jrnl Exp ~ Dép'!$E271</f>
        <v>0</v>
      </c>
      <c r="G339" s="920" t="str">
        <f>LEFT('Jrnl Exp ~ Dép'!$H271,4)</f>
        <v/>
      </c>
      <c r="H339" s="923"/>
      <c r="I339" s="895"/>
      <c r="J339" s="895"/>
      <c r="K339" s="895"/>
      <c r="L339" s="898"/>
      <c r="M339" s="875" t="str">
        <f t="shared" si="10"/>
        <v>0</v>
      </c>
      <c r="N339" s="26" t="str">
        <f t="shared" si="9"/>
        <v>3</v>
      </c>
      <c r="O339" s="26" t="str">
        <f t="shared" si="11"/>
        <v>0</v>
      </c>
    </row>
    <row r="340" spans="2:15" ht="23.75" hidden="1" customHeight="1" x14ac:dyDescent="0.15">
      <c r="B340" s="26">
        <f>'Jrnl Exp ~ Dép'!B272</f>
        <v>0</v>
      </c>
      <c r="C340" s="914">
        <f>'Jrnl Exp ~ Dép'!$D272</f>
        <v>0</v>
      </c>
      <c r="D340" s="912">
        <f>'Jrnl Exp ~ Dép'!$F272</f>
        <v>0</v>
      </c>
      <c r="E340" s="918">
        <f>'Jrnl Exp ~ Dép'!$G272</f>
        <v>0</v>
      </c>
      <c r="F340" s="919">
        <f>'Jrnl Exp ~ Dép'!$E272</f>
        <v>0</v>
      </c>
      <c r="G340" s="920" t="str">
        <f>LEFT('Jrnl Exp ~ Dép'!$H272,4)</f>
        <v/>
      </c>
      <c r="H340" s="923"/>
      <c r="I340" s="895"/>
      <c r="J340" s="895"/>
      <c r="K340" s="895"/>
      <c r="L340" s="898"/>
      <c r="M340" s="875" t="str">
        <f t="shared" si="10"/>
        <v>0</v>
      </c>
      <c r="N340" s="26" t="str">
        <f t="shared" ref="N340:N403" si="12">IF(B340="√","2","3")</f>
        <v>3</v>
      </c>
      <c r="O340" s="26" t="str">
        <f t="shared" si="11"/>
        <v>0</v>
      </c>
    </row>
    <row r="341" spans="2:15" ht="23.75" hidden="1" customHeight="1" x14ac:dyDescent="0.15">
      <c r="B341" s="26">
        <f>'Jrnl Exp ~ Dép'!B273</f>
        <v>0</v>
      </c>
      <c r="C341" s="914">
        <f>'Jrnl Exp ~ Dép'!$D273</f>
        <v>0</v>
      </c>
      <c r="D341" s="912">
        <f>'Jrnl Exp ~ Dép'!$F273</f>
        <v>0</v>
      </c>
      <c r="E341" s="918">
        <f>'Jrnl Exp ~ Dép'!$G273</f>
        <v>0</v>
      </c>
      <c r="F341" s="919">
        <f>'Jrnl Exp ~ Dép'!$E273</f>
        <v>0</v>
      </c>
      <c r="G341" s="920" t="str">
        <f>LEFT('Jrnl Exp ~ Dép'!$H273,4)</f>
        <v/>
      </c>
      <c r="H341" s="923"/>
      <c r="I341" s="895"/>
      <c r="J341" s="895"/>
      <c r="K341" s="895"/>
      <c r="L341" s="898"/>
      <c r="M341" s="875" t="str">
        <f t="shared" ref="M341:M404" si="13">IF(E341&gt;0,"1","0")</f>
        <v>0</v>
      </c>
      <c r="N341" s="26" t="str">
        <f t="shared" si="12"/>
        <v>3</v>
      </c>
      <c r="O341" s="26" t="str">
        <f t="shared" ref="O341:O404" si="14">IF(AND(M341="1",N341="3"),"4","0")</f>
        <v>0</v>
      </c>
    </row>
    <row r="342" spans="2:15" ht="23.75" hidden="1" customHeight="1" x14ac:dyDescent="0.15">
      <c r="B342" s="26">
        <f>'Jrnl Exp ~ Dép'!B274</f>
        <v>0</v>
      </c>
      <c r="C342" s="914">
        <f>'Jrnl Exp ~ Dép'!$D274</f>
        <v>0</v>
      </c>
      <c r="D342" s="912">
        <f>'Jrnl Exp ~ Dép'!$F274</f>
        <v>0</v>
      </c>
      <c r="E342" s="918">
        <f>'Jrnl Exp ~ Dép'!$G274</f>
        <v>0</v>
      </c>
      <c r="F342" s="919">
        <f>'Jrnl Exp ~ Dép'!$E274</f>
        <v>0</v>
      </c>
      <c r="G342" s="920" t="str">
        <f>LEFT('Jrnl Exp ~ Dép'!$H274,4)</f>
        <v/>
      </c>
      <c r="H342" s="923"/>
      <c r="I342" s="895"/>
      <c r="J342" s="895"/>
      <c r="K342" s="895"/>
      <c r="L342" s="898"/>
      <c r="M342" s="875" t="str">
        <f t="shared" si="13"/>
        <v>0</v>
      </c>
      <c r="N342" s="26" t="str">
        <f t="shared" si="12"/>
        <v>3</v>
      </c>
      <c r="O342" s="26" t="str">
        <f t="shared" si="14"/>
        <v>0</v>
      </c>
    </row>
    <row r="343" spans="2:15" ht="23.75" hidden="1" customHeight="1" x14ac:dyDescent="0.15">
      <c r="B343" s="26">
        <f>'Jrnl Exp ~ Dép'!B275</f>
        <v>0</v>
      </c>
      <c r="C343" s="914">
        <f>'Jrnl Exp ~ Dép'!$D275</f>
        <v>0</v>
      </c>
      <c r="D343" s="912">
        <f>'Jrnl Exp ~ Dép'!$F275</f>
        <v>0</v>
      </c>
      <c r="E343" s="918">
        <f>'Jrnl Exp ~ Dép'!$G275</f>
        <v>0</v>
      </c>
      <c r="F343" s="919">
        <f>'Jrnl Exp ~ Dép'!$E275</f>
        <v>0</v>
      </c>
      <c r="G343" s="920" t="str">
        <f>LEFT('Jrnl Exp ~ Dép'!$H275,4)</f>
        <v/>
      </c>
      <c r="H343" s="923"/>
      <c r="I343" s="895"/>
      <c r="J343" s="895"/>
      <c r="K343" s="895"/>
      <c r="L343" s="898"/>
      <c r="M343" s="875" t="str">
        <f t="shared" si="13"/>
        <v>0</v>
      </c>
      <c r="N343" s="26" t="str">
        <f t="shared" si="12"/>
        <v>3</v>
      </c>
      <c r="O343" s="26" t="str">
        <f t="shared" si="14"/>
        <v>0</v>
      </c>
    </row>
    <row r="344" spans="2:15" ht="23.75" hidden="1" customHeight="1" x14ac:dyDescent="0.15">
      <c r="B344" s="26">
        <f>'Jrnl Exp ~ Dép'!B276</f>
        <v>0</v>
      </c>
      <c r="C344" s="914">
        <f>'Jrnl Exp ~ Dép'!$D276</f>
        <v>0</v>
      </c>
      <c r="D344" s="912">
        <f>'Jrnl Exp ~ Dép'!$F276</f>
        <v>0</v>
      </c>
      <c r="E344" s="918">
        <f>'Jrnl Exp ~ Dép'!$G276</f>
        <v>0</v>
      </c>
      <c r="F344" s="919">
        <f>'Jrnl Exp ~ Dép'!$E276</f>
        <v>0</v>
      </c>
      <c r="G344" s="920" t="str">
        <f>LEFT('Jrnl Exp ~ Dép'!$H276,4)</f>
        <v/>
      </c>
      <c r="H344" s="923"/>
      <c r="I344" s="895"/>
      <c r="J344" s="895"/>
      <c r="K344" s="895"/>
      <c r="L344" s="898"/>
      <c r="M344" s="875" t="str">
        <f t="shared" si="13"/>
        <v>0</v>
      </c>
      <c r="N344" s="26" t="str">
        <f t="shared" si="12"/>
        <v>3</v>
      </c>
      <c r="O344" s="26" t="str">
        <f t="shared" si="14"/>
        <v>0</v>
      </c>
    </row>
    <row r="345" spans="2:15" ht="23.75" hidden="1" customHeight="1" x14ac:dyDescent="0.15">
      <c r="B345" s="26">
        <f>'Jrnl Exp ~ Dép'!B277</f>
        <v>0</v>
      </c>
      <c r="C345" s="914">
        <f>'Jrnl Exp ~ Dép'!$D277</f>
        <v>0</v>
      </c>
      <c r="D345" s="912">
        <f>'Jrnl Exp ~ Dép'!$F277</f>
        <v>0</v>
      </c>
      <c r="E345" s="918">
        <f>'Jrnl Exp ~ Dép'!$G277</f>
        <v>0</v>
      </c>
      <c r="F345" s="919">
        <f>'Jrnl Exp ~ Dép'!$E277</f>
        <v>0</v>
      </c>
      <c r="G345" s="920" t="str">
        <f>LEFT('Jrnl Exp ~ Dép'!$H277,4)</f>
        <v/>
      </c>
      <c r="H345" s="923"/>
      <c r="I345" s="895"/>
      <c r="J345" s="895"/>
      <c r="K345" s="895"/>
      <c r="L345" s="898"/>
      <c r="M345" s="875" t="str">
        <f t="shared" si="13"/>
        <v>0</v>
      </c>
      <c r="N345" s="26" t="str">
        <f t="shared" si="12"/>
        <v>3</v>
      </c>
      <c r="O345" s="26" t="str">
        <f t="shared" si="14"/>
        <v>0</v>
      </c>
    </row>
    <row r="346" spans="2:15" ht="23.75" hidden="1" customHeight="1" x14ac:dyDescent="0.15">
      <c r="B346" s="26">
        <f>'Jrnl Exp ~ Dép'!B278</f>
        <v>0</v>
      </c>
      <c r="C346" s="914">
        <f>'Jrnl Exp ~ Dép'!$D278</f>
        <v>0</v>
      </c>
      <c r="D346" s="912">
        <f>'Jrnl Exp ~ Dép'!$F278</f>
        <v>0</v>
      </c>
      <c r="E346" s="918">
        <f>'Jrnl Exp ~ Dép'!$G278</f>
        <v>0</v>
      </c>
      <c r="F346" s="919">
        <f>'Jrnl Exp ~ Dép'!$E278</f>
        <v>0</v>
      </c>
      <c r="G346" s="920" t="str">
        <f>LEFT('Jrnl Exp ~ Dép'!$H278,4)</f>
        <v/>
      </c>
      <c r="H346" s="923"/>
      <c r="I346" s="895"/>
      <c r="J346" s="895"/>
      <c r="K346" s="895"/>
      <c r="L346" s="898"/>
      <c r="M346" s="875" t="str">
        <f t="shared" si="13"/>
        <v>0</v>
      </c>
      <c r="N346" s="26" t="str">
        <f t="shared" si="12"/>
        <v>3</v>
      </c>
      <c r="O346" s="26" t="str">
        <f t="shared" si="14"/>
        <v>0</v>
      </c>
    </row>
    <row r="347" spans="2:15" ht="23.75" hidden="1" customHeight="1" x14ac:dyDescent="0.15">
      <c r="B347" s="26">
        <f>'Jrnl Exp ~ Dép'!B279</f>
        <v>0</v>
      </c>
      <c r="C347" s="914">
        <f>'Jrnl Exp ~ Dép'!$D279</f>
        <v>0</v>
      </c>
      <c r="D347" s="912">
        <f>'Jrnl Exp ~ Dép'!$F279</f>
        <v>0</v>
      </c>
      <c r="E347" s="918">
        <f>'Jrnl Exp ~ Dép'!$G279</f>
        <v>0</v>
      </c>
      <c r="F347" s="919">
        <f>'Jrnl Exp ~ Dép'!$E279</f>
        <v>0</v>
      </c>
      <c r="G347" s="920" t="str">
        <f>LEFT('Jrnl Exp ~ Dép'!$H279,4)</f>
        <v/>
      </c>
      <c r="H347" s="923"/>
      <c r="I347" s="895"/>
      <c r="J347" s="895"/>
      <c r="K347" s="895"/>
      <c r="L347" s="898"/>
      <c r="M347" s="875" t="str">
        <f t="shared" si="13"/>
        <v>0</v>
      </c>
      <c r="N347" s="26" t="str">
        <f t="shared" si="12"/>
        <v>3</v>
      </c>
      <c r="O347" s="26" t="str">
        <f t="shared" si="14"/>
        <v>0</v>
      </c>
    </row>
    <row r="348" spans="2:15" ht="23.75" hidden="1" customHeight="1" x14ac:dyDescent="0.15">
      <c r="B348" s="26">
        <f>'Jrnl Exp ~ Dép'!B280</f>
        <v>0</v>
      </c>
      <c r="C348" s="914">
        <f>'Jrnl Exp ~ Dép'!$D280</f>
        <v>0</v>
      </c>
      <c r="D348" s="912">
        <f>'Jrnl Exp ~ Dép'!$F280</f>
        <v>0</v>
      </c>
      <c r="E348" s="918">
        <f>'Jrnl Exp ~ Dép'!$G280</f>
        <v>0</v>
      </c>
      <c r="F348" s="919">
        <f>'Jrnl Exp ~ Dép'!$E280</f>
        <v>0</v>
      </c>
      <c r="G348" s="920" t="str">
        <f>LEFT('Jrnl Exp ~ Dép'!$H280,4)</f>
        <v/>
      </c>
      <c r="H348" s="923"/>
      <c r="I348" s="895"/>
      <c r="J348" s="895"/>
      <c r="K348" s="895"/>
      <c r="L348" s="898"/>
      <c r="M348" s="875" t="str">
        <f t="shared" si="13"/>
        <v>0</v>
      </c>
      <c r="N348" s="26" t="str">
        <f t="shared" si="12"/>
        <v>3</v>
      </c>
      <c r="O348" s="26" t="str">
        <f t="shared" si="14"/>
        <v>0</v>
      </c>
    </row>
    <row r="349" spans="2:15" ht="23.75" hidden="1" customHeight="1" x14ac:dyDescent="0.15">
      <c r="B349" s="26">
        <f>'Jrnl Exp ~ Dép'!B281</f>
        <v>0</v>
      </c>
      <c r="C349" s="914">
        <f>'Jrnl Exp ~ Dép'!$D281</f>
        <v>0</v>
      </c>
      <c r="D349" s="912">
        <f>'Jrnl Exp ~ Dép'!$F281</f>
        <v>0</v>
      </c>
      <c r="E349" s="918">
        <f>'Jrnl Exp ~ Dép'!$G281</f>
        <v>0</v>
      </c>
      <c r="F349" s="919">
        <f>'Jrnl Exp ~ Dép'!$E281</f>
        <v>0</v>
      </c>
      <c r="G349" s="920" t="str">
        <f>LEFT('Jrnl Exp ~ Dép'!$H281,4)</f>
        <v/>
      </c>
      <c r="H349" s="923"/>
      <c r="I349" s="895"/>
      <c r="J349" s="895"/>
      <c r="K349" s="895"/>
      <c r="L349" s="898"/>
      <c r="M349" s="875" t="str">
        <f t="shared" si="13"/>
        <v>0</v>
      </c>
      <c r="N349" s="26" t="str">
        <f t="shared" si="12"/>
        <v>3</v>
      </c>
      <c r="O349" s="26" t="str">
        <f t="shared" si="14"/>
        <v>0</v>
      </c>
    </row>
    <row r="350" spans="2:15" ht="23.75" hidden="1" customHeight="1" x14ac:dyDescent="0.15">
      <c r="B350" s="26">
        <f>'Jrnl Exp ~ Dép'!B282</f>
        <v>0</v>
      </c>
      <c r="C350" s="914">
        <f>'Jrnl Exp ~ Dép'!$D282</f>
        <v>0</v>
      </c>
      <c r="D350" s="912">
        <f>'Jrnl Exp ~ Dép'!$F282</f>
        <v>0</v>
      </c>
      <c r="E350" s="918">
        <f>'Jrnl Exp ~ Dép'!$G282</f>
        <v>0</v>
      </c>
      <c r="F350" s="919">
        <f>'Jrnl Exp ~ Dép'!$E282</f>
        <v>0</v>
      </c>
      <c r="G350" s="920" t="str">
        <f>LEFT('Jrnl Exp ~ Dép'!$H282,4)</f>
        <v/>
      </c>
      <c r="H350" s="923"/>
      <c r="I350" s="895"/>
      <c r="J350" s="895"/>
      <c r="K350" s="895"/>
      <c r="L350" s="898"/>
      <c r="M350" s="875" t="str">
        <f t="shared" si="13"/>
        <v>0</v>
      </c>
      <c r="N350" s="26" t="str">
        <f t="shared" si="12"/>
        <v>3</v>
      </c>
      <c r="O350" s="26" t="str">
        <f t="shared" si="14"/>
        <v>0</v>
      </c>
    </row>
    <row r="351" spans="2:15" ht="23.75" hidden="1" customHeight="1" x14ac:dyDescent="0.15">
      <c r="B351" s="26">
        <f>'Jrnl Exp ~ Dép'!B283</f>
        <v>0</v>
      </c>
      <c r="C351" s="914">
        <f>'Jrnl Exp ~ Dép'!$D283</f>
        <v>0</v>
      </c>
      <c r="D351" s="912">
        <f>'Jrnl Exp ~ Dép'!$F283</f>
        <v>0</v>
      </c>
      <c r="E351" s="918">
        <f>'Jrnl Exp ~ Dép'!$G283</f>
        <v>0</v>
      </c>
      <c r="F351" s="919">
        <f>'Jrnl Exp ~ Dép'!$E283</f>
        <v>0</v>
      </c>
      <c r="G351" s="920" t="str">
        <f>LEFT('Jrnl Exp ~ Dép'!$H283,4)</f>
        <v/>
      </c>
      <c r="H351" s="923"/>
      <c r="I351" s="895"/>
      <c r="J351" s="895"/>
      <c r="K351" s="895"/>
      <c r="L351" s="898"/>
      <c r="M351" s="875" t="str">
        <f t="shared" si="13"/>
        <v>0</v>
      </c>
      <c r="N351" s="26" t="str">
        <f t="shared" si="12"/>
        <v>3</v>
      </c>
      <c r="O351" s="26" t="str">
        <f t="shared" si="14"/>
        <v>0</v>
      </c>
    </row>
    <row r="352" spans="2:15" ht="23.75" hidden="1" customHeight="1" x14ac:dyDescent="0.15">
      <c r="B352" s="26">
        <f>'Jrnl Exp ~ Dép'!B284</f>
        <v>0</v>
      </c>
      <c r="C352" s="914">
        <f>'Jrnl Exp ~ Dép'!$D284</f>
        <v>0</v>
      </c>
      <c r="D352" s="912">
        <f>'Jrnl Exp ~ Dép'!$F284</f>
        <v>0</v>
      </c>
      <c r="E352" s="918">
        <f>'Jrnl Exp ~ Dép'!$G284</f>
        <v>0</v>
      </c>
      <c r="F352" s="919">
        <f>'Jrnl Exp ~ Dép'!$E284</f>
        <v>0</v>
      </c>
      <c r="G352" s="920" t="str">
        <f>LEFT('Jrnl Exp ~ Dép'!$H284,4)</f>
        <v/>
      </c>
      <c r="H352" s="923"/>
      <c r="I352" s="895"/>
      <c r="J352" s="895"/>
      <c r="K352" s="895"/>
      <c r="L352" s="898"/>
      <c r="M352" s="875" t="str">
        <f t="shared" si="13"/>
        <v>0</v>
      </c>
      <c r="N352" s="26" t="str">
        <f t="shared" si="12"/>
        <v>3</v>
      </c>
      <c r="O352" s="26" t="str">
        <f t="shared" si="14"/>
        <v>0</v>
      </c>
    </row>
    <row r="353" spans="2:15" ht="23.75" hidden="1" customHeight="1" x14ac:dyDescent="0.15">
      <c r="B353" s="26">
        <f>'Jrnl Exp ~ Dép'!B285</f>
        <v>0</v>
      </c>
      <c r="C353" s="914">
        <f>'Jrnl Exp ~ Dép'!$D285</f>
        <v>0</v>
      </c>
      <c r="D353" s="912">
        <f>'Jrnl Exp ~ Dép'!$F285</f>
        <v>0</v>
      </c>
      <c r="E353" s="918">
        <f>'Jrnl Exp ~ Dép'!$G285</f>
        <v>0</v>
      </c>
      <c r="F353" s="919">
        <f>'Jrnl Exp ~ Dép'!$E285</f>
        <v>0</v>
      </c>
      <c r="G353" s="920" t="str">
        <f>LEFT('Jrnl Exp ~ Dép'!$H285,4)</f>
        <v/>
      </c>
      <c r="H353" s="923"/>
      <c r="I353" s="895"/>
      <c r="J353" s="895"/>
      <c r="K353" s="895"/>
      <c r="L353" s="898"/>
      <c r="M353" s="875" t="str">
        <f t="shared" si="13"/>
        <v>0</v>
      </c>
      <c r="N353" s="26" t="str">
        <f t="shared" si="12"/>
        <v>3</v>
      </c>
      <c r="O353" s="26" t="str">
        <f t="shared" si="14"/>
        <v>0</v>
      </c>
    </row>
    <row r="354" spans="2:15" ht="23.75" hidden="1" customHeight="1" x14ac:dyDescent="0.15">
      <c r="B354" s="26">
        <f>'Jrnl Exp ~ Dép'!B286</f>
        <v>0</v>
      </c>
      <c r="C354" s="914">
        <f>'Jrnl Exp ~ Dép'!$D286</f>
        <v>0</v>
      </c>
      <c r="D354" s="912">
        <f>'Jrnl Exp ~ Dép'!$F286</f>
        <v>0</v>
      </c>
      <c r="E354" s="918">
        <f>'Jrnl Exp ~ Dép'!$G286</f>
        <v>0</v>
      </c>
      <c r="F354" s="919">
        <f>'Jrnl Exp ~ Dép'!$E286</f>
        <v>0</v>
      </c>
      <c r="G354" s="920" t="str">
        <f>LEFT('Jrnl Exp ~ Dép'!$H286,4)</f>
        <v/>
      </c>
      <c r="H354" s="923"/>
      <c r="I354" s="895"/>
      <c r="J354" s="895"/>
      <c r="K354" s="895"/>
      <c r="L354" s="898"/>
      <c r="M354" s="875" t="str">
        <f t="shared" si="13"/>
        <v>0</v>
      </c>
      <c r="N354" s="26" t="str">
        <f t="shared" si="12"/>
        <v>3</v>
      </c>
      <c r="O354" s="26" t="str">
        <f t="shared" si="14"/>
        <v>0</v>
      </c>
    </row>
    <row r="355" spans="2:15" ht="23.75" hidden="1" customHeight="1" x14ac:dyDescent="0.15">
      <c r="B355" s="26">
        <f>'Jrnl Exp ~ Dép'!B287</f>
        <v>0</v>
      </c>
      <c r="C355" s="914">
        <f>'Jrnl Exp ~ Dép'!$D287</f>
        <v>0</v>
      </c>
      <c r="D355" s="912">
        <f>'Jrnl Exp ~ Dép'!$F287</f>
        <v>0</v>
      </c>
      <c r="E355" s="918">
        <f>'Jrnl Exp ~ Dép'!$G287</f>
        <v>0</v>
      </c>
      <c r="F355" s="919">
        <f>'Jrnl Exp ~ Dép'!$E287</f>
        <v>0</v>
      </c>
      <c r="G355" s="920" t="str">
        <f>LEFT('Jrnl Exp ~ Dép'!$H287,4)</f>
        <v/>
      </c>
      <c r="H355" s="923"/>
      <c r="I355" s="895"/>
      <c r="J355" s="895"/>
      <c r="K355" s="895"/>
      <c r="L355" s="898"/>
      <c r="M355" s="875" t="str">
        <f t="shared" si="13"/>
        <v>0</v>
      </c>
      <c r="N355" s="26" t="str">
        <f t="shared" si="12"/>
        <v>3</v>
      </c>
      <c r="O355" s="26" t="str">
        <f t="shared" si="14"/>
        <v>0</v>
      </c>
    </row>
    <row r="356" spans="2:15" ht="23.75" hidden="1" customHeight="1" x14ac:dyDescent="0.15">
      <c r="B356" s="26">
        <f>'Jrnl Exp ~ Dép'!B288</f>
        <v>0</v>
      </c>
      <c r="C356" s="914">
        <f>'Jrnl Exp ~ Dép'!$D288</f>
        <v>0</v>
      </c>
      <c r="D356" s="912">
        <f>'Jrnl Exp ~ Dép'!$F288</f>
        <v>0</v>
      </c>
      <c r="E356" s="918">
        <f>'Jrnl Exp ~ Dép'!$G288</f>
        <v>0</v>
      </c>
      <c r="F356" s="919">
        <f>'Jrnl Exp ~ Dép'!$E288</f>
        <v>0</v>
      </c>
      <c r="G356" s="920" t="str">
        <f>LEFT('Jrnl Exp ~ Dép'!$H288,4)</f>
        <v/>
      </c>
      <c r="H356" s="923"/>
      <c r="I356" s="895"/>
      <c r="J356" s="895"/>
      <c r="K356" s="895"/>
      <c r="L356" s="898"/>
      <c r="M356" s="875" t="str">
        <f t="shared" si="13"/>
        <v>0</v>
      </c>
      <c r="N356" s="26" t="str">
        <f t="shared" si="12"/>
        <v>3</v>
      </c>
      <c r="O356" s="26" t="str">
        <f t="shared" si="14"/>
        <v>0</v>
      </c>
    </row>
    <row r="357" spans="2:15" ht="23.75" hidden="1" customHeight="1" x14ac:dyDescent="0.15">
      <c r="B357" s="26">
        <f>'Jrnl Exp ~ Dép'!B289</f>
        <v>0</v>
      </c>
      <c r="C357" s="914">
        <f>'Jrnl Exp ~ Dép'!$D289</f>
        <v>0</v>
      </c>
      <c r="D357" s="912">
        <f>'Jrnl Exp ~ Dép'!$F289</f>
        <v>0</v>
      </c>
      <c r="E357" s="918">
        <f>'Jrnl Exp ~ Dép'!$G289</f>
        <v>0</v>
      </c>
      <c r="F357" s="919">
        <f>'Jrnl Exp ~ Dép'!$E289</f>
        <v>0</v>
      </c>
      <c r="G357" s="920" t="str">
        <f>LEFT('Jrnl Exp ~ Dép'!$H289,4)</f>
        <v/>
      </c>
      <c r="H357" s="923"/>
      <c r="I357" s="895"/>
      <c r="J357" s="895"/>
      <c r="K357" s="895"/>
      <c r="L357" s="898"/>
      <c r="M357" s="875" t="str">
        <f t="shared" si="13"/>
        <v>0</v>
      </c>
      <c r="N357" s="26" t="str">
        <f t="shared" si="12"/>
        <v>3</v>
      </c>
      <c r="O357" s="26" t="str">
        <f t="shared" si="14"/>
        <v>0</v>
      </c>
    </row>
    <row r="358" spans="2:15" ht="23.75" hidden="1" customHeight="1" x14ac:dyDescent="0.15">
      <c r="B358" s="26">
        <f>'Jrnl Exp ~ Dép'!B290</f>
        <v>0</v>
      </c>
      <c r="C358" s="914">
        <f>'Jrnl Exp ~ Dép'!$D290</f>
        <v>0</v>
      </c>
      <c r="D358" s="912">
        <f>'Jrnl Exp ~ Dép'!$F290</f>
        <v>0</v>
      </c>
      <c r="E358" s="918">
        <f>'Jrnl Exp ~ Dép'!$G290</f>
        <v>0</v>
      </c>
      <c r="F358" s="919">
        <f>'Jrnl Exp ~ Dép'!$E290</f>
        <v>0</v>
      </c>
      <c r="G358" s="920" t="str">
        <f>LEFT('Jrnl Exp ~ Dép'!$H290,4)</f>
        <v/>
      </c>
      <c r="H358" s="923"/>
      <c r="I358" s="895"/>
      <c r="J358" s="895"/>
      <c r="K358" s="895"/>
      <c r="L358" s="898"/>
      <c r="M358" s="875" t="str">
        <f t="shared" si="13"/>
        <v>0</v>
      </c>
      <c r="N358" s="26" t="str">
        <f t="shared" si="12"/>
        <v>3</v>
      </c>
      <c r="O358" s="26" t="str">
        <f t="shared" si="14"/>
        <v>0</v>
      </c>
    </row>
    <row r="359" spans="2:15" ht="23.75" hidden="1" customHeight="1" x14ac:dyDescent="0.15">
      <c r="B359" s="26">
        <f>'Jrnl Exp ~ Dép'!B291</f>
        <v>0</v>
      </c>
      <c r="C359" s="914">
        <f>'Jrnl Exp ~ Dép'!$D291</f>
        <v>0</v>
      </c>
      <c r="D359" s="912">
        <f>'Jrnl Exp ~ Dép'!$F291</f>
        <v>0</v>
      </c>
      <c r="E359" s="918">
        <f>'Jrnl Exp ~ Dép'!$G291</f>
        <v>0</v>
      </c>
      <c r="F359" s="919">
        <f>'Jrnl Exp ~ Dép'!$E291</f>
        <v>0</v>
      </c>
      <c r="G359" s="920" t="str">
        <f>LEFT('Jrnl Exp ~ Dép'!$H291,4)</f>
        <v/>
      </c>
      <c r="H359" s="923"/>
      <c r="I359" s="895"/>
      <c r="J359" s="895"/>
      <c r="K359" s="895"/>
      <c r="L359" s="898"/>
      <c r="M359" s="875" t="str">
        <f t="shared" si="13"/>
        <v>0</v>
      </c>
      <c r="N359" s="26" t="str">
        <f t="shared" si="12"/>
        <v>3</v>
      </c>
      <c r="O359" s="26" t="str">
        <f t="shared" si="14"/>
        <v>0</v>
      </c>
    </row>
    <row r="360" spans="2:15" ht="23.75" hidden="1" customHeight="1" x14ac:dyDescent="0.15">
      <c r="B360" s="26">
        <f>'Jrnl Exp ~ Dép'!B292</f>
        <v>0</v>
      </c>
      <c r="C360" s="914">
        <f>'Jrnl Exp ~ Dép'!$D292</f>
        <v>0</v>
      </c>
      <c r="D360" s="912">
        <f>'Jrnl Exp ~ Dép'!$F292</f>
        <v>0</v>
      </c>
      <c r="E360" s="918">
        <f>'Jrnl Exp ~ Dép'!$G292</f>
        <v>0</v>
      </c>
      <c r="F360" s="919">
        <f>'Jrnl Exp ~ Dép'!$E292</f>
        <v>0</v>
      </c>
      <c r="G360" s="920" t="str">
        <f>LEFT('Jrnl Exp ~ Dép'!$H292,4)</f>
        <v/>
      </c>
      <c r="H360" s="923"/>
      <c r="I360" s="895"/>
      <c r="J360" s="895"/>
      <c r="K360" s="895"/>
      <c r="L360" s="898"/>
      <c r="M360" s="875" t="str">
        <f t="shared" si="13"/>
        <v>0</v>
      </c>
      <c r="N360" s="26" t="str">
        <f t="shared" si="12"/>
        <v>3</v>
      </c>
      <c r="O360" s="26" t="str">
        <f t="shared" si="14"/>
        <v>0</v>
      </c>
    </row>
    <row r="361" spans="2:15" ht="23.75" hidden="1" customHeight="1" x14ac:dyDescent="0.15">
      <c r="B361" s="26">
        <f>'Jrnl Exp ~ Dép'!B293</f>
        <v>0</v>
      </c>
      <c r="C361" s="914">
        <f>'Jrnl Exp ~ Dép'!$D293</f>
        <v>0</v>
      </c>
      <c r="D361" s="912">
        <f>'Jrnl Exp ~ Dép'!$F293</f>
        <v>0</v>
      </c>
      <c r="E361" s="918">
        <f>'Jrnl Exp ~ Dép'!$G293</f>
        <v>0</v>
      </c>
      <c r="F361" s="919">
        <f>'Jrnl Exp ~ Dép'!$E293</f>
        <v>0</v>
      </c>
      <c r="G361" s="920" t="str">
        <f>LEFT('Jrnl Exp ~ Dép'!$H293,4)</f>
        <v/>
      </c>
      <c r="H361" s="923"/>
      <c r="I361" s="895"/>
      <c r="J361" s="895"/>
      <c r="K361" s="895"/>
      <c r="L361" s="898"/>
      <c r="M361" s="875" t="str">
        <f t="shared" si="13"/>
        <v>0</v>
      </c>
      <c r="N361" s="26" t="str">
        <f t="shared" si="12"/>
        <v>3</v>
      </c>
      <c r="O361" s="26" t="str">
        <f t="shared" si="14"/>
        <v>0</v>
      </c>
    </row>
    <row r="362" spans="2:15" ht="23.75" hidden="1" customHeight="1" x14ac:dyDescent="0.15">
      <c r="B362" s="26">
        <f>'Jrnl Exp ~ Dép'!B294</f>
        <v>0</v>
      </c>
      <c r="C362" s="914">
        <f>'Jrnl Exp ~ Dép'!$D294</f>
        <v>0</v>
      </c>
      <c r="D362" s="912">
        <f>'Jrnl Exp ~ Dép'!$F294</f>
        <v>0</v>
      </c>
      <c r="E362" s="918">
        <f>'Jrnl Exp ~ Dép'!$G294</f>
        <v>0</v>
      </c>
      <c r="F362" s="919">
        <f>'Jrnl Exp ~ Dép'!$E294</f>
        <v>0</v>
      </c>
      <c r="G362" s="920" t="str">
        <f>LEFT('Jrnl Exp ~ Dép'!$H294,4)</f>
        <v/>
      </c>
      <c r="H362" s="923"/>
      <c r="I362" s="895"/>
      <c r="J362" s="895"/>
      <c r="K362" s="895"/>
      <c r="L362" s="898"/>
      <c r="M362" s="875" t="str">
        <f t="shared" si="13"/>
        <v>0</v>
      </c>
      <c r="N362" s="26" t="str">
        <f t="shared" si="12"/>
        <v>3</v>
      </c>
      <c r="O362" s="26" t="str">
        <f t="shared" si="14"/>
        <v>0</v>
      </c>
    </row>
    <row r="363" spans="2:15" ht="23.75" hidden="1" customHeight="1" x14ac:dyDescent="0.15">
      <c r="B363" s="26">
        <f>'Jrnl Exp ~ Dép'!B295</f>
        <v>0</v>
      </c>
      <c r="C363" s="914">
        <f>'Jrnl Exp ~ Dép'!$D295</f>
        <v>0</v>
      </c>
      <c r="D363" s="912">
        <f>'Jrnl Exp ~ Dép'!$F295</f>
        <v>0</v>
      </c>
      <c r="E363" s="918">
        <f>'Jrnl Exp ~ Dép'!$G295</f>
        <v>0</v>
      </c>
      <c r="F363" s="919">
        <f>'Jrnl Exp ~ Dép'!$E295</f>
        <v>0</v>
      </c>
      <c r="G363" s="920" t="str">
        <f>LEFT('Jrnl Exp ~ Dép'!$H295,4)</f>
        <v/>
      </c>
      <c r="H363" s="923"/>
      <c r="I363" s="895"/>
      <c r="J363" s="895"/>
      <c r="K363" s="895"/>
      <c r="L363" s="898"/>
      <c r="M363" s="875" t="str">
        <f t="shared" si="13"/>
        <v>0</v>
      </c>
      <c r="N363" s="26" t="str">
        <f t="shared" si="12"/>
        <v>3</v>
      </c>
      <c r="O363" s="26" t="str">
        <f t="shared" si="14"/>
        <v>0</v>
      </c>
    </row>
    <row r="364" spans="2:15" ht="23.75" hidden="1" customHeight="1" x14ac:dyDescent="0.15">
      <c r="B364" s="26">
        <f>'Jrnl Exp ~ Dép'!B296</f>
        <v>0</v>
      </c>
      <c r="C364" s="914">
        <f>'Jrnl Exp ~ Dép'!$D296</f>
        <v>0</v>
      </c>
      <c r="D364" s="912">
        <f>'Jrnl Exp ~ Dép'!$F296</f>
        <v>0</v>
      </c>
      <c r="E364" s="918">
        <f>'Jrnl Exp ~ Dép'!$G296</f>
        <v>0</v>
      </c>
      <c r="F364" s="919">
        <f>'Jrnl Exp ~ Dép'!$E296</f>
        <v>0</v>
      </c>
      <c r="G364" s="920" t="str">
        <f>LEFT('Jrnl Exp ~ Dép'!$H296,4)</f>
        <v/>
      </c>
      <c r="H364" s="923"/>
      <c r="I364" s="895"/>
      <c r="J364" s="895"/>
      <c r="K364" s="895"/>
      <c r="L364" s="898"/>
      <c r="M364" s="875" t="str">
        <f t="shared" si="13"/>
        <v>0</v>
      </c>
      <c r="N364" s="26" t="str">
        <f t="shared" si="12"/>
        <v>3</v>
      </c>
      <c r="O364" s="26" t="str">
        <f t="shared" si="14"/>
        <v>0</v>
      </c>
    </row>
    <row r="365" spans="2:15" ht="23.75" hidden="1" customHeight="1" x14ac:dyDescent="0.15">
      <c r="B365" s="26">
        <f>'Jrnl Exp ~ Dép'!B297</f>
        <v>0</v>
      </c>
      <c r="C365" s="914">
        <f>'Jrnl Exp ~ Dép'!$D297</f>
        <v>0</v>
      </c>
      <c r="D365" s="912">
        <f>'Jrnl Exp ~ Dép'!$F297</f>
        <v>0</v>
      </c>
      <c r="E365" s="918">
        <f>'Jrnl Exp ~ Dép'!$G297</f>
        <v>0</v>
      </c>
      <c r="F365" s="919">
        <f>'Jrnl Exp ~ Dép'!$E297</f>
        <v>0</v>
      </c>
      <c r="G365" s="920" t="str">
        <f>LEFT('Jrnl Exp ~ Dép'!$H297,4)</f>
        <v/>
      </c>
      <c r="H365" s="923"/>
      <c r="I365" s="895"/>
      <c r="J365" s="895"/>
      <c r="K365" s="895"/>
      <c r="L365" s="898"/>
      <c r="M365" s="875" t="str">
        <f t="shared" si="13"/>
        <v>0</v>
      </c>
      <c r="N365" s="26" t="str">
        <f t="shared" si="12"/>
        <v>3</v>
      </c>
      <c r="O365" s="26" t="str">
        <f t="shared" si="14"/>
        <v>0</v>
      </c>
    </row>
    <row r="366" spans="2:15" ht="23.75" hidden="1" customHeight="1" x14ac:dyDescent="0.15">
      <c r="B366" s="26">
        <f>'Jrnl Exp ~ Dép'!B298</f>
        <v>0</v>
      </c>
      <c r="C366" s="914">
        <f>'Jrnl Exp ~ Dép'!$D298</f>
        <v>0</v>
      </c>
      <c r="D366" s="912">
        <f>'Jrnl Exp ~ Dép'!$F298</f>
        <v>0</v>
      </c>
      <c r="E366" s="918">
        <f>'Jrnl Exp ~ Dép'!$G298</f>
        <v>0</v>
      </c>
      <c r="F366" s="919">
        <f>'Jrnl Exp ~ Dép'!$E298</f>
        <v>0</v>
      </c>
      <c r="G366" s="920" t="str">
        <f>LEFT('Jrnl Exp ~ Dép'!$H298,4)</f>
        <v/>
      </c>
      <c r="H366" s="923"/>
      <c r="I366" s="895"/>
      <c r="J366" s="895"/>
      <c r="K366" s="895"/>
      <c r="L366" s="898"/>
      <c r="M366" s="875" t="str">
        <f t="shared" si="13"/>
        <v>0</v>
      </c>
      <c r="N366" s="26" t="str">
        <f t="shared" si="12"/>
        <v>3</v>
      </c>
      <c r="O366" s="26" t="str">
        <f t="shared" si="14"/>
        <v>0</v>
      </c>
    </row>
    <row r="367" spans="2:15" ht="23.75" hidden="1" customHeight="1" x14ac:dyDescent="0.15">
      <c r="B367" s="26">
        <f>'Jrnl Exp ~ Dép'!B299</f>
        <v>0</v>
      </c>
      <c r="C367" s="914">
        <f>'Jrnl Exp ~ Dép'!$D299</f>
        <v>0</v>
      </c>
      <c r="D367" s="912">
        <f>'Jrnl Exp ~ Dép'!$F299</f>
        <v>0</v>
      </c>
      <c r="E367" s="918">
        <f>'Jrnl Exp ~ Dép'!$G299</f>
        <v>0</v>
      </c>
      <c r="F367" s="919">
        <f>'Jrnl Exp ~ Dép'!$E299</f>
        <v>0</v>
      </c>
      <c r="G367" s="920" t="str">
        <f>LEFT('Jrnl Exp ~ Dép'!$H299,4)</f>
        <v/>
      </c>
      <c r="H367" s="923"/>
      <c r="I367" s="895"/>
      <c r="J367" s="895"/>
      <c r="K367" s="895"/>
      <c r="L367" s="898"/>
      <c r="M367" s="875" t="str">
        <f t="shared" si="13"/>
        <v>0</v>
      </c>
      <c r="N367" s="26" t="str">
        <f t="shared" si="12"/>
        <v>3</v>
      </c>
      <c r="O367" s="26" t="str">
        <f t="shared" si="14"/>
        <v>0</v>
      </c>
    </row>
    <row r="368" spans="2:15" ht="23.75" hidden="1" customHeight="1" x14ac:dyDescent="0.15">
      <c r="B368" s="26">
        <f>'Jrnl Exp ~ Dép'!B300</f>
        <v>0</v>
      </c>
      <c r="C368" s="914">
        <f>'Jrnl Exp ~ Dép'!$D300</f>
        <v>0</v>
      </c>
      <c r="D368" s="912">
        <f>'Jrnl Exp ~ Dép'!$F300</f>
        <v>0</v>
      </c>
      <c r="E368" s="918">
        <f>'Jrnl Exp ~ Dép'!$G300</f>
        <v>0</v>
      </c>
      <c r="F368" s="919">
        <f>'Jrnl Exp ~ Dép'!$E300</f>
        <v>0</v>
      </c>
      <c r="G368" s="920" t="str">
        <f>LEFT('Jrnl Exp ~ Dép'!$H300,4)</f>
        <v/>
      </c>
      <c r="H368" s="923"/>
      <c r="I368" s="895"/>
      <c r="J368" s="895"/>
      <c r="K368" s="895"/>
      <c r="L368" s="898"/>
      <c r="M368" s="875" t="str">
        <f t="shared" si="13"/>
        <v>0</v>
      </c>
      <c r="N368" s="26" t="str">
        <f t="shared" si="12"/>
        <v>3</v>
      </c>
      <c r="O368" s="26" t="str">
        <f t="shared" si="14"/>
        <v>0</v>
      </c>
    </row>
    <row r="369" spans="2:15" ht="23.75" hidden="1" customHeight="1" x14ac:dyDescent="0.15">
      <c r="B369" s="26">
        <f>'Jrnl Exp ~ Dép'!B301</f>
        <v>0</v>
      </c>
      <c r="C369" s="914">
        <f>'Jrnl Exp ~ Dép'!$D301</f>
        <v>0</v>
      </c>
      <c r="D369" s="912">
        <f>'Jrnl Exp ~ Dép'!$F301</f>
        <v>0</v>
      </c>
      <c r="E369" s="918">
        <f>'Jrnl Exp ~ Dép'!$G301</f>
        <v>0</v>
      </c>
      <c r="F369" s="919">
        <f>'Jrnl Exp ~ Dép'!$E301</f>
        <v>0</v>
      </c>
      <c r="G369" s="920" t="str">
        <f>LEFT('Jrnl Exp ~ Dép'!$H301,4)</f>
        <v/>
      </c>
      <c r="H369" s="923"/>
      <c r="I369" s="895"/>
      <c r="J369" s="895"/>
      <c r="K369" s="895"/>
      <c r="L369" s="898"/>
      <c r="M369" s="875" t="str">
        <f t="shared" si="13"/>
        <v>0</v>
      </c>
      <c r="N369" s="26" t="str">
        <f t="shared" si="12"/>
        <v>3</v>
      </c>
      <c r="O369" s="26" t="str">
        <f t="shared" si="14"/>
        <v>0</v>
      </c>
    </row>
    <row r="370" spans="2:15" ht="23.75" hidden="1" customHeight="1" x14ac:dyDescent="0.15">
      <c r="B370" s="26">
        <f>'Jrnl Exp ~ Dép'!B302</f>
        <v>0</v>
      </c>
      <c r="C370" s="914">
        <f>'Jrnl Exp ~ Dép'!$D302</f>
        <v>0</v>
      </c>
      <c r="D370" s="912">
        <f>'Jrnl Exp ~ Dép'!$F302</f>
        <v>0</v>
      </c>
      <c r="E370" s="918">
        <f>'Jrnl Exp ~ Dép'!$G302</f>
        <v>0</v>
      </c>
      <c r="F370" s="919">
        <f>'Jrnl Exp ~ Dép'!$E302</f>
        <v>0</v>
      </c>
      <c r="G370" s="920" t="str">
        <f>LEFT('Jrnl Exp ~ Dép'!$H302,4)</f>
        <v/>
      </c>
      <c r="H370" s="923"/>
      <c r="I370" s="895"/>
      <c r="J370" s="895"/>
      <c r="K370" s="895"/>
      <c r="L370" s="898"/>
      <c r="M370" s="875" t="str">
        <f t="shared" si="13"/>
        <v>0</v>
      </c>
      <c r="N370" s="26" t="str">
        <f t="shared" si="12"/>
        <v>3</v>
      </c>
      <c r="O370" s="26" t="str">
        <f t="shared" si="14"/>
        <v>0</v>
      </c>
    </row>
    <row r="371" spans="2:15" ht="23.75" hidden="1" customHeight="1" x14ac:dyDescent="0.15">
      <c r="B371" s="26">
        <f>'Jrnl Exp ~ Dép'!B303</f>
        <v>0</v>
      </c>
      <c r="C371" s="914">
        <f>'Jrnl Exp ~ Dép'!$D303</f>
        <v>0</v>
      </c>
      <c r="D371" s="912">
        <f>'Jrnl Exp ~ Dép'!$F303</f>
        <v>0</v>
      </c>
      <c r="E371" s="918">
        <f>'Jrnl Exp ~ Dép'!$G303</f>
        <v>0</v>
      </c>
      <c r="F371" s="919">
        <f>'Jrnl Exp ~ Dép'!$E303</f>
        <v>0</v>
      </c>
      <c r="G371" s="920" t="str">
        <f>LEFT('Jrnl Exp ~ Dép'!$H303,4)</f>
        <v/>
      </c>
      <c r="H371" s="923"/>
      <c r="I371" s="895"/>
      <c r="J371" s="895"/>
      <c r="K371" s="895"/>
      <c r="L371" s="898"/>
      <c r="M371" s="875" t="str">
        <f t="shared" si="13"/>
        <v>0</v>
      </c>
      <c r="N371" s="26" t="str">
        <f t="shared" si="12"/>
        <v>3</v>
      </c>
      <c r="O371" s="26" t="str">
        <f t="shared" si="14"/>
        <v>0</v>
      </c>
    </row>
    <row r="372" spans="2:15" ht="23.75" hidden="1" customHeight="1" x14ac:dyDescent="0.15">
      <c r="B372" s="26">
        <f>'Jrnl Exp ~ Dép'!B304</f>
        <v>0</v>
      </c>
      <c r="C372" s="914">
        <f>'Jrnl Exp ~ Dép'!$D304</f>
        <v>0</v>
      </c>
      <c r="D372" s="912">
        <f>'Jrnl Exp ~ Dép'!$F304</f>
        <v>0</v>
      </c>
      <c r="E372" s="918">
        <f>'Jrnl Exp ~ Dép'!$G304</f>
        <v>0</v>
      </c>
      <c r="F372" s="919">
        <f>'Jrnl Exp ~ Dép'!$E304</f>
        <v>0</v>
      </c>
      <c r="G372" s="920" t="str">
        <f>LEFT('Jrnl Exp ~ Dép'!$H304,4)</f>
        <v/>
      </c>
      <c r="H372" s="923"/>
      <c r="I372" s="895"/>
      <c r="J372" s="895"/>
      <c r="K372" s="895"/>
      <c r="L372" s="898"/>
      <c r="M372" s="875" t="str">
        <f t="shared" si="13"/>
        <v>0</v>
      </c>
      <c r="N372" s="26" t="str">
        <f t="shared" si="12"/>
        <v>3</v>
      </c>
      <c r="O372" s="26" t="str">
        <f t="shared" si="14"/>
        <v>0</v>
      </c>
    </row>
    <row r="373" spans="2:15" ht="23.75" hidden="1" customHeight="1" x14ac:dyDescent="0.15">
      <c r="B373" s="26">
        <f>'Jrnl Exp ~ Dép'!B305</f>
        <v>0</v>
      </c>
      <c r="C373" s="914">
        <f>'Jrnl Exp ~ Dép'!$D305</f>
        <v>0</v>
      </c>
      <c r="D373" s="912">
        <f>'Jrnl Exp ~ Dép'!$F305</f>
        <v>0</v>
      </c>
      <c r="E373" s="918">
        <f>'Jrnl Exp ~ Dép'!$G305</f>
        <v>0</v>
      </c>
      <c r="F373" s="919">
        <f>'Jrnl Exp ~ Dép'!$E305</f>
        <v>0</v>
      </c>
      <c r="G373" s="920" t="str">
        <f>LEFT('Jrnl Exp ~ Dép'!$H305,4)</f>
        <v/>
      </c>
      <c r="H373" s="923"/>
      <c r="I373" s="895"/>
      <c r="J373" s="895"/>
      <c r="K373" s="895"/>
      <c r="L373" s="898"/>
      <c r="M373" s="875" t="str">
        <f t="shared" si="13"/>
        <v>0</v>
      </c>
      <c r="N373" s="26" t="str">
        <f t="shared" si="12"/>
        <v>3</v>
      </c>
      <c r="O373" s="26" t="str">
        <f t="shared" si="14"/>
        <v>0</v>
      </c>
    </row>
    <row r="374" spans="2:15" ht="23.75" hidden="1" customHeight="1" x14ac:dyDescent="0.15">
      <c r="B374" s="26">
        <f>'Jrnl Exp ~ Dép'!B306</f>
        <v>0</v>
      </c>
      <c r="C374" s="914">
        <f>'Jrnl Exp ~ Dép'!$D306</f>
        <v>0</v>
      </c>
      <c r="D374" s="912">
        <f>'Jrnl Exp ~ Dép'!$F306</f>
        <v>0</v>
      </c>
      <c r="E374" s="918">
        <f>'Jrnl Exp ~ Dép'!$G306</f>
        <v>0</v>
      </c>
      <c r="F374" s="919">
        <f>'Jrnl Exp ~ Dép'!$E306</f>
        <v>0</v>
      </c>
      <c r="G374" s="920" t="str">
        <f>LEFT('Jrnl Exp ~ Dép'!$H306,4)</f>
        <v/>
      </c>
      <c r="H374" s="923"/>
      <c r="I374" s="895"/>
      <c r="J374" s="895"/>
      <c r="K374" s="895"/>
      <c r="L374" s="898"/>
      <c r="M374" s="875" t="str">
        <f t="shared" si="13"/>
        <v>0</v>
      </c>
      <c r="N374" s="26" t="str">
        <f t="shared" si="12"/>
        <v>3</v>
      </c>
      <c r="O374" s="26" t="str">
        <f t="shared" si="14"/>
        <v>0</v>
      </c>
    </row>
    <row r="375" spans="2:15" ht="23.75" hidden="1" customHeight="1" x14ac:dyDescent="0.15">
      <c r="B375" s="26">
        <f>'Jrnl Exp ~ Dép'!B307</f>
        <v>0</v>
      </c>
      <c r="C375" s="914">
        <f>'Jrnl Exp ~ Dép'!$D307</f>
        <v>0</v>
      </c>
      <c r="D375" s="912">
        <f>'Jrnl Exp ~ Dép'!$F307</f>
        <v>0</v>
      </c>
      <c r="E375" s="918">
        <f>'Jrnl Exp ~ Dép'!$G307</f>
        <v>0</v>
      </c>
      <c r="F375" s="919">
        <f>'Jrnl Exp ~ Dép'!$E307</f>
        <v>0</v>
      </c>
      <c r="G375" s="920" t="str">
        <f>LEFT('Jrnl Exp ~ Dép'!$H307,4)</f>
        <v/>
      </c>
      <c r="H375" s="923"/>
      <c r="I375" s="895"/>
      <c r="J375" s="895"/>
      <c r="K375" s="895"/>
      <c r="L375" s="898"/>
      <c r="M375" s="875" t="str">
        <f t="shared" si="13"/>
        <v>0</v>
      </c>
      <c r="N375" s="26" t="str">
        <f t="shared" si="12"/>
        <v>3</v>
      </c>
      <c r="O375" s="26" t="str">
        <f t="shared" si="14"/>
        <v>0</v>
      </c>
    </row>
    <row r="376" spans="2:15" ht="23.75" hidden="1" customHeight="1" x14ac:dyDescent="0.15">
      <c r="B376" s="26">
        <f>'Jrnl Exp ~ Dép'!B308</f>
        <v>0</v>
      </c>
      <c r="C376" s="914">
        <f>'Jrnl Exp ~ Dép'!$D308</f>
        <v>0</v>
      </c>
      <c r="D376" s="912">
        <f>'Jrnl Exp ~ Dép'!$F308</f>
        <v>0</v>
      </c>
      <c r="E376" s="918">
        <f>'Jrnl Exp ~ Dép'!$G308</f>
        <v>0</v>
      </c>
      <c r="F376" s="919">
        <f>'Jrnl Exp ~ Dép'!$E308</f>
        <v>0</v>
      </c>
      <c r="G376" s="920" t="str">
        <f>LEFT('Jrnl Exp ~ Dép'!$H308,4)</f>
        <v/>
      </c>
      <c r="H376" s="923"/>
      <c r="I376" s="895"/>
      <c r="J376" s="895"/>
      <c r="K376" s="895"/>
      <c r="L376" s="898"/>
      <c r="M376" s="875" t="str">
        <f t="shared" si="13"/>
        <v>0</v>
      </c>
      <c r="N376" s="26" t="str">
        <f t="shared" si="12"/>
        <v>3</v>
      </c>
      <c r="O376" s="26" t="str">
        <f t="shared" si="14"/>
        <v>0</v>
      </c>
    </row>
    <row r="377" spans="2:15" ht="23.75" hidden="1" customHeight="1" x14ac:dyDescent="0.15">
      <c r="B377" s="26">
        <f>'Jrnl Exp ~ Dép'!B309</f>
        <v>0</v>
      </c>
      <c r="C377" s="914">
        <f>'Jrnl Exp ~ Dép'!$D309</f>
        <v>0</v>
      </c>
      <c r="D377" s="912">
        <f>'Jrnl Exp ~ Dép'!$F309</f>
        <v>0</v>
      </c>
      <c r="E377" s="918">
        <f>'Jrnl Exp ~ Dép'!$G309</f>
        <v>0</v>
      </c>
      <c r="F377" s="919">
        <f>'Jrnl Exp ~ Dép'!$E309</f>
        <v>0</v>
      </c>
      <c r="G377" s="920" t="str">
        <f>LEFT('Jrnl Exp ~ Dép'!$H309,4)</f>
        <v/>
      </c>
      <c r="H377" s="923"/>
      <c r="I377" s="895"/>
      <c r="J377" s="895"/>
      <c r="K377" s="895"/>
      <c r="L377" s="898"/>
      <c r="M377" s="875" t="str">
        <f t="shared" si="13"/>
        <v>0</v>
      </c>
      <c r="N377" s="26" t="str">
        <f t="shared" si="12"/>
        <v>3</v>
      </c>
      <c r="O377" s="26" t="str">
        <f t="shared" si="14"/>
        <v>0</v>
      </c>
    </row>
    <row r="378" spans="2:15" ht="23.75" hidden="1" customHeight="1" x14ac:dyDescent="0.15">
      <c r="B378" s="26">
        <f>'Jrnl Exp ~ Dép'!B310</f>
        <v>0</v>
      </c>
      <c r="C378" s="914">
        <f>'Jrnl Exp ~ Dép'!$D310</f>
        <v>0</v>
      </c>
      <c r="D378" s="912">
        <f>'Jrnl Exp ~ Dép'!$F310</f>
        <v>0</v>
      </c>
      <c r="E378" s="918">
        <f>'Jrnl Exp ~ Dép'!$G310</f>
        <v>0</v>
      </c>
      <c r="F378" s="919">
        <f>'Jrnl Exp ~ Dép'!$E310</f>
        <v>0</v>
      </c>
      <c r="G378" s="920" t="str">
        <f>LEFT('Jrnl Exp ~ Dép'!$H310,4)</f>
        <v/>
      </c>
      <c r="H378" s="923"/>
      <c r="I378" s="895"/>
      <c r="J378" s="895"/>
      <c r="K378" s="895"/>
      <c r="L378" s="898"/>
      <c r="M378" s="875" t="str">
        <f t="shared" si="13"/>
        <v>0</v>
      </c>
      <c r="N378" s="26" t="str">
        <f t="shared" si="12"/>
        <v>3</v>
      </c>
      <c r="O378" s="26" t="str">
        <f t="shared" si="14"/>
        <v>0</v>
      </c>
    </row>
    <row r="379" spans="2:15" ht="23.75" hidden="1" customHeight="1" x14ac:dyDescent="0.15">
      <c r="B379" s="26">
        <f>'Jrnl Exp ~ Dép'!B311</f>
        <v>0</v>
      </c>
      <c r="C379" s="914">
        <f>'Jrnl Exp ~ Dép'!$D311</f>
        <v>0</v>
      </c>
      <c r="D379" s="912">
        <f>'Jrnl Exp ~ Dép'!$F311</f>
        <v>0</v>
      </c>
      <c r="E379" s="918">
        <f>'Jrnl Exp ~ Dép'!$G311</f>
        <v>0</v>
      </c>
      <c r="F379" s="919">
        <f>'Jrnl Exp ~ Dép'!$E311</f>
        <v>0</v>
      </c>
      <c r="G379" s="920" t="str">
        <f>LEFT('Jrnl Exp ~ Dép'!$H311,4)</f>
        <v/>
      </c>
      <c r="H379" s="923"/>
      <c r="I379" s="895"/>
      <c r="J379" s="895"/>
      <c r="K379" s="895"/>
      <c r="L379" s="898"/>
      <c r="M379" s="875" t="str">
        <f t="shared" si="13"/>
        <v>0</v>
      </c>
      <c r="N379" s="26" t="str">
        <f t="shared" si="12"/>
        <v>3</v>
      </c>
      <c r="O379" s="26" t="str">
        <f t="shared" si="14"/>
        <v>0</v>
      </c>
    </row>
    <row r="380" spans="2:15" ht="23.75" hidden="1" customHeight="1" x14ac:dyDescent="0.15">
      <c r="B380" s="26">
        <f>'Jrnl Exp ~ Dép'!B312</f>
        <v>0</v>
      </c>
      <c r="C380" s="914">
        <f>'Jrnl Exp ~ Dép'!$D312</f>
        <v>0</v>
      </c>
      <c r="D380" s="912">
        <f>'Jrnl Exp ~ Dép'!$F312</f>
        <v>0</v>
      </c>
      <c r="E380" s="918">
        <f>'Jrnl Exp ~ Dép'!$G312</f>
        <v>0</v>
      </c>
      <c r="F380" s="919">
        <f>'Jrnl Exp ~ Dép'!$E312</f>
        <v>0</v>
      </c>
      <c r="G380" s="920" t="str">
        <f>LEFT('Jrnl Exp ~ Dép'!$H312,4)</f>
        <v/>
      </c>
      <c r="H380" s="923"/>
      <c r="I380" s="895"/>
      <c r="J380" s="895"/>
      <c r="K380" s="895"/>
      <c r="L380" s="898"/>
      <c r="M380" s="875" t="str">
        <f t="shared" si="13"/>
        <v>0</v>
      </c>
      <c r="N380" s="26" t="str">
        <f t="shared" si="12"/>
        <v>3</v>
      </c>
      <c r="O380" s="26" t="str">
        <f t="shared" si="14"/>
        <v>0</v>
      </c>
    </row>
    <row r="381" spans="2:15" ht="23.75" hidden="1" customHeight="1" x14ac:dyDescent="0.15">
      <c r="B381" s="26">
        <f>'Jrnl Exp ~ Dép'!B313</f>
        <v>0</v>
      </c>
      <c r="C381" s="914">
        <f>'Jrnl Exp ~ Dép'!$D313</f>
        <v>0</v>
      </c>
      <c r="D381" s="912">
        <f>'Jrnl Exp ~ Dép'!$F313</f>
        <v>0</v>
      </c>
      <c r="E381" s="918">
        <f>'Jrnl Exp ~ Dép'!$G313</f>
        <v>0</v>
      </c>
      <c r="F381" s="919">
        <f>'Jrnl Exp ~ Dép'!$E313</f>
        <v>0</v>
      </c>
      <c r="G381" s="920" t="str">
        <f>LEFT('Jrnl Exp ~ Dép'!$H313,4)</f>
        <v/>
      </c>
      <c r="H381" s="923"/>
      <c r="I381" s="895"/>
      <c r="J381" s="895"/>
      <c r="K381" s="895"/>
      <c r="L381" s="898"/>
      <c r="M381" s="875" t="str">
        <f t="shared" si="13"/>
        <v>0</v>
      </c>
      <c r="N381" s="26" t="str">
        <f t="shared" si="12"/>
        <v>3</v>
      </c>
      <c r="O381" s="26" t="str">
        <f t="shared" si="14"/>
        <v>0</v>
      </c>
    </row>
    <row r="382" spans="2:15" ht="23.75" hidden="1" customHeight="1" x14ac:dyDescent="0.15">
      <c r="B382" s="26">
        <f>'Jrnl Exp ~ Dép'!B314</f>
        <v>0</v>
      </c>
      <c r="C382" s="914">
        <f>'Jrnl Exp ~ Dép'!$D314</f>
        <v>0</v>
      </c>
      <c r="D382" s="912">
        <f>'Jrnl Exp ~ Dép'!$F314</f>
        <v>0</v>
      </c>
      <c r="E382" s="918">
        <f>'Jrnl Exp ~ Dép'!$G314</f>
        <v>0</v>
      </c>
      <c r="F382" s="919">
        <f>'Jrnl Exp ~ Dép'!$E314</f>
        <v>0</v>
      </c>
      <c r="G382" s="920" t="str">
        <f>LEFT('Jrnl Exp ~ Dép'!$H314,4)</f>
        <v/>
      </c>
      <c r="H382" s="923"/>
      <c r="I382" s="895"/>
      <c r="J382" s="895"/>
      <c r="K382" s="895"/>
      <c r="L382" s="898"/>
      <c r="M382" s="875" t="str">
        <f t="shared" si="13"/>
        <v>0</v>
      </c>
      <c r="N382" s="26" t="str">
        <f t="shared" si="12"/>
        <v>3</v>
      </c>
      <c r="O382" s="26" t="str">
        <f t="shared" si="14"/>
        <v>0</v>
      </c>
    </row>
    <row r="383" spans="2:15" ht="23.75" hidden="1" customHeight="1" x14ac:dyDescent="0.15">
      <c r="B383" s="26">
        <f>'Jrnl Exp ~ Dép'!B315</f>
        <v>0</v>
      </c>
      <c r="C383" s="914">
        <f>'Jrnl Exp ~ Dép'!$D315</f>
        <v>0</v>
      </c>
      <c r="D383" s="912">
        <f>'Jrnl Exp ~ Dép'!$F315</f>
        <v>0</v>
      </c>
      <c r="E383" s="918">
        <f>'Jrnl Exp ~ Dép'!$G315</f>
        <v>0</v>
      </c>
      <c r="F383" s="919">
        <f>'Jrnl Exp ~ Dép'!$E315</f>
        <v>0</v>
      </c>
      <c r="G383" s="920" t="str">
        <f>LEFT('Jrnl Exp ~ Dép'!$H315,4)</f>
        <v/>
      </c>
      <c r="H383" s="923"/>
      <c r="I383" s="895"/>
      <c r="J383" s="895"/>
      <c r="K383" s="895"/>
      <c r="L383" s="898"/>
      <c r="M383" s="875" t="str">
        <f t="shared" si="13"/>
        <v>0</v>
      </c>
      <c r="N383" s="26" t="str">
        <f t="shared" si="12"/>
        <v>3</v>
      </c>
      <c r="O383" s="26" t="str">
        <f t="shared" si="14"/>
        <v>0</v>
      </c>
    </row>
    <row r="384" spans="2:15" ht="23.75" hidden="1" customHeight="1" x14ac:dyDescent="0.15">
      <c r="B384" s="26">
        <f>'Jrnl Exp ~ Dép'!B316</f>
        <v>0</v>
      </c>
      <c r="C384" s="914">
        <f>'Jrnl Exp ~ Dép'!$D316</f>
        <v>0</v>
      </c>
      <c r="D384" s="912">
        <f>'Jrnl Exp ~ Dép'!$F316</f>
        <v>0</v>
      </c>
      <c r="E384" s="918">
        <f>'Jrnl Exp ~ Dép'!$G316</f>
        <v>0</v>
      </c>
      <c r="F384" s="919">
        <f>'Jrnl Exp ~ Dép'!$E316</f>
        <v>0</v>
      </c>
      <c r="G384" s="920" t="str">
        <f>LEFT('Jrnl Exp ~ Dép'!$H316,4)</f>
        <v/>
      </c>
      <c r="H384" s="923"/>
      <c r="I384" s="895"/>
      <c r="J384" s="895"/>
      <c r="K384" s="895"/>
      <c r="L384" s="898"/>
      <c r="M384" s="875" t="str">
        <f t="shared" si="13"/>
        <v>0</v>
      </c>
      <c r="N384" s="26" t="str">
        <f t="shared" si="12"/>
        <v>3</v>
      </c>
      <c r="O384" s="26" t="str">
        <f t="shared" si="14"/>
        <v>0</v>
      </c>
    </row>
    <row r="385" spans="2:15" ht="23.75" hidden="1" customHeight="1" x14ac:dyDescent="0.15">
      <c r="B385" s="26">
        <f>'Jrnl Exp ~ Dép'!B317</f>
        <v>0</v>
      </c>
      <c r="C385" s="914">
        <f>'Jrnl Exp ~ Dép'!$D317</f>
        <v>0</v>
      </c>
      <c r="D385" s="912">
        <f>'Jrnl Exp ~ Dép'!$F317</f>
        <v>0</v>
      </c>
      <c r="E385" s="918">
        <f>'Jrnl Exp ~ Dép'!$G317</f>
        <v>0</v>
      </c>
      <c r="F385" s="919">
        <f>'Jrnl Exp ~ Dép'!$E317</f>
        <v>0</v>
      </c>
      <c r="G385" s="920" t="str">
        <f>LEFT('Jrnl Exp ~ Dép'!$H317,4)</f>
        <v/>
      </c>
      <c r="H385" s="923"/>
      <c r="I385" s="895"/>
      <c r="J385" s="895"/>
      <c r="K385" s="895"/>
      <c r="L385" s="898"/>
      <c r="M385" s="875" t="str">
        <f t="shared" si="13"/>
        <v>0</v>
      </c>
      <c r="N385" s="26" t="str">
        <f t="shared" si="12"/>
        <v>3</v>
      </c>
      <c r="O385" s="26" t="str">
        <f t="shared" si="14"/>
        <v>0</v>
      </c>
    </row>
    <row r="386" spans="2:15" ht="23.75" hidden="1" customHeight="1" x14ac:dyDescent="0.15">
      <c r="B386" s="26">
        <f>'Jrnl Exp ~ Dép'!B318</f>
        <v>0</v>
      </c>
      <c r="C386" s="914">
        <f>'Jrnl Exp ~ Dép'!$D318</f>
        <v>0</v>
      </c>
      <c r="D386" s="912">
        <f>'Jrnl Exp ~ Dép'!$F318</f>
        <v>0</v>
      </c>
      <c r="E386" s="918">
        <f>'Jrnl Exp ~ Dép'!$G318</f>
        <v>0</v>
      </c>
      <c r="F386" s="919">
        <f>'Jrnl Exp ~ Dép'!$E318</f>
        <v>0</v>
      </c>
      <c r="G386" s="920" t="str">
        <f>LEFT('Jrnl Exp ~ Dép'!$H318,4)</f>
        <v/>
      </c>
      <c r="H386" s="923"/>
      <c r="I386" s="895"/>
      <c r="J386" s="895"/>
      <c r="K386" s="895"/>
      <c r="L386" s="898"/>
      <c r="M386" s="875" t="str">
        <f t="shared" si="13"/>
        <v>0</v>
      </c>
      <c r="N386" s="26" t="str">
        <f t="shared" si="12"/>
        <v>3</v>
      </c>
      <c r="O386" s="26" t="str">
        <f t="shared" si="14"/>
        <v>0</v>
      </c>
    </row>
    <row r="387" spans="2:15" ht="23.75" hidden="1" customHeight="1" x14ac:dyDescent="0.15">
      <c r="B387" s="26">
        <f>'Jrnl Exp ~ Dép'!B319</f>
        <v>0</v>
      </c>
      <c r="C387" s="914">
        <f>'Jrnl Exp ~ Dép'!$D319</f>
        <v>0</v>
      </c>
      <c r="D387" s="912">
        <f>'Jrnl Exp ~ Dép'!$F319</f>
        <v>0</v>
      </c>
      <c r="E387" s="918">
        <f>'Jrnl Exp ~ Dép'!$G319</f>
        <v>0</v>
      </c>
      <c r="F387" s="919">
        <f>'Jrnl Exp ~ Dép'!$E319</f>
        <v>0</v>
      </c>
      <c r="G387" s="920" t="str">
        <f>LEFT('Jrnl Exp ~ Dép'!$H319,4)</f>
        <v/>
      </c>
      <c r="H387" s="923"/>
      <c r="I387" s="895"/>
      <c r="J387" s="895"/>
      <c r="K387" s="895"/>
      <c r="L387" s="898"/>
      <c r="M387" s="875" t="str">
        <f t="shared" si="13"/>
        <v>0</v>
      </c>
      <c r="N387" s="26" t="str">
        <f t="shared" si="12"/>
        <v>3</v>
      </c>
      <c r="O387" s="26" t="str">
        <f t="shared" si="14"/>
        <v>0</v>
      </c>
    </row>
    <row r="388" spans="2:15" ht="23.75" hidden="1" customHeight="1" x14ac:dyDescent="0.15">
      <c r="B388" s="26">
        <f>'Jrnl Exp ~ Dép'!B320</f>
        <v>0</v>
      </c>
      <c r="C388" s="914">
        <f>'Jrnl Exp ~ Dép'!$D320</f>
        <v>0</v>
      </c>
      <c r="D388" s="912">
        <f>'Jrnl Exp ~ Dép'!$F320</f>
        <v>0</v>
      </c>
      <c r="E388" s="918">
        <f>'Jrnl Exp ~ Dép'!$G320</f>
        <v>0</v>
      </c>
      <c r="F388" s="919">
        <f>'Jrnl Exp ~ Dép'!$E320</f>
        <v>0</v>
      </c>
      <c r="G388" s="920" t="str">
        <f>LEFT('Jrnl Exp ~ Dép'!$H320,4)</f>
        <v/>
      </c>
      <c r="H388" s="923"/>
      <c r="I388" s="895"/>
      <c r="J388" s="895"/>
      <c r="K388" s="895"/>
      <c r="L388" s="898"/>
      <c r="M388" s="875" t="str">
        <f t="shared" si="13"/>
        <v>0</v>
      </c>
      <c r="N388" s="26" t="str">
        <f t="shared" si="12"/>
        <v>3</v>
      </c>
      <c r="O388" s="26" t="str">
        <f t="shared" si="14"/>
        <v>0</v>
      </c>
    </row>
    <row r="389" spans="2:15" ht="23.75" hidden="1" customHeight="1" x14ac:dyDescent="0.15">
      <c r="B389" s="26">
        <f>'Jrnl Exp ~ Dép'!B321</f>
        <v>0</v>
      </c>
      <c r="C389" s="914">
        <f>'Jrnl Exp ~ Dép'!$D321</f>
        <v>0</v>
      </c>
      <c r="D389" s="912">
        <f>'Jrnl Exp ~ Dép'!$F321</f>
        <v>0</v>
      </c>
      <c r="E389" s="918">
        <f>'Jrnl Exp ~ Dép'!$G321</f>
        <v>0</v>
      </c>
      <c r="F389" s="919">
        <f>'Jrnl Exp ~ Dép'!$E321</f>
        <v>0</v>
      </c>
      <c r="G389" s="920" t="str">
        <f>LEFT('Jrnl Exp ~ Dép'!$H321,4)</f>
        <v/>
      </c>
      <c r="H389" s="923"/>
      <c r="I389" s="895"/>
      <c r="J389" s="895"/>
      <c r="K389" s="895"/>
      <c r="L389" s="898"/>
      <c r="M389" s="875" t="str">
        <f t="shared" si="13"/>
        <v>0</v>
      </c>
      <c r="N389" s="26" t="str">
        <f t="shared" si="12"/>
        <v>3</v>
      </c>
      <c r="O389" s="26" t="str">
        <f t="shared" si="14"/>
        <v>0</v>
      </c>
    </row>
    <row r="390" spans="2:15" ht="23.75" hidden="1" customHeight="1" x14ac:dyDescent="0.15">
      <c r="B390" s="26">
        <f>'Jrnl Exp ~ Dép'!B322</f>
        <v>0</v>
      </c>
      <c r="C390" s="914">
        <f>'Jrnl Exp ~ Dép'!$D322</f>
        <v>0</v>
      </c>
      <c r="D390" s="912">
        <f>'Jrnl Exp ~ Dép'!$F322</f>
        <v>0</v>
      </c>
      <c r="E390" s="918">
        <f>'Jrnl Exp ~ Dép'!$G322</f>
        <v>0</v>
      </c>
      <c r="F390" s="919">
        <f>'Jrnl Exp ~ Dép'!$E322</f>
        <v>0</v>
      </c>
      <c r="G390" s="920" t="str">
        <f>LEFT('Jrnl Exp ~ Dép'!$H322,4)</f>
        <v/>
      </c>
      <c r="H390" s="923"/>
      <c r="I390" s="895"/>
      <c r="J390" s="895"/>
      <c r="K390" s="895"/>
      <c r="L390" s="898"/>
      <c r="M390" s="875" t="str">
        <f t="shared" si="13"/>
        <v>0</v>
      </c>
      <c r="N390" s="26" t="str">
        <f t="shared" si="12"/>
        <v>3</v>
      </c>
      <c r="O390" s="26" t="str">
        <f t="shared" si="14"/>
        <v>0</v>
      </c>
    </row>
    <row r="391" spans="2:15" ht="23.75" hidden="1" customHeight="1" x14ac:dyDescent="0.15">
      <c r="B391" s="26">
        <f>'Jrnl Exp ~ Dép'!B323</f>
        <v>0</v>
      </c>
      <c r="C391" s="914">
        <f>'Jrnl Exp ~ Dép'!$D323</f>
        <v>0</v>
      </c>
      <c r="D391" s="912">
        <f>'Jrnl Exp ~ Dép'!$F323</f>
        <v>0</v>
      </c>
      <c r="E391" s="918">
        <f>'Jrnl Exp ~ Dép'!$G323</f>
        <v>0</v>
      </c>
      <c r="F391" s="919">
        <f>'Jrnl Exp ~ Dép'!$E323</f>
        <v>0</v>
      </c>
      <c r="G391" s="920" t="str">
        <f>LEFT('Jrnl Exp ~ Dép'!$H323,4)</f>
        <v/>
      </c>
      <c r="H391" s="923"/>
      <c r="I391" s="895"/>
      <c r="J391" s="895"/>
      <c r="K391" s="895"/>
      <c r="L391" s="898"/>
      <c r="M391" s="875" t="str">
        <f t="shared" si="13"/>
        <v>0</v>
      </c>
      <c r="N391" s="26" t="str">
        <f t="shared" si="12"/>
        <v>3</v>
      </c>
      <c r="O391" s="26" t="str">
        <f t="shared" si="14"/>
        <v>0</v>
      </c>
    </row>
    <row r="392" spans="2:15" ht="23.75" hidden="1" customHeight="1" x14ac:dyDescent="0.15">
      <c r="B392" s="26">
        <f>'Jrnl Exp ~ Dép'!B324</f>
        <v>0</v>
      </c>
      <c r="C392" s="914">
        <f>'Jrnl Exp ~ Dép'!$D324</f>
        <v>0</v>
      </c>
      <c r="D392" s="912">
        <f>'Jrnl Exp ~ Dép'!$F324</f>
        <v>0</v>
      </c>
      <c r="E392" s="918">
        <f>'Jrnl Exp ~ Dép'!$G324</f>
        <v>0</v>
      </c>
      <c r="F392" s="919">
        <f>'Jrnl Exp ~ Dép'!$E324</f>
        <v>0</v>
      </c>
      <c r="G392" s="920" t="str">
        <f>LEFT('Jrnl Exp ~ Dép'!$H324,4)</f>
        <v/>
      </c>
      <c r="H392" s="923"/>
      <c r="I392" s="895"/>
      <c r="J392" s="895"/>
      <c r="K392" s="895"/>
      <c r="L392" s="898"/>
      <c r="M392" s="875" t="str">
        <f t="shared" si="13"/>
        <v>0</v>
      </c>
      <c r="N392" s="26" t="str">
        <f t="shared" si="12"/>
        <v>3</v>
      </c>
      <c r="O392" s="26" t="str">
        <f t="shared" si="14"/>
        <v>0</v>
      </c>
    </row>
    <row r="393" spans="2:15" ht="23.75" hidden="1" customHeight="1" x14ac:dyDescent="0.15">
      <c r="B393" s="26">
        <f>'Jrnl Exp ~ Dép'!B325</f>
        <v>0</v>
      </c>
      <c r="C393" s="914">
        <f>'Jrnl Exp ~ Dép'!$D325</f>
        <v>0</v>
      </c>
      <c r="D393" s="912">
        <f>'Jrnl Exp ~ Dép'!$F325</f>
        <v>0</v>
      </c>
      <c r="E393" s="918">
        <f>'Jrnl Exp ~ Dép'!$G325</f>
        <v>0</v>
      </c>
      <c r="F393" s="919">
        <f>'Jrnl Exp ~ Dép'!$E325</f>
        <v>0</v>
      </c>
      <c r="G393" s="920" t="str">
        <f>LEFT('Jrnl Exp ~ Dép'!$H325,4)</f>
        <v/>
      </c>
      <c r="H393" s="923"/>
      <c r="I393" s="895"/>
      <c r="J393" s="895"/>
      <c r="K393" s="895"/>
      <c r="L393" s="898"/>
      <c r="M393" s="875" t="str">
        <f t="shared" si="13"/>
        <v>0</v>
      </c>
      <c r="N393" s="26" t="str">
        <f t="shared" si="12"/>
        <v>3</v>
      </c>
      <c r="O393" s="26" t="str">
        <f t="shared" si="14"/>
        <v>0</v>
      </c>
    </row>
    <row r="394" spans="2:15" ht="23.75" hidden="1" customHeight="1" x14ac:dyDescent="0.15">
      <c r="B394" s="26">
        <f>'Jrnl Exp ~ Dép'!B326</f>
        <v>0</v>
      </c>
      <c r="C394" s="914">
        <f>'Jrnl Exp ~ Dép'!$D326</f>
        <v>0</v>
      </c>
      <c r="D394" s="912">
        <f>'Jrnl Exp ~ Dép'!$F326</f>
        <v>0</v>
      </c>
      <c r="E394" s="918">
        <f>'Jrnl Exp ~ Dép'!$G326</f>
        <v>0</v>
      </c>
      <c r="F394" s="919">
        <f>'Jrnl Exp ~ Dép'!$E326</f>
        <v>0</v>
      </c>
      <c r="G394" s="920" t="str">
        <f>LEFT('Jrnl Exp ~ Dép'!$H326,4)</f>
        <v/>
      </c>
      <c r="H394" s="923"/>
      <c r="I394" s="895"/>
      <c r="J394" s="895"/>
      <c r="K394" s="895"/>
      <c r="L394" s="898"/>
      <c r="M394" s="875" t="str">
        <f t="shared" si="13"/>
        <v>0</v>
      </c>
      <c r="N394" s="26" t="str">
        <f t="shared" si="12"/>
        <v>3</v>
      </c>
      <c r="O394" s="26" t="str">
        <f t="shared" si="14"/>
        <v>0</v>
      </c>
    </row>
    <row r="395" spans="2:15" ht="23.75" hidden="1" customHeight="1" x14ac:dyDescent="0.15">
      <c r="B395" s="26">
        <f>'Jrnl Exp ~ Dép'!B327</f>
        <v>0</v>
      </c>
      <c r="C395" s="914">
        <f>'Jrnl Exp ~ Dép'!$D327</f>
        <v>0</v>
      </c>
      <c r="D395" s="912">
        <f>'Jrnl Exp ~ Dép'!$F327</f>
        <v>0</v>
      </c>
      <c r="E395" s="918">
        <f>'Jrnl Exp ~ Dép'!$G327</f>
        <v>0</v>
      </c>
      <c r="F395" s="919">
        <f>'Jrnl Exp ~ Dép'!$E327</f>
        <v>0</v>
      </c>
      <c r="G395" s="920" t="str">
        <f>LEFT('Jrnl Exp ~ Dép'!$H327,4)</f>
        <v/>
      </c>
      <c r="H395" s="923"/>
      <c r="I395" s="895"/>
      <c r="J395" s="895"/>
      <c r="K395" s="895"/>
      <c r="L395" s="898"/>
      <c r="M395" s="875" t="str">
        <f t="shared" si="13"/>
        <v>0</v>
      </c>
      <c r="N395" s="26" t="str">
        <f t="shared" si="12"/>
        <v>3</v>
      </c>
      <c r="O395" s="26" t="str">
        <f t="shared" si="14"/>
        <v>0</v>
      </c>
    </row>
    <row r="396" spans="2:15" ht="23.75" hidden="1" customHeight="1" x14ac:dyDescent="0.15">
      <c r="B396" s="26">
        <f>'Jrnl Exp ~ Dép'!B328</f>
        <v>0</v>
      </c>
      <c r="C396" s="914">
        <f>'Jrnl Exp ~ Dép'!$D328</f>
        <v>0</v>
      </c>
      <c r="D396" s="912">
        <f>'Jrnl Exp ~ Dép'!$F328</f>
        <v>0</v>
      </c>
      <c r="E396" s="918">
        <f>'Jrnl Exp ~ Dép'!$G328</f>
        <v>0</v>
      </c>
      <c r="F396" s="919">
        <f>'Jrnl Exp ~ Dép'!$E328</f>
        <v>0</v>
      </c>
      <c r="G396" s="920" t="str">
        <f>LEFT('Jrnl Exp ~ Dép'!$H328,4)</f>
        <v/>
      </c>
      <c r="H396" s="923"/>
      <c r="I396" s="895"/>
      <c r="J396" s="895"/>
      <c r="K396" s="895"/>
      <c r="L396" s="898"/>
      <c r="M396" s="875" t="str">
        <f t="shared" si="13"/>
        <v>0</v>
      </c>
      <c r="N396" s="26" t="str">
        <f t="shared" si="12"/>
        <v>3</v>
      </c>
      <c r="O396" s="26" t="str">
        <f t="shared" si="14"/>
        <v>0</v>
      </c>
    </row>
    <row r="397" spans="2:15" ht="23.75" hidden="1" customHeight="1" x14ac:dyDescent="0.15">
      <c r="B397" s="26">
        <f>'Jrnl Exp ~ Dép'!B329</f>
        <v>0</v>
      </c>
      <c r="C397" s="914">
        <f>'Jrnl Exp ~ Dép'!$D329</f>
        <v>0</v>
      </c>
      <c r="D397" s="912">
        <f>'Jrnl Exp ~ Dép'!$F329</f>
        <v>0</v>
      </c>
      <c r="E397" s="918">
        <f>'Jrnl Exp ~ Dép'!$G329</f>
        <v>0</v>
      </c>
      <c r="F397" s="919">
        <f>'Jrnl Exp ~ Dép'!$E329</f>
        <v>0</v>
      </c>
      <c r="G397" s="920" t="str">
        <f>LEFT('Jrnl Exp ~ Dép'!$H329,4)</f>
        <v/>
      </c>
      <c r="H397" s="923"/>
      <c r="I397" s="895"/>
      <c r="J397" s="895"/>
      <c r="K397" s="895"/>
      <c r="L397" s="898"/>
      <c r="M397" s="875" t="str">
        <f t="shared" si="13"/>
        <v>0</v>
      </c>
      <c r="N397" s="26" t="str">
        <f t="shared" si="12"/>
        <v>3</v>
      </c>
      <c r="O397" s="26" t="str">
        <f t="shared" si="14"/>
        <v>0</v>
      </c>
    </row>
    <row r="398" spans="2:15" ht="23.75" hidden="1" customHeight="1" x14ac:dyDescent="0.15">
      <c r="B398" s="26">
        <f>'Jrnl Exp ~ Dép'!B330</f>
        <v>0</v>
      </c>
      <c r="C398" s="914">
        <f>'Jrnl Exp ~ Dép'!$D330</f>
        <v>0</v>
      </c>
      <c r="D398" s="912">
        <f>'Jrnl Exp ~ Dép'!$F330</f>
        <v>0</v>
      </c>
      <c r="E398" s="918">
        <f>'Jrnl Exp ~ Dép'!$G330</f>
        <v>0</v>
      </c>
      <c r="F398" s="919">
        <f>'Jrnl Exp ~ Dép'!$E330</f>
        <v>0</v>
      </c>
      <c r="G398" s="920" t="str">
        <f>LEFT('Jrnl Exp ~ Dép'!$H330,4)</f>
        <v/>
      </c>
      <c r="H398" s="923"/>
      <c r="I398" s="895"/>
      <c r="J398" s="895"/>
      <c r="K398" s="895"/>
      <c r="L398" s="898"/>
      <c r="M398" s="875" t="str">
        <f t="shared" si="13"/>
        <v>0</v>
      </c>
      <c r="N398" s="26" t="str">
        <f t="shared" si="12"/>
        <v>3</v>
      </c>
      <c r="O398" s="26" t="str">
        <f t="shared" si="14"/>
        <v>0</v>
      </c>
    </row>
    <row r="399" spans="2:15" ht="23.75" hidden="1" customHeight="1" x14ac:dyDescent="0.15">
      <c r="B399" s="26">
        <f>'Jrnl Exp ~ Dép'!B331</f>
        <v>0</v>
      </c>
      <c r="C399" s="914">
        <f>'Jrnl Exp ~ Dép'!$D331</f>
        <v>0</v>
      </c>
      <c r="D399" s="912">
        <f>'Jrnl Exp ~ Dép'!$F331</f>
        <v>0</v>
      </c>
      <c r="E399" s="918">
        <f>'Jrnl Exp ~ Dép'!$G331</f>
        <v>0</v>
      </c>
      <c r="F399" s="919">
        <f>'Jrnl Exp ~ Dép'!$E331</f>
        <v>0</v>
      </c>
      <c r="G399" s="920" t="str">
        <f>LEFT('Jrnl Exp ~ Dép'!$H331,4)</f>
        <v/>
      </c>
      <c r="H399" s="923"/>
      <c r="I399" s="895"/>
      <c r="J399" s="895"/>
      <c r="K399" s="895"/>
      <c r="L399" s="898"/>
      <c r="M399" s="875" t="str">
        <f t="shared" si="13"/>
        <v>0</v>
      </c>
      <c r="N399" s="26" t="str">
        <f t="shared" si="12"/>
        <v>3</v>
      </c>
      <c r="O399" s="26" t="str">
        <f t="shared" si="14"/>
        <v>0</v>
      </c>
    </row>
    <row r="400" spans="2:15" ht="23.75" hidden="1" customHeight="1" x14ac:dyDescent="0.15">
      <c r="B400" s="26">
        <f>'Jrnl Exp ~ Dép'!B332</f>
        <v>0</v>
      </c>
      <c r="C400" s="914">
        <f>'Jrnl Exp ~ Dép'!$D332</f>
        <v>0</v>
      </c>
      <c r="D400" s="912">
        <f>'Jrnl Exp ~ Dép'!$F332</f>
        <v>0</v>
      </c>
      <c r="E400" s="918">
        <f>'Jrnl Exp ~ Dép'!$G332</f>
        <v>0</v>
      </c>
      <c r="F400" s="919">
        <f>'Jrnl Exp ~ Dép'!$E332</f>
        <v>0</v>
      </c>
      <c r="G400" s="920" t="str">
        <f>LEFT('Jrnl Exp ~ Dép'!$H332,4)</f>
        <v/>
      </c>
      <c r="H400" s="923"/>
      <c r="I400" s="895"/>
      <c r="J400" s="895"/>
      <c r="K400" s="895"/>
      <c r="L400" s="898"/>
      <c r="M400" s="875" t="str">
        <f t="shared" si="13"/>
        <v>0</v>
      </c>
      <c r="N400" s="26" t="str">
        <f t="shared" si="12"/>
        <v>3</v>
      </c>
      <c r="O400" s="26" t="str">
        <f t="shared" si="14"/>
        <v>0</v>
      </c>
    </row>
    <row r="401" spans="2:15" ht="23.75" hidden="1" customHeight="1" x14ac:dyDescent="0.15">
      <c r="B401" s="26">
        <f>'Jrnl Exp ~ Dép'!B333</f>
        <v>0</v>
      </c>
      <c r="C401" s="914">
        <f>'Jrnl Exp ~ Dép'!$D333</f>
        <v>0</v>
      </c>
      <c r="D401" s="912">
        <f>'Jrnl Exp ~ Dép'!$F333</f>
        <v>0</v>
      </c>
      <c r="E401" s="918">
        <f>'Jrnl Exp ~ Dép'!$G333</f>
        <v>0</v>
      </c>
      <c r="F401" s="919">
        <f>'Jrnl Exp ~ Dép'!$E333</f>
        <v>0</v>
      </c>
      <c r="G401" s="920" t="str">
        <f>LEFT('Jrnl Exp ~ Dép'!$H333,4)</f>
        <v/>
      </c>
      <c r="H401" s="923"/>
      <c r="I401" s="895"/>
      <c r="J401" s="895"/>
      <c r="K401" s="895"/>
      <c r="L401" s="898"/>
      <c r="M401" s="875" t="str">
        <f t="shared" si="13"/>
        <v>0</v>
      </c>
      <c r="N401" s="26" t="str">
        <f t="shared" si="12"/>
        <v>3</v>
      </c>
      <c r="O401" s="26" t="str">
        <f t="shared" si="14"/>
        <v>0</v>
      </c>
    </row>
    <row r="402" spans="2:15" ht="23.75" hidden="1" customHeight="1" x14ac:dyDescent="0.15">
      <c r="B402" s="26">
        <f>'Jrnl Exp ~ Dép'!B334</f>
        <v>0</v>
      </c>
      <c r="C402" s="914">
        <f>'Jrnl Exp ~ Dép'!$D334</f>
        <v>0</v>
      </c>
      <c r="D402" s="912">
        <f>'Jrnl Exp ~ Dép'!$F334</f>
        <v>0</v>
      </c>
      <c r="E402" s="918">
        <f>'Jrnl Exp ~ Dép'!$G334</f>
        <v>0</v>
      </c>
      <c r="F402" s="919">
        <f>'Jrnl Exp ~ Dép'!$E334</f>
        <v>0</v>
      </c>
      <c r="G402" s="920" t="str">
        <f>LEFT('Jrnl Exp ~ Dép'!$H334,4)</f>
        <v/>
      </c>
      <c r="H402" s="923"/>
      <c r="I402" s="895"/>
      <c r="J402" s="895"/>
      <c r="K402" s="895"/>
      <c r="L402" s="898"/>
      <c r="M402" s="875" t="str">
        <f t="shared" si="13"/>
        <v>0</v>
      </c>
      <c r="N402" s="26" t="str">
        <f t="shared" si="12"/>
        <v>3</v>
      </c>
      <c r="O402" s="26" t="str">
        <f t="shared" si="14"/>
        <v>0</v>
      </c>
    </row>
    <row r="403" spans="2:15" ht="23.75" hidden="1" customHeight="1" x14ac:dyDescent="0.15">
      <c r="B403" s="26">
        <f>'Jrnl Exp ~ Dép'!B335</f>
        <v>0</v>
      </c>
      <c r="C403" s="914">
        <f>'Jrnl Exp ~ Dép'!$D335</f>
        <v>0</v>
      </c>
      <c r="D403" s="912">
        <f>'Jrnl Exp ~ Dép'!$F335</f>
        <v>0</v>
      </c>
      <c r="E403" s="918">
        <f>'Jrnl Exp ~ Dép'!$G335</f>
        <v>0</v>
      </c>
      <c r="F403" s="919">
        <f>'Jrnl Exp ~ Dép'!$E335</f>
        <v>0</v>
      </c>
      <c r="G403" s="920" t="str">
        <f>LEFT('Jrnl Exp ~ Dép'!$H335,4)</f>
        <v/>
      </c>
      <c r="H403" s="923"/>
      <c r="I403" s="895"/>
      <c r="J403" s="895"/>
      <c r="K403" s="895"/>
      <c r="L403" s="898"/>
      <c r="M403" s="875" t="str">
        <f t="shared" si="13"/>
        <v>0</v>
      </c>
      <c r="N403" s="26" t="str">
        <f t="shared" si="12"/>
        <v>3</v>
      </c>
      <c r="O403" s="26" t="str">
        <f t="shared" si="14"/>
        <v>0</v>
      </c>
    </row>
    <row r="404" spans="2:15" ht="23.75" hidden="1" customHeight="1" x14ac:dyDescent="0.15">
      <c r="B404" s="26">
        <f>'Jrnl Exp ~ Dép'!B336</f>
        <v>0</v>
      </c>
      <c r="C404" s="914">
        <f>'Jrnl Exp ~ Dép'!$D336</f>
        <v>0</v>
      </c>
      <c r="D404" s="912">
        <f>'Jrnl Exp ~ Dép'!$F336</f>
        <v>0</v>
      </c>
      <c r="E404" s="918">
        <f>'Jrnl Exp ~ Dép'!$G336</f>
        <v>0</v>
      </c>
      <c r="F404" s="919">
        <f>'Jrnl Exp ~ Dép'!$E336</f>
        <v>0</v>
      </c>
      <c r="G404" s="920" t="str">
        <f>LEFT('Jrnl Exp ~ Dép'!$H336,4)</f>
        <v/>
      </c>
      <c r="H404" s="923"/>
      <c r="I404" s="895"/>
      <c r="J404" s="895"/>
      <c r="K404" s="895"/>
      <c r="L404" s="898"/>
      <c r="M404" s="875" t="str">
        <f t="shared" si="13"/>
        <v>0</v>
      </c>
      <c r="N404" s="26" t="str">
        <f t="shared" ref="N404:N467" si="15">IF(B404="√","2","3")</f>
        <v>3</v>
      </c>
      <c r="O404" s="26" t="str">
        <f t="shared" si="14"/>
        <v>0</v>
      </c>
    </row>
    <row r="405" spans="2:15" ht="23.75" hidden="1" customHeight="1" x14ac:dyDescent="0.15">
      <c r="B405" s="26">
        <f>'Jrnl Exp ~ Dép'!B337</f>
        <v>0</v>
      </c>
      <c r="C405" s="914">
        <f>'Jrnl Exp ~ Dép'!$D337</f>
        <v>0</v>
      </c>
      <c r="D405" s="912">
        <f>'Jrnl Exp ~ Dép'!$F337</f>
        <v>0</v>
      </c>
      <c r="E405" s="918">
        <f>'Jrnl Exp ~ Dép'!$G337</f>
        <v>0</v>
      </c>
      <c r="F405" s="919">
        <f>'Jrnl Exp ~ Dép'!$E337</f>
        <v>0</v>
      </c>
      <c r="G405" s="920" t="str">
        <f>LEFT('Jrnl Exp ~ Dép'!$H337,4)</f>
        <v/>
      </c>
      <c r="H405" s="923"/>
      <c r="I405" s="895"/>
      <c r="J405" s="895"/>
      <c r="K405" s="895"/>
      <c r="L405" s="898"/>
      <c r="M405" s="875" t="str">
        <f t="shared" ref="M405:M468" si="16">IF(E405&gt;0,"1","0")</f>
        <v>0</v>
      </c>
      <c r="N405" s="26" t="str">
        <f t="shared" si="15"/>
        <v>3</v>
      </c>
      <c r="O405" s="26" t="str">
        <f t="shared" ref="O405:O468" si="17">IF(AND(M405="1",N405="3"),"4","0")</f>
        <v>0</v>
      </c>
    </row>
    <row r="406" spans="2:15" ht="23.75" hidden="1" customHeight="1" x14ac:dyDescent="0.15">
      <c r="B406" s="26">
        <f>'Jrnl Exp ~ Dép'!B338</f>
        <v>0</v>
      </c>
      <c r="C406" s="914">
        <f>'Jrnl Exp ~ Dép'!$D338</f>
        <v>0</v>
      </c>
      <c r="D406" s="912">
        <f>'Jrnl Exp ~ Dép'!$F338</f>
        <v>0</v>
      </c>
      <c r="E406" s="918">
        <f>'Jrnl Exp ~ Dép'!$G338</f>
        <v>0</v>
      </c>
      <c r="F406" s="919">
        <f>'Jrnl Exp ~ Dép'!$E338</f>
        <v>0</v>
      </c>
      <c r="G406" s="920" t="str">
        <f>LEFT('Jrnl Exp ~ Dép'!$H338,4)</f>
        <v/>
      </c>
      <c r="H406" s="923"/>
      <c r="I406" s="895"/>
      <c r="J406" s="895"/>
      <c r="K406" s="895"/>
      <c r="L406" s="898"/>
      <c r="M406" s="875" t="str">
        <f t="shared" si="16"/>
        <v>0</v>
      </c>
      <c r="N406" s="26" t="str">
        <f t="shared" si="15"/>
        <v>3</v>
      </c>
      <c r="O406" s="26" t="str">
        <f t="shared" si="17"/>
        <v>0</v>
      </c>
    </row>
    <row r="407" spans="2:15" ht="23.75" hidden="1" customHeight="1" x14ac:dyDescent="0.15">
      <c r="B407" s="26">
        <f>'Jrnl Exp ~ Dép'!B339</f>
        <v>0</v>
      </c>
      <c r="C407" s="914">
        <f>'Jrnl Exp ~ Dép'!$D339</f>
        <v>0</v>
      </c>
      <c r="D407" s="912">
        <f>'Jrnl Exp ~ Dép'!$F339</f>
        <v>0</v>
      </c>
      <c r="E407" s="918">
        <f>'Jrnl Exp ~ Dép'!$G339</f>
        <v>0</v>
      </c>
      <c r="F407" s="919">
        <f>'Jrnl Exp ~ Dép'!$E339</f>
        <v>0</v>
      </c>
      <c r="G407" s="920" t="str">
        <f>LEFT('Jrnl Exp ~ Dép'!$H339,4)</f>
        <v/>
      </c>
      <c r="H407" s="923"/>
      <c r="I407" s="895"/>
      <c r="J407" s="895"/>
      <c r="K407" s="895"/>
      <c r="L407" s="898"/>
      <c r="M407" s="875" t="str">
        <f t="shared" si="16"/>
        <v>0</v>
      </c>
      <c r="N407" s="26" t="str">
        <f t="shared" si="15"/>
        <v>3</v>
      </c>
      <c r="O407" s="26" t="str">
        <f t="shared" si="17"/>
        <v>0</v>
      </c>
    </row>
    <row r="408" spans="2:15" ht="23.75" hidden="1" customHeight="1" x14ac:dyDescent="0.15">
      <c r="B408" s="26">
        <f>'Jrnl Exp ~ Dép'!B340</f>
        <v>0</v>
      </c>
      <c r="C408" s="914">
        <f>'Jrnl Exp ~ Dép'!$D340</f>
        <v>0</v>
      </c>
      <c r="D408" s="912">
        <f>'Jrnl Exp ~ Dép'!$F340</f>
        <v>0</v>
      </c>
      <c r="E408" s="918">
        <f>'Jrnl Exp ~ Dép'!$G340</f>
        <v>0</v>
      </c>
      <c r="F408" s="919">
        <f>'Jrnl Exp ~ Dép'!$E340</f>
        <v>0</v>
      </c>
      <c r="G408" s="920" t="str">
        <f>LEFT('Jrnl Exp ~ Dép'!$H340,4)</f>
        <v/>
      </c>
      <c r="H408" s="923"/>
      <c r="I408" s="895"/>
      <c r="J408" s="895"/>
      <c r="K408" s="895"/>
      <c r="L408" s="898"/>
      <c r="M408" s="875" t="str">
        <f t="shared" si="16"/>
        <v>0</v>
      </c>
      <c r="N408" s="26" t="str">
        <f t="shared" si="15"/>
        <v>3</v>
      </c>
      <c r="O408" s="26" t="str">
        <f t="shared" si="17"/>
        <v>0</v>
      </c>
    </row>
    <row r="409" spans="2:15" ht="23.75" hidden="1" customHeight="1" x14ac:dyDescent="0.15">
      <c r="B409" s="26">
        <f>'Jrnl Exp ~ Dép'!B341</f>
        <v>0</v>
      </c>
      <c r="C409" s="914">
        <f>'Jrnl Exp ~ Dép'!$D341</f>
        <v>0</v>
      </c>
      <c r="D409" s="912">
        <f>'Jrnl Exp ~ Dép'!$F341</f>
        <v>0</v>
      </c>
      <c r="E409" s="918">
        <f>'Jrnl Exp ~ Dép'!$G341</f>
        <v>0</v>
      </c>
      <c r="F409" s="919">
        <f>'Jrnl Exp ~ Dép'!$E341</f>
        <v>0</v>
      </c>
      <c r="G409" s="920" t="str">
        <f>LEFT('Jrnl Exp ~ Dép'!$H341,4)</f>
        <v/>
      </c>
      <c r="H409" s="923"/>
      <c r="I409" s="895"/>
      <c r="J409" s="895"/>
      <c r="K409" s="895"/>
      <c r="L409" s="898"/>
      <c r="M409" s="875" t="str">
        <f t="shared" si="16"/>
        <v>0</v>
      </c>
      <c r="N409" s="26" t="str">
        <f t="shared" si="15"/>
        <v>3</v>
      </c>
      <c r="O409" s="26" t="str">
        <f t="shared" si="17"/>
        <v>0</v>
      </c>
    </row>
    <row r="410" spans="2:15" ht="23.75" hidden="1" customHeight="1" x14ac:dyDescent="0.15">
      <c r="B410" s="26">
        <f>'Jrnl Exp ~ Dép'!B342</f>
        <v>0</v>
      </c>
      <c r="C410" s="914">
        <f>'Jrnl Exp ~ Dép'!$D342</f>
        <v>0</v>
      </c>
      <c r="D410" s="912">
        <f>'Jrnl Exp ~ Dép'!$F342</f>
        <v>0</v>
      </c>
      <c r="E410" s="918">
        <f>'Jrnl Exp ~ Dép'!$G342</f>
        <v>0</v>
      </c>
      <c r="F410" s="919">
        <f>'Jrnl Exp ~ Dép'!$E342</f>
        <v>0</v>
      </c>
      <c r="G410" s="920" t="str">
        <f>LEFT('Jrnl Exp ~ Dép'!$H342,4)</f>
        <v/>
      </c>
      <c r="H410" s="923"/>
      <c r="I410" s="895"/>
      <c r="J410" s="895"/>
      <c r="K410" s="895"/>
      <c r="L410" s="898"/>
      <c r="M410" s="875" t="str">
        <f t="shared" si="16"/>
        <v>0</v>
      </c>
      <c r="N410" s="26" t="str">
        <f t="shared" si="15"/>
        <v>3</v>
      </c>
      <c r="O410" s="26" t="str">
        <f t="shared" si="17"/>
        <v>0</v>
      </c>
    </row>
    <row r="411" spans="2:15" ht="23.75" hidden="1" customHeight="1" x14ac:dyDescent="0.15">
      <c r="B411" s="26">
        <f>'Jrnl Exp ~ Dép'!B343</f>
        <v>0</v>
      </c>
      <c r="C411" s="914">
        <f>'Jrnl Exp ~ Dép'!$D343</f>
        <v>0</v>
      </c>
      <c r="D411" s="912">
        <f>'Jrnl Exp ~ Dép'!$F343</f>
        <v>0</v>
      </c>
      <c r="E411" s="918">
        <f>'Jrnl Exp ~ Dép'!$G343</f>
        <v>0</v>
      </c>
      <c r="F411" s="919">
        <f>'Jrnl Exp ~ Dép'!$E343</f>
        <v>0</v>
      </c>
      <c r="G411" s="920" t="str">
        <f>LEFT('Jrnl Exp ~ Dép'!$H343,4)</f>
        <v/>
      </c>
      <c r="H411" s="923"/>
      <c r="I411" s="895"/>
      <c r="J411" s="895"/>
      <c r="K411" s="895"/>
      <c r="L411" s="898"/>
      <c r="M411" s="875" t="str">
        <f t="shared" si="16"/>
        <v>0</v>
      </c>
      <c r="N411" s="26" t="str">
        <f t="shared" si="15"/>
        <v>3</v>
      </c>
      <c r="O411" s="26" t="str">
        <f t="shared" si="17"/>
        <v>0</v>
      </c>
    </row>
    <row r="412" spans="2:15" ht="23.75" hidden="1" customHeight="1" x14ac:dyDescent="0.15">
      <c r="B412" s="26">
        <f>'Jrnl Exp ~ Dép'!B344</f>
        <v>0</v>
      </c>
      <c r="C412" s="914">
        <f>'Jrnl Exp ~ Dép'!$D344</f>
        <v>0</v>
      </c>
      <c r="D412" s="912">
        <f>'Jrnl Exp ~ Dép'!$F344</f>
        <v>0</v>
      </c>
      <c r="E412" s="918">
        <f>'Jrnl Exp ~ Dép'!$G344</f>
        <v>0</v>
      </c>
      <c r="F412" s="919">
        <f>'Jrnl Exp ~ Dép'!$E344</f>
        <v>0</v>
      </c>
      <c r="G412" s="920" t="str">
        <f>LEFT('Jrnl Exp ~ Dép'!$H344,4)</f>
        <v/>
      </c>
      <c r="H412" s="923"/>
      <c r="I412" s="895"/>
      <c r="J412" s="895"/>
      <c r="K412" s="895"/>
      <c r="L412" s="898"/>
      <c r="M412" s="875" t="str">
        <f t="shared" si="16"/>
        <v>0</v>
      </c>
      <c r="N412" s="26" t="str">
        <f t="shared" si="15"/>
        <v>3</v>
      </c>
      <c r="O412" s="26" t="str">
        <f t="shared" si="17"/>
        <v>0</v>
      </c>
    </row>
    <row r="413" spans="2:15" ht="23.75" hidden="1" customHeight="1" x14ac:dyDescent="0.15">
      <c r="B413" s="26">
        <f>'Jrnl Exp ~ Dép'!B345</f>
        <v>0</v>
      </c>
      <c r="C413" s="914">
        <f>'Jrnl Exp ~ Dép'!$D345</f>
        <v>0</v>
      </c>
      <c r="D413" s="912">
        <f>'Jrnl Exp ~ Dép'!$F345</f>
        <v>0</v>
      </c>
      <c r="E413" s="918">
        <f>'Jrnl Exp ~ Dép'!$G345</f>
        <v>0</v>
      </c>
      <c r="F413" s="919">
        <f>'Jrnl Exp ~ Dép'!$E345</f>
        <v>0</v>
      </c>
      <c r="G413" s="920" t="str">
        <f>LEFT('Jrnl Exp ~ Dép'!$H345,4)</f>
        <v/>
      </c>
      <c r="H413" s="923"/>
      <c r="I413" s="895"/>
      <c r="J413" s="895"/>
      <c r="K413" s="895"/>
      <c r="L413" s="898"/>
      <c r="M413" s="875" t="str">
        <f t="shared" si="16"/>
        <v>0</v>
      </c>
      <c r="N413" s="26" t="str">
        <f t="shared" si="15"/>
        <v>3</v>
      </c>
      <c r="O413" s="26" t="str">
        <f t="shared" si="17"/>
        <v>0</v>
      </c>
    </row>
    <row r="414" spans="2:15" ht="23.75" hidden="1" customHeight="1" x14ac:dyDescent="0.15">
      <c r="B414" s="26">
        <f>'Jrnl Exp ~ Dép'!B346</f>
        <v>0</v>
      </c>
      <c r="C414" s="914">
        <f>'Jrnl Exp ~ Dép'!$D346</f>
        <v>0</v>
      </c>
      <c r="D414" s="912">
        <f>'Jrnl Exp ~ Dép'!$F346</f>
        <v>0</v>
      </c>
      <c r="E414" s="918">
        <f>'Jrnl Exp ~ Dép'!$G346</f>
        <v>0</v>
      </c>
      <c r="F414" s="919">
        <f>'Jrnl Exp ~ Dép'!$E346</f>
        <v>0</v>
      </c>
      <c r="G414" s="920" t="str">
        <f>LEFT('Jrnl Exp ~ Dép'!$H346,4)</f>
        <v/>
      </c>
      <c r="H414" s="923"/>
      <c r="I414" s="895"/>
      <c r="J414" s="895"/>
      <c r="K414" s="895"/>
      <c r="L414" s="898"/>
      <c r="M414" s="875" t="str">
        <f t="shared" si="16"/>
        <v>0</v>
      </c>
      <c r="N414" s="26" t="str">
        <f t="shared" si="15"/>
        <v>3</v>
      </c>
      <c r="O414" s="26" t="str">
        <f t="shared" si="17"/>
        <v>0</v>
      </c>
    </row>
    <row r="415" spans="2:15" ht="23.75" hidden="1" customHeight="1" x14ac:dyDescent="0.15">
      <c r="B415" s="26">
        <f>'Jrnl Exp ~ Dép'!B347</f>
        <v>0</v>
      </c>
      <c r="C415" s="914">
        <f>'Jrnl Exp ~ Dép'!$D347</f>
        <v>0</v>
      </c>
      <c r="D415" s="912">
        <f>'Jrnl Exp ~ Dép'!$F347</f>
        <v>0</v>
      </c>
      <c r="E415" s="918">
        <f>'Jrnl Exp ~ Dép'!$G347</f>
        <v>0</v>
      </c>
      <c r="F415" s="919">
        <f>'Jrnl Exp ~ Dép'!$E347</f>
        <v>0</v>
      </c>
      <c r="G415" s="920" t="str">
        <f>LEFT('Jrnl Exp ~ Dép'!$H347,4)</f>
        <v/>
      </c>
      <c r="H415" s="923"/>
      <c r="I415" s="895"/>
      <c r="J415" s="895"/>
      <c r="K415" s="895"/>
      <c r="L415" s="898"/>
      <c r="M415" s="875" t="str">
        <f t="shared" si="16"/>
        <v>0</v>
      </c>
      <c r="N415" s="26" t="str">
        <f t="shared" si="15"/>
        <v>3</v>
      </c>
      <c r="O415" s="26" t="str">
        <f t="shared" si="17"/>
        <v>0</v>
      </c>
    </row>
    <row r="416" spans="2:15" ht="23.75" hidden="1" customHeight="1" x14ac:dyDescent="0.15">
      <c r="B416" s="26">
        <f>'Jrnl Exp ~ Dép'!B348</f>
        <v>0</v>
      </c>
      <c r="C416" s="914">
        <f>'Jrnl Exp ~ Dép'!$D348</f>
        <v>0</v>
      </c>
      <c r="D416" s="912">
        <f>'Jrnl Exp ~ Dép'!$F348</f>
        <v>0</v>
      </c>
      <c r="E416" s="918">
        <f>'Jrnl Exp ~ Dép'!$G348</f>
        <v>0</v>
      </c>
      <c r="F416" s="919">
        <f>'Jrnl Exp ~ Dép'!$E348</f>
        <v>0</v>
      </c>
      <c r="G416" s="920" t="str">
        <f>LEFT('Jrnl Exp ~ Dép'!$H348,4)</f>
        <v/>
      </c>
      <c r="H416" s="923"/>
      <c r="I416" s="895"/>
      <c r="J416" s="895"/>
      <c r="K416" s="895"/>
      <c r="L416" s="898"/>
      <c r="M416" s="875" t="str">
        <f t="shared" si="16"/>
        <v>0</v>
      </c>
      <c r="N416" s="26" t="str">
        <f t="shared" si="15"/>
        <v>3</v>
      </c>
      <c r="O416" s="26" t="str">
        <f t="shared" si="17"/>
        <v>0</v>
      </c>
    </row>
    <row r="417" spans="2:15" ht="23.75" hidden="1" customHeight="1" x14ac:dyDescent="0.15">
      <c r="B417" s="26">
        <f>'Jrnl Exp ~ Dép'!B349</f>
        <v>0</v>
      </c>
      <c r="C417" s="914">
        <f>'Jrnl Exp ~ Dép'!$D349</f>
        <v>0</v>
      </c>
      <c r="D417" s="912">
        <f>'Jrnl Exp ~ Dép'!$F349</f>
        <v>0</v>
      </c>
      <c r="E417" s="918">
        <f>'Jrnl Exp ~ Dép'!$G349</f>
        <v>0</v>
      </c>
      <c r="F417" s="919">
        <f>'Jrnl Exp ~ Dép'!$E349</f>
        <v>0</v>
      </c>
      <c r="G417" s="920" t="str">
        <f>LEFT('Jrnl Exp ~ Dép'!$H349,4)</f>
        <v/>
      </c>
      <c r="H417" s="923"/>
      <c r="I417" s="895"/>
      <c r="J417" s="895"/>
      <c r="K417" s="895"/>
      <c r="L417" s="898"/>
      <c r="M417" s="875" t="str">
        <f t="shared" si="16"/>
        <v>0</v>
      </c>
      <c r="N417" s="26" t="str">
        <f t="shared" si="15"/>
        <v>3</v>
      </c>
      <c r="O417" s="26" t="str">
        <f t="shared" si="17"/>
        <v>0</v>
      </c>
    </row>
    <row r="418" spans="2:15" ht="23.75" hidden="1" customHeight="1" x14ac:dyDescent="0.15">
      <c r="B418" s="26">
        <f>'Jrnl Exp ~ Dép'!B350</f>
        <v>0</v>
      </c>
      <c r="C418" s="914">
        <f>'Jrnl Exp ~ Dép'!$D350</f>
        <v>0</v>
      </c>
      <c r="D418" s="912">
        <f>'Jrnl Exp ~ Dép'!$F350</f>
        <v>0</v>
      </c>
      <c r="E418" s="918">
        <f>'Jrnl Exp ~ Dép'!$G350</f>
        <v>0</v>
      </c>
      <c r="F418" s="919">
        <f>'Jrnl Exp ~ Dép'!$E350</f>
        <v>0</v>
      </c>
      <c r="G418" s="920" t="str">
        <f>LEFT('Jrnl Exp ~ Dép'!$H350,4)</f>
        <v/>
      </c>
      <c r="H418" s="923"/>
      <c r="I418" s="895"/>
      <c r="J418" s="895"/>
      <c r="K418" s="895"/>
      <c r="L418" s="898"/>
      <c r="M418" s="875" t="str">
        <f t="shared" si="16"/>
        <v>0</v>
      </c>
      <c r="N418" s="26" t="str">
        <f t="shared" si="15"/>
        <v>3</v>
      </c>
      <c r="O418" s="26" t="str">
        <f t="shared" si="17"/>
        <v>0</v>
      </c>
    </row>
    <row r="419" spans="2:15" ht="23.75" hidden="1" customHeight="1" x14ac:dyDescent="0.15">
      <c r="B419" s="26">
        <f>'Jrnl Exp ~ Dép'!B351</f>
        <v>0</v>
      </c>
      <c r="C419" s="914">
        <f>'Jrnl Exp ~ Dép'!$D351</f>
        <v>0</v>
      </c>
      <c r="D419" s="912">
        <f>'Jrnl Exp ~ Dép'!$F351</f>
        <v>0</v>
      </c>
      <c r="E419" s="918">
        <f>'Jrnl Exp ~ Dép'!$G351</f>
        <v>0</v>
      </c>
      <c r="F419" s="919">
        <f>'Jrnl Exp ~ Dép'!$E351</f>
        <v>0</v>
      </c>
      <c r="G419" s="920" t="str">
        <f>LEFT('Jrnl Exp ~ Dép'!$H351,4)</f>
        <v/>
      </c>
      <c r="H419" s="923"/>
      <c r="I419" s="895"/>
      <c r="J419" s="895"/>
      <c r="K419" s="895"/>
      <c r="L419" s="898"/>
      <c r="M419" s="875" t="str">
        <f t="shared" si="16"/>
        <v>0</v>
      </c>
      <c r="N419" s="26" t="str">
        <f t="shared" si="15"/>
        <v>3</v>
      </c>
      <c r="O419" s="26" t="str">
        <f t="shared" si="17"/>
        <v>0</v>
      </c>
    </row>
    <row r="420" spans="2:15" ht="23.75" hidden="1" customHeight="1" x14ac:dyDescent="0.15">
      <c r="B420" s="26">
        <f>'Jrnl Exp ~ Dép'!B352</f>
        <v>0</v>
      </c>
      <c r="C420" s="914">
        <f>'Jrnl Exp ~ Dép'!$D352</f>
        <v>0</v>
      </c>
      <c r="D420" s="912">
        <f>'Jrnl Exp ~ Dép'!$F352</f>
        <v>0</v>
      </c>
      <c r="E420" s="918">
        <f>'Jrnl Exp ~ Dép'!$G352</f>
        <v>0</v>
      </c>
      <c r="F420" s="919">
        <f>'Jrnl Exp ~ Dép'!$E352</f>
        <v>0</v>
      </c>
      <c r="G420" s="920" t="str">
        <f>LEFT('Jrnl Exp ~ Dép'!$H352,4)</f>
        <v/>
      </c>
      <c r="H420" s="923"/>
      <c r="I420" s="895"/>
      <c r="J420" s="895"/>
      <c r="K420" s="895"/>
      <c r="L420" s="898"/>
      <c r="M420" s="875" t="str">
        <f t="shared" si="16"/>
        <v>0</v>
      </c>
      <c r="N420" s="26" t="str">
        <f t="shared" si="15"/>
        <v>3</v>
      </c>
      <c r="O420" s="26" t="str">
        <f t="shared" si="17"/>
        <v>0</v>
      </c>
    </row>
    <row r="421" spans="2:15" ht="23.75" hidden="1" customHeight="1" x14ac:dyDescent="0.15">
      <c r="B421" s="26">
        <f>'Jrnl Exp ~ Dép'!B353</f>
        <v>0</v>
      </c>
      <c r="C421" s="914">
        <f>'Jrnl Exp ~ Dép'!$D353</f>
        <v>0</v>
      </c>
      <c r="D421" s="912">
        <f>'Jrnl Exp ~ Dép'!$F353</f>
        <v>0</v>
      </c>
      <c r="E421" s="918">
        <f>'Jrnl Exp ~ Dép'!$G353</f>
        <v>0</v>
      </c>
      <c r="F421" s="919">
        <f>'Jrnl Exp ~ Dép'!$E353</f>
        <v>0</v>
      </c>
      <c r="G421" s="920" t="str">
        <f>LEFT('Jrnl Exp ~ Dép'!$H353,4)</f>
        <v/>
      </c>
      <c r="H421" s="923"/>
      <c r="I421" s="895"/>
      <c r="J421" s="895"/>
      <c r="K421" s="895"/>
      <c r="L421" s="898"/>
      <c r="M421" s="875" t="str">
        <f t="shared" si="16"/>
        <v>0</v>
      </c>
      <c r="N421" s="26" t="str">
        <f t="shared" si="15"/>
        <v>3</v>
      </c>
      <c r="O421" s="26" t="str">
        <f t="shared" si="17"/>
        <v>0</v>
      </c>
    </row>
    <row r="422" spans="2:15" ht="23.75" hidden="1" customHeight="1" x14ac:dyDescent="0.15">
      <c r="B422" s="26">
        <f>'Jrnl Exp ~ Dép'!B354</f>
        <v>0</v>
      </c>
      <c r="C422" s="914">
        <f>'Jrnl Exp ~ Dép'!$D354</f>
        <v>0</v>
      </c>
      <c r="D422" s="912">
        <f>'Jrnl Exp ~ Dép'!$F354</f>
        <v>0</v>
      </c>
      <c r="E422" s="918">
        <f>'Jrnl Exp ~ Dép'!$G354</f>
        <v>0</v>
      </c>
      <c r="F422" s="919">
        <f>'Jrnl Exp ~ Dép'!$E354</f>
        <v>0</v>
      </c>
      <c r="G422" s="920" t="str">
        <f>LEFT('Jrnl Exp ~ Dép'!$H354,4)</f>
        <v/>
      </c>
      <c r="H422" s="923"/>
      <c r="I422" s="895"/>
      <c r="J422" s="895"/>
      <c r="K422" s="895"/>
      <c r="L422" s="898"/>
      <c r="M422" s="875" t="str">
        <f t="shared" si="16"/>
        <v>0</v>
      </c>
      <c r="N422" s="26" t="str">
        <f t="shared" si="15"/>
        <v>3</v>
      </c>
      <c r="O422" s="26" t="str">
        <f t="shared" si="17"/>
        <v>0</v>
      </c>
    </row>
    <row r="423" spans="2:15" ht="23.75" hidden="1" customHeight="1" x14ac:dyDescent="0.15">
      <c r="B423" s="26">
        <f>'Jrnl Exp ~ Dép'!B355</f>
        <v>0</v>
      </c>
      <c r="C423" s="914">
        <f>'Jrnl Exp ~ Dép'!$D355</f>
        <v>0</v>
      </c>
      <c r="D423" s="912">
        <f>'Jrnl Exp ~ Dép'!$F355</f>
        <v>0</v>
      </c>
      <c r="E423" s="918">
        <f>'Jrnl Exp ~ Dép'!$G355</f>
        <v>0</v>
      </c>
      <c r="F423" s="919">
        <f>'Jrnl Exp ~ Dép'!$E355</f>
        <v>0</v>
      </c>
      <c r="G423" s="920" t="str">
        <f>LEFT('Jrnl Exp ~ Dép'!$H355,4)</f>
        <v/>
      </c>
      <c r="H423" s="923"/>
      <c r="I423" s="895"/>
      <c r="J423" s="895"/>
      <c r="K423" s="895"/>
      <c r="L423" s="898"/>
      <c r="M423" s="875" t="str">
        <f t="shared" si="16"/>
        <v>0</v>
      </c>
      <c r="N423" s="26" t="str">
        <f t="shared" si="15"/>
        <v>3</v>
      </c>
      <c r="O423" s="26" t="str">
        <f t="shared" si="17"/>
        <v>0</v>
      </c>
    </row>
    <row r="424" spans="2:15" ht="23.75" hidden="1" customHeight="1" x14ac:dyDescent="0.15">
      <c r="B424" s="26">
        <f>'Jrnl Exp ~ Dép'!B356</f>
        <v>0</v>
      </c>
      <c r="C424" s="914">
        <f>'Jrnl Exp ~ Dép'!$D356</f>
        <v>0</v>
      </c>
      <c r="D424" s="912">
        <f>'Jrnl Exp ~ Dép'!$F356</f>
        <v>0</v>
      </c>
      <c r="E424" s="918">
        <f>'Jrnl Exp ~ Dép'!$G356</f>
        <v>0</v>
      </c>
      <c r="F424" s="919">
        <f>'Jrnl Exp ~ Dép'!$E356</f>
        <v>0</v>
      </c>
      <c r="G424" s="920" t="str">
        <f>LEFT('Jrnl Exp ~ Dép'!$H356,4)</f>
        <v/>
      </c>
      <c r="H424" s="923"/>
      <c r="I424" s="895"/>
      <c r="J424" s="895"/>
      <c r="K424" s="895"/>
      <c r="L424" s="898"/>
      <c r="M424" s="875" t="str">
        <f t="shared" si="16"/>
        <v>0</v>
      </c>
      <c r="N424" s="26" t="str">
        <f t="shared" si="15"/>
        <v>3</v>
      </c>
      <c r="O424" s="26" t="str">
        <f t="shared" si="17"/>
        <v>0</v>
      </c>
    </row>
    <row r="425" spans="2:15" ht="23.75" hidden="1" customHeight="1" x14ac:dyDescent="0.15">
      <c r="B425" s="26">
        <f>'Jrnl Exp ~ Dép'!B357</f>
        <v>0</v>
      </c>
      <c r="C425" s="914">
        <f>'Jrnl Exp ~ Dép'!$D357</f>
        <v>0</v>
      </c>
      <c r="D425" s="912">
        <f>'Jrnl Exp ~ Dép'!$F357</f>
        <v>0</v>
      </c>
      <c r="E425" s="918">
        <f>'Jrnl Exp ~ Dép'!$G357</f>
        <v>0</v>
      </c>
      <c r="F425" s="919">
        <f>'Jrnl Exp ~ Dép'!$E357</f>
        <v>0</v>
      </c>
      <c r="G425" s="920" t="str">
        <f>LEFT('Jrnl Exp ~ Dép'!$H357,4)</f>
        <v/>
      </c>
      <c r="H425" s="923"/>
      <c r="I425" s="895"/>
      <c r="J425" s="895"/>
      <c r="K425" s="895"/>
      <c r="L425" s="898"/>
      <c r="M425" s="875" t="str">
        <f t="shared" si="16"/>
        <v>0</v>
      </c>
      <c r="N425" s="26" t="str">
        <f t="shared" si="15"/>
        <v>3</v>
      </c>
      <c r="O425" s="26" t="str">
        <f t="shared" si="17"/>
        <v>0</v>
      </c>
    </row>
    <row r="426" spans="2:15" ht="23.75" hidden="1" customHeight="1" x14ac:dyDescent="0.15">
      <c r="B426" s="26">
        <f>'Jrnl Exp ~ Dép'!B358</f>
        <v>0</v>
      </c>
      <c r="C426" s="914">
        <f>'Jrnl Exp ~ Dép'!$D358</f>
        <v>0</v>
      </c>
      <c r="D426" s="912">
        <f>'Jrnl Exp ~ Dép'!$F358</f>
        <v>0</v>
      </c>
      <c r="E426" s="918">
        <f>'Jrnl Exp ~ Dép'!$G358</f>
        <v>0</v>
      </c>
      <c r="F426" s="919">
        <f>'Jrnl Exp ~ Dép'!$E358</f>
        <v>0</v>
      </c>
      <c r="G426" s="920" t="str">
        <f>LEFT('Jrnl Exp ~ Dép'!$H358,4)</f>
        <v/>
      </c>
      <c r="H426" s="923"/>
      <c r="I426" s="895"/>
      <c r="J426" s="895"/>
      <c r="K426" s="895"/>
      <c r="L426" s="898"/>
      <c r="M426" s="875" t="str">
        <f t="shared" si="16"/>
        <v>0</v>
      </c>
      <c r="N426" s="26" t="str">
        <f t="shared" si="15"/>
        <v>3</v>
      </c>
      <c r="O426" s="26" t="str">
        <f t="shared" si="17"/>
        <v>0</v>
      </c>
    </row>
    <row r="427" spans="2:15" ht="23.75" hidden="1" customHeight="1" x14ac:dyDescent="0.15">
      <c r="B427" s="26">
        <f>'Jrnl Exp ~ Dép'!B359</f>
        <v>0</v>
      </c>
      <c r="C427" s="914">
        <f>'Jrnl Exp ~ Dép'!$D359</f>
        <v>0</v>
      </c>
      <c r="D427" s="912">
        <f>'Jrnl Exp ~ Dép'!$F359</f>
        <v>0</v>
      </c>
      <c r="E427" s="918">
        <f>'Jrnl Exp ~ Dép'!$G359</f>
        <v>0</v>
      </c>
      <c r="F427" s="919">
        <f>'Jrnl Exp ~ Dép'!$E359</f>
        <v>0</v>
      </c>
      <c r="G427" s="920" t="str">
        <f>LEFT('Jrnl Exp ~ Dép'!$H359,4)</f>
        <v/>
      </c>
      <c r="H427" s="923"/>
      <c r="I427" s="895"/>
      <c r="J427" s="895"/>
      <c r="K427" s="895"/>
      <c r="L427" s="898"/>
      <c r="M427" s="875" t="str">
        <f t="shared" si="16"/>
        <v>0</v>
      </c>
      <c r="N427" s="26" t="str">
        <f t="shared" si="15"/>
        <v>3</v>
      </c>
      <c r="O427" s="26" t="str">
        <f t="shared" si="17"/>
        <v>0</v>
      </c>
    </row>
    <row r="428" spans="2:15" ht="23.75" hidden="1" customHeight="1" x14ac:dyDescent="0.15">
      <c r="B428" s="26">
        <f>'Jrnl Exp ~ Dép'!B360</f>
        <v>0</v>
      </c>
      <c r="C428" s="914">
        <f>'Jrnl Exp ~ Dép'!$D360</f>
        <v>0</v>
      </c>
      <c r="D428" s="912">
        <f>'Jrnl Exp ~ Dép'!$F360</f>
        <v>0</v>
      </c>
      <c r="E428" s="918">
        <f>'Jrnl Exp ~ Dép'!$G360</f>
        <v>0</v>
      </c>
      <c r="F428" s="919">
        <f>'Jrnl Exp ~ Dép'!$E360</f>
        <v>0</v>
      </c>
      <c r="G428" s="920" t="str">
        <f>LEFT('Jrnl Exp ~ Dép'!$H360,4)</f>
        <v/>
      </c>
      <c r="H428" s="923"/>
      <c r="I428" s="895"/>
      <c r="J428" s="895"/>
      <c r="K428" s="895"/>
      <c r="L428" s="898"/>
      <c r="M428" s="875" t="str">
        <f t="shared" si="16"/>
        <v>0</v>
      </c>
      <c r="N428" s="26" t="str">
        <f t="shared" si="15"/>
        <v>3</v>
      </c>
      <c r="O428" s="26" t="str">
        <f t="shared" si="17"/>
        <v>0</v>
      </c>
    </row>
    <row r="429" spans="2:15" ht="23.75" hidden="1" customHeight="1" x14ac:dyDescent="0.15">
      <c r="B429" s="26">
        <f>'Jrnl Exp ~ Dép'!B361</f>
        <v>0</v>
      </c>
      <c r="C429" s="914">
        <f>'Jrnl Exp ~ Dép'!$D361</f>
        <v>0</v>
      </c>
      <c r="D429" s="912">
        <f>'Jrnl Exp ~ Dép'!$F361</f>
        <v>0</v>
      </c>
      <c r="E429" s="918">
        <f>'Jrnl Exp ~ Dép'!$G361</f>
        <v>0</v>
      </c>
      <c r="F429" s="919">
        <f>'Jrnl Exp ~ Dép'!$E361</f>
        <v>0</v>
      </c>
      <c r="G429" s="920" t="str">
        <f>LEFT('Jrnl Exp ~ Dép'!$H361,4)</f>
        <v/>
      </c>
      <c r="H429" s="923"/>
      <c r="I429" s="895"/>
      <c r="J429" s="895"/>
      <c r="K429" s="895"/>
      <c r="L429" s="898"/>
      <c r="M429" s="875" t="str">
        <f t="shared" si="16"/>
        <v>0</v>
      </c>
      <c r="N429" s="26" t="str">
        <f t="shared" si="15"/>
        <v>3</v>
      </c>
      <c r="O429" s="26" t="str">
        <f t="shared" si="17"/>
        <v>0</v>
      </c>
    </row>
    <row r="430" spans="2:15" ht="23.75" hidden="1" customHeight="1" x14ac:dyDescent="0.15">
      <c r="B430" s="26">
        <f>'Jrnl Exp ~ Dép'!B362</f>
        <v>0</v>
      </c>
      <c r="C430" s="914">
        <f>'Jrnl Exp ~ Dép'!$D362</f>
        <v>0</v>
      </c>
      <c r="D430" s="912">
        <f>'Jrnl Exp ~ Dép'!$F362</f>
        <v>0</v>
      </c>
      <c r="E430" s="918">
        <f>'Jrnl Exp ~ Dép'!$G362</f>
        <v>0</v>
      </c>
      <c r="F430" s="919">
        <f>'Jrnl Exp ~ Dép'!$E362</f>
        <v>0</v>
      </c>
      <c r="G430" s="920" t="str">
        <f>LEFT('Jrnl Exp ~ Dép'!$H362,4)</f>
        <v/>
      </c>
      <c r="H430" s="923"/>
      <c r="I430" s="895"/>
      <c r="J430" s="895"/>
      <c r="K430" s="895"/>
      <c r="L430" s="898"/>
      <c r="M430" s="875" t="str">
        <f t="shared" si="16"/>
        <v>0</v>
      </c>
      <c r="N430" s="26" t="str">
        <f t="shared" si="15"/>
        <v>3</v>
      </c>
      <c r="O430" s="26" t="str">
        <f t="shared" si="17"/>
        <v>0</v>
      </c>
    </row>
    <row r="431" spans="2:15" ht="23.75" hidden="1" customHeight="1" x14ac:dyDescent="0.15">
      <c r="B431" s="26">
        <f>'Jrnl Exp ~ Dép'!B363</f>
        <v>0</v>
      </c>
      <c r="C431" s="914">
        <f>'Jrnl Exp ~ Dép'!$D363</f>
        <v>0</v>
      </c>
      <c r="D431" s="912">
        <f>'Jrnl Exp ~ Dép'!$F363</f>
        <v>0</v>
      </c>
      <c r="E431" s="918">
        <f>'Jrnl Exp ~ Dép'!$G363</f>
        <v>0</v>
      </c>
      <c r="F431" s="919">
        <f>'Jrnl Exp ~ Dép'!$E363</f>
        <v>0</v>
      </c>
      <c r="G431" s="920" t="str">
        <f>LEFT('Jrnl Exp ~ Dép'!$H363,4)</f>
        <v/>
      </c>
      <c r="H431" s="923"/>
      <c r="I431" s="895"/>
      <c r="J431" s="895"/>
      <c r="K431" s="895"/>
      <c r="L431" s="898"/>
      <c r="M431" s="875" t="str">
        <f t="shared" si="16"/>
        <v>0</v>
      </c>
      <c r="N431" s="26" t="str">
        <f t="shared" si="15"/>
        <v>3</v>
      </c>
      <c r="O431" s="26" t="str">
        <f t="shared" si="17"/>
        <v>0</v>
      </c>
    </row>
    <row r="432" spans="2:15" ht="23.75" hidden="1" customHeight="1" x14ac:dyDescent="0.15">
      <c r="B432" s="26">
        <f>'Jrnl Exp ~ Dép'!B364</f>
        <v>0</v>
      </c>
      <c r="C432" s="914">
        <f>'Jrnl Exp ~ Dép'!$D364</f>
        <v>0</v>
      </c>
      <c r="D432" s="912">
        <f>'Jrnl Exp ~ Dép'!$F364</f>
        <v>0</v>
      </c>
      <c r="E432" s="918">
        <f>'Jrnl Exp ~ Dép'!$G364</f>
        <v>0</v>
      </c>
      <c r="F432" s="919">
        <f>'Jrnl Exp ~ Dép'!$E364</f>
        <v>0</v>
      </c>
      <c r="G432" s="920" t="str">
        <f>LEFT('Jrnl Exp ~ Dép'!$H364,4)</f>
        <v/>
      </c>
      <c r="H432" s="923"/>
      <c r="I432" s="895"/>
      <c r="J432" s="895"/>
      <c r="K432" s="895"/>
      <c r="L432" s="898"/>
      <c r="M432" s="875" t="str">
        <f t="shared" si="16"/>
        <v>0</v>
      </c>
      <c r="N432" s="26" t="str">
        <f t="shared" si="15"/>
        <v>3</v>
      </c>
      <c r="O432" s="26" t="str">
        <f t="shared" si="17"/>
        <v>0</v>
      </c>
    </row>
    <row r="433" spans="2:15" ht="23.75" hidden="1" customHeight="1" x14ac:dyDescent="0.15">
      <c r="B433" s="26">
        <f>'Jrnl Exp ~ Dép'!B365</f>
        <v>0</v>
      </c>
      <c r="C433" s="914">
        <f>'Jrnl Exp ~ Dép'!$D365</f>
        <v>0</v>
      </c>
      <c r="D433" s="912">
        <f>'Jrnl Exp ~ Dép'!$F365</f>
        <v>0</v>
      </c>
      <c r="E433" s="918">
        <f>'Jrnl Exp ~ Dép'!$G365</f>
        <v>0</v>
      </c>
      <c r="F433" s="919">
        <f>'Jrnl Exp ~ Dép'!$E365</f>
        <v>0</v>
      </c>
      <c r="G433" s="920" t="str">
        <f>LEFT('Jrnl Exp ~ Dép'!$H365,4)</f>
        <v/>
      </c>
      <c r="H433" s="923"/>
      <c r="I433" s="895"/>
      <c r="J433" s="895"/>
      <c r="K433" s="895"/>
      <c r="L433" s="898"/>
      <c r="M433" s="875" t="str">
        <f t="shared" si="16"/>
        <v>0</v>
      </c>
      <c r="N433" s="26" t="str">
        <f t="shared" si="15"/>
        <v>3</v>
      </c>
      <c r="O433" s="26" t="str">
        <f t="shared" si="17"/>
        <v>0</v>
      </c>
    </row>
    <row r="434" spans="2:15" ht="23.75" hidden="1" customHeight="1" x14ac:dyDescent="0.15">
      <c r="B434" s="26">
        <f>'Jrnl Exp ~ Dép'!B366</f>
        <v>0</v>
      </c>
      <c r="C434" s="914">
        <f>'Jrnl Exp ~ Dép'!$D366</f>
        <v>0</v>
      </c>
      <c r="D434" s="912">
        <f>'Jrnl Exp ~ Dép'!$F366</f>
        <v>0</v>
      </c>
      <c r="E434" s="918">
        <f>'Jrnl Exp ~ Dép'!$G366</f>
        <v>0</v>
      </c>
      <c r="F434" s="919">
        <f>'Jrnl Exp ~ Dép'!$E366</f>
        <v>0</v>
      </c>
      <c r="G434" s="920" t="str">
        <f>LEFT('Jrnl Exp ~ Dép'!$H366,4)</f>
        <v/>
      </c>
      <c r="H434" s="923"/>
      <c r="I434" s="895"/>
      <c r="J434" s="895"/>
      <c r="K434" s="895"/>
      <c r="L434" s="898"/>
      <c r="M434" s="875" t="str">
        <f t="shared" si="16"/>
        <v>0</v>
      </c>
      <c r="N434" s="26" t="str">
        <f t="shared" si="15"/>
        <v>3</v>
      </c>
      <c r="O434" s="26" t="str">
        <f t="shared" si="17"/>
        <v>0</v>
      </c>
    </row>
    <row r="435" spans="2:15" ht="23.75" hidden="1" customHeight="1" x14ac:dyDescent="0.15">
      <c r="B435" s="26">
        <f>'Jrnl Exp ~ Dép'!B367</f>
        <v>0</v>
      </c>
      <c r="C435" s="914">
        <f>'Jrnl Exp ~ Dép'!$D367</f>
        <v>0</v>
      </c>
      <c r="D435" s="912">
        <f>'Jrnl Exp ~ Dép'!$F367</f>
        <v>0</v>
      </c>
      <c r="E435" s="918">
        <f>'Jrnl Exp ~ Dép'!$G367</f>
        <v>0</v>
      </c>
      <c r="F435" s="919">
        <f>'Jrnl Exp ~ Dép'!$E367</f>
        <v>0</v>
      </c>
      <c r="G435" s="920" t="str">
        <f>LEFT('Jrnl Exp ~ Dép'!$H367,4)</f>
        <v/>
      </c>
      <c r="H435" s="923"/>
      <c r="I435" s="895"/>
      <c r="J435" s="895"/>
      <c r="K435" s="895"/>
      <c r="L435" s="898"/>
      <c r="M435" s="875" t="str">
        <f t="shared" si="16"/>
        <v>0</v>
      </c>
      <c r="N435" s="26" t="str">
        <f t="shared" si="15"/>
        <v>3</v>
      </c>
      <c r="O435" s="26" t="str">
        <f t="shared" si="17"/>
        <v>0</v>
      </c>
    </row>
    <row r="436" spans="2:15" ht="23.75" hidden="1" customHeight="1" x14ac:dyDescent="0.15">
      <c r="B436" s="26">
        <f>'Jrnl Exp ~ Dép'!B368</f>
        <v>0</v>
      </c>
      <c r="C436" s="914">
        <f>'Jrnl Exp ~ Dép'!$D368</f>
        <v>0</v>
      </c>
      <c r="D436" s="912">
        <f>'Jrnl Exp ~ Dép'!$F368</f>
        <v>0</v>
      </c>
      <c r="E436" s="918">
        <f>'Jrnl Exp ~ Dép'!$G368</f>
        <v>0</v>
      </c>
      <c r="F436" s="919">
        <f>'Jrnl Exp ~ Dép'!$E368</f>
        <v>0</v>
      </c>
      <c r="G436" s="920" t="str">
        <f>LEFT('Jrnl Exp ~ Dép'!$H368,4)</f>
        <v/>
      </c>
      <c r="H436" s="923"/>
      <c r="I436" s="895"/>
      <c r="J436" s="895"/>
      <c r="K436" s="895"/>
      <c r="L436" s="898"/>
      <c r="M436" s="875" t="str">
        <f t="shared" si="16"/>
        <v>0</v>
      </c>
      <c r="N436" s="26" t="str">
        <f t="shared" si="15"/>
        <v>3</v>
      </c>
      <c r="O436" s="26" t="str">
        <f t="shared" si="17"/>
        <v>0</v>
      </c>
    </row>
    <row r="437" spans="2:15" ht="23.75" hidden="1" customHeight="1" x14ac:dyDescent="0.15">
      <c r="B437" s="26">
        <f>'Jrnl Exp ~ Dép'!B369</f>
        <v>0</v>
      </c>
      <c r="C437" s="914">
        <f>'Jrnl Exp ~ Dép'!$D369</f>
        <v>0</v>
      </c>
      <c r="D437" s="912">
        <f>'Jrnl Exp ~ Dép'!$F369</f>
        <v>0</v>
      </c>
      <c r="E437" s="918">
        <f>'Jrnl Exp ~ Dép'!$G369</f>
        <v>0</v>
      </c>
      <c r="F437" s="919">
        <f>'Jrnl Exp ~ Dép'!$E369</f>
        <v>0</v>
      </c>
      <c r="G437" s="920" t="str">
        <f>LEFT('Jrnl Exp ~ Dép'!$H369,4)</f>
        <v/>
      </c>
      <c r="H437" s="923"/>
      <c r="I437" s="895"/>
      <c r="J437" s="895"/>
      <c r="K437" s="895"/>
      <c r="L437" s="898"/>
      <c r="M437" s="875" t="str">
        <f t="shared" si="16"/>
        <v>0</v>
      </c>
      <c r="N437" s="26" t="str">
        <f t="shared" si="15"/>
        <v>3</v>
      </c>
      <c r="O437" s="26" t="str">
        <f t="shared" si="17"/>
        <v>0</v>
      </c>
    </row>
    <row r="438" spans="2:15" ht="23.75" hidden="1" customHeight="1" x14ac:dyDescent="0.15">
      <c r="B438" s="26">
        <f>'Jrnl Exp ~ Dép'!B370</f>
        <v>0</v>
      </c>
      <c r="C438" s="914">
        <f>'Jrnl Exp ~ Dép'!$D370</f>
        <v>0</v>
      </c>
      <c r="D438" s="912">
        <f>'Jrnl Exp ~ Dép'!$F370</f>
        <v>0</v>
      </c>
      <c r="E438" s="918">
        <f>'Jrnl Exp ~ Dép'!$G370</f>
        <v>0</v>
      </c>
      <c r="F438" s="919">
        <f>'Jrnl Exp ~ Dép'!$E370</f>
        <v>0</v>
      </c>
      <c r="G438" s="920" t="str">
        <f>LEFT('Jrnl Exp ~ Dép'!$H370,4)</f>
        <v/>
      </c>
      <c r="H438" s="923"/>
      <c r="I438" s="895"/>
      <c r="J438" s="895"/>
      <c r="K438" s="895"/>
      <c r="L438" s="898"/>
      <c r="M438" s="875" t="str">
        <f t="shared" si="16"/>
        <v>0</v>
      </c>
      <c r="N438" s="26" t="str">
        <f t="shared" si="15"/>
        <v>3</v>
      </c>
      <c r="O438" s="26" t="str">
        <f t="shared" si="17"/>
        <v>0</v>
      </c>
    </row>
    <row r="439" spans="2:15" ht="23.75" hidden="1" customHeight="1" x14ac:dyDescent="0.15">
      <c r="B439" s="26">
        <f>'Jrnl Exp ~ Dép'!B371</f>
        <v>0</v>
      </c>
      <c r="C439" s="914">
        <f>'Jrnl Exp ~ Dép'!$D371</f>
        <v>0</v>
      </c>
      <c r="D439" s="912">
        <f>'Jrnl Exp ~ Dép'!$F371</f>
        <v>0</v>
      </c>
      <c r="E439" s="918">
        <f>'Jrnl Exp ~ Dép'!$G371</f>
        <v>0</v>
      </c>
      <c r="F439" s="919">
        <f>'Jrnl Exp ~ Dép'!$E371</f>
        <v>0</v>
      </c>
      <c r="G439" s="920" t="str">
        <f>LEFT('Jrnl Exp ~ Dép'!$H371,4)</f>
        <v/>
      </c>
      <c r="H439" s="923"/>
      <c r="I439" s="895"/>
      <c r="J439" s="895"/>
      <c r="K439" s="895"/>
      <c r="L439" s="898"/>
      <c r="M439" s="875" t="str">
        <f t="shared" si="16"/>
        <v>0</v>
      </c>
      <c r="N439" s="26" t="str">
        <f t="shared" si="15"/>
        <v>3</v>
      </c>
      <c r="O439" s="26" t="str">
        <f t="shared" si="17"/>
        <v>0</v>
      </c>
    </row>
    <row r="440" spans="2:15" ht="23.75" hidden="1" customHeight="1" x14ac:dyDescent="0.15">
      <c r="B440" s="26">
        <f>'Jrnl Exp ~ Dép'!B372</f>
        <v>0</v>
      </c>
      <c r="C440" s="914">
        <f>'Jrnl Exp ~ Dép'!$D372</f>
        <v>0</v>
      </c>
      <c r="D440" s="912">
        <f>'Jrnl Exp ~ Dép'!$F372</f>
        <v>0</v>
      </c>
      <c r="E440" s="918">
        <f>'Jrnl Exp ~ Dép'!$G372</f>
        <v>0</v>
      </c>
      <c r="F440" s="919">
        <f>'Jrnl Exp ~ Dép'!$E372</f>
        <v>0</v>
      </c>
      <c r="G440" s="920" t="str">
        <f>LEFT('Jrnl Exp ~ Dép'!$H372,4)</f>
        <v/>
      </c>
      <c r="H440" s="923"/>
      <c r="I440" s="895"/>
      <c r="J440" s="895"/>
      <c r="K440" s="895"/>
      <c r="L440" s="898"/>
      <c r="M440" s="875" t="str">
        <f t="shared" si="16"/>
        <v>0</v>
      </c>
      <c r="N440" s="26" t="str">
        <f t="shared" si="15"/>
        <v>3</v>
      </c>
      <c r="O440" s="26" t="str">
        <f t="shared" si="17"/>
        <v>0</v>
      </c>
    </row>
    <row r="441" spans="2:15" ht="23.75" hidden="1" customHeight="1" x14ac:dyDescent="0.15">
      <c r="B441" s="26">
        <f>'Jrnl Exp ~ Dép'!B373</f>
        <v>0</v>
      </c>
      <c r="C441" s="914">
        <f>'Jrnl Exp ~ Dép'!$D373</f>
        <v>0</v>
      </c>
      <c r="D441" s="912">
        <f>'Jrnl Exp ~ Dép'!$F373</f>
        <v>0</v>
      </c>
      <c r="E441" s="918">
        <f>'Jrnl Exp ~ Dép'!$G373</f>
        <v>0</v>
      </c>
      <c r="F441" s="919">
        <f>'Jrnl Exp ~ Dép'!$E373</f>
        <v>0</v>
      </c>
      <c r="G441" s="920" t="str">
        <f>LEFT('Jrnl Exp ~ Dép'!$H373,4)</f>
        <v/>
      </c>
      <c r="H441" s="923"/>
      <c r="I441" s="895"/>
      <c r="J441" s="895"/>
      <c r="K441" s="895"/>
      <c r="L441" s="898"/>
      <c r="M441" s="875" t="str">
        <f t="shared" si="16"/>
        <v>0</v>
      </c>
      <c r="N441" s="26" t="str">
        <f t="shared" si="15"/>
        <v>3</v>
      </c>
      <c r="O441" s="26" t="str">
        <f t="shared" si="17"/>
        <v>0</v>
      </c>
    </row>
    <row r="442" spans="2:15" ht="23.75" hidden="1" customHeight="1" x14ac:dyDescent="0.15">
      <c r="B442" s="26">
        <f>'Jrnl Exp ~ Dép'!B374</f>
        <v>0</v>
      </c>
      <c r="C442" s="914">
        <f>'Jrnl Exp ~ Dép'!$D374</f>
        <v>0</v>
      </c>
      <c r="D442" s="912">
        <f>'Jrnl Exp ~ Dép'!$F374</f>
        <v>0</v>
      </c>
      <c r="E442" s="918">
        <f>'Jrnl Exp ~ Dép'!$G374</f>
        <v>0</v>
      </c>
      <c r="F442" s="919">
        <f>'Jrnl Exp ~ Dép'!$E374</f>
        <v>0</v>
      </c>
      <c r="G442" s="920" t="str">
        <f>LEFT('Jrnl Exp ~ Dép'!$H374,4)</f>
        <v/>
      </c>
      <c r="H442" s="923"/>
      <c r="I442" s="895"/>
      <c r="J442" s="895"/>
      <c r="K442" s="895"/>
      <c r="L442" s="898"/>
      <c r="M442" s="875" t="str">
        <f t="shared" si="16"/>
        <v>0</v>
      </c>
      <c r="N442" s="26" t="str">
        <f t="shared" si="15"/>
        <v>3</v>
      </c>
      <c r="O442" s="26" t="str">
        <f t="shared" si="17"/>
        <v>0</v>
      </c>
    </row>
    <row r="443" spans="2:15" ht="23.75" hidden="1" customHeight="1" x14ac:dyDescent="0.15">
      <c r="B443" s="26">
        <f>'Jrnl Exp ~ Dép'!B375</f>
        <v>0</v>
      </c>
      <c r="C443" s="914">
        <f>'Jrnl Exp ~ Dép'!$D375</f>
        <v>0</v>
      </c>
      <c r="D443" s="912">
        <f>'Jrnl Exp ~ Dép'!$F375</f>
        <v>0</v>
      </c>
      <c r="E443" s="918">
        <f>'Jrnl Exp ~ Dép'!$G375</f>
        <v>0</v>
      </c>
      <c r="F443" s="919">
        <f>'Jrnl Exp ~ Dép'!$E375</f>
        <v>0</v>
      </c>
      <c r="G443" s="920" t="str">
        <f>LEFT('Jrnl Exp ~ Dép'!$H375,4)</f>
        <v/>
      </c>
      <c r="H443" s="923"/>
      <c r="I443" s="895"/>
      <c r="J443" s="895"/>
      <c r="K443" s="895"/>
      <c r="L443" s="898"/>
      <c r="M443" s="875" t="str">
        <f t="shared" si="16"/>
        <v>0</v>
      </c>
      <c r="N443" s="26" t="str">
        <f t="shared" si="15"/>
        <v>3</v>
      </c>
      <c r="O443" s="26" t="str">
        <f t="shared" si="17"/>
        <v>0</v>
      </c>
    </row>
    <row r="444" spans="2:15" ht="23.75" hidden="1" customHeight="1" x14ac:dyDescent="0.15">
      <c r="B444" s="26">
        <f>'Jrnl Exp ~ Dép'!B376</f>
        <v>0</v>
      </c>
      <c r="C444" s="914">
        <f>'Jrnl Exp ~ Dép'!$D376</f>
        <v>0</v>
      </c>
      <c r="D444" s="912">
        <f>'Jrnl Exp ~ Dép'!$F376</f>
        <v>0</v>
      </c>
      <c r="E444" s="918">
        <f>'Jrnl Exp ~ Dép'!$G376</f>
        <v>0</v>
      </c>
      <c r="F444" s="919">
        <f>'Jrnl Exp ~ Dép'!$E376</f>
        <v>0</v>
      </c>
      <c r="G444" s="920" t="str">
        <f>LEFT('Jrnl Exp ~ Dép'!$H376,4)</f>
        <v/>
      </c>
      <c r="H444" s="923"/>
      <c r="I444" s="895"/>
      <c r="J444" s="895"/>
      <c r="K444" s="895"/>
      <c r="L444" s="898"/>
      <c r="M444" s="875" t="str">
        <f t="shared" si="16"/>
        <v>0</v>
      </c>
      <c r="N444" s="26" t="str">
        <f t="shared" si="15"/>
        <v>3</v>
      </c>
      <c r="O444" s="26" t="str">
        <f t="shared" si="17"/>
        <v>0</v>
      </c>
    </row>
    <row r="445" spans="2:15" ht="23.75" hidden="1" customHeight="1" x14ac:dyDescent="0.15">
      <c r="B445" s="26">
        <f>'Jrnl Exp ~ Dép'!B377</f>
        <v>0</v>
      </c>
      <c r="C445" s="914">
        <f>'Jrnl Exp ~ Dép'!$D377</f>
        <v>0</v>
      </c>
      <c r="D445" s="912">
        <f>'Jrnl Exp ~ Dép'!$F377</f>
        <v>0</v>
      </c>
      <c r="E445" s="918">
        <f>'Jrnl Exp ~ Dép'!$G377</f>
        <v>0</v>
      </c>
      <c r="F445" s="919">
        <f>'Jrnl Exp ~ Dép'!$E377</f>
        <v>0</v>
      </c>
      <c r="G445" s="920" t="str">
        <f>LEFT('Jrnl Exp ~ Dép'!$H377,4)</f>
        <v/>
      </c>
      <c r="H445" s="923"/>
      <c r="I445" s="895"/>
      <c r="J445" s="895"/>
      <c r="K445" s="895"/>
      <c r="L445" s="898"/>
      <c r="M445" s="875" t="str">
        <f t="shared" si="16"/>
        <v>0</v>
      </c>
      <c r="N445" s="26" t="str">
        <f t="shared" si="15"/>
        <v>3</v>
      </c>
      <c r="O445" s="26" t="str">
        <f t="shared" si="17"/>
        <v>0</v>
      </c>
    </row>
    <row r="446" spans="2:15" ht="23.75" hidden="1" customHeight="1" x14ac:dyDescent="0.15">
      <c r="B446" s="26">
        <f>'Jrnl Exp ~ Dép'!B378</f>
        <v>0</v>
      </c>
      <c r="C446" s="914">
        <f>'Jrnl Exp ~ Dép'!$D378</f>
        <v>0</v>
      </c>
      <c r="D446" s="912">
        <f>'Jrnl Exp ~ Dép'!$F378</f>
        <v>0</v>
      </c>
      <c r="E446" s="918">
        <f>'Jrnl Exp ~ Dép'!$G378</f>
        <v>0</v>
      </c>
      <c r="F446" s="919">
        <f>'Jrnl Exp ~ Dép'!$E378</f>
        <v>0</v>
      </c>
      <c r="G446" s="920" t="str">
        <f>LEFT('Jrnl Exp ~ Dép'!$H378,4)</f>
        <v/>
      </c>
      <c r="H446" s="923"/>
      <c r="I446" s="895"/>
      <c r="J446" s="895"/>
      <c r="K446" s="895"/>
      <c r="L446" s="898"/>
      <c r="M446" s="875" t="str">
        <f t="shared" si="16"/>
        <v>0</v>
      </c>
      <c r="N446" s="26" t="str">
        <f t="shared" si="15"/>
        <v>3</v>
      </c>
      <c r="O446" s="26" t="str">
        <f t="shared" si="17"/>
        <v>0</v>
      </c>
    </row>
    <row r="447" spans="2:15" ht="23.75" hidden="1" customHeight="1" x14ac:dyDescent="0.15">
      <c r="B447" s="26">
        <f>'Jrnl Exp ~ Dép'!B379</f>
        <v>0</v>
      </c>
      <c r="C447" s="914">
        <f>'Jrnl Exp ~ Dép'!$D379</f>
        <v>0</v>
      </c>
      <c r="D447" s="912">
        <f>'Jrnl Exp ~ Dép'!$F379</f>
        <v>0</v>
      </c>
      <c r="E447" s="918">
        <f>'Jrnl Exp ~ Dép'!$G379</f>
        <v>0</v>
      </c>
      <c r="F447" s="919">
        <f>'Jrnl Exp ~ Dép'!$E379</f>
        <v>0</v>
      </c>
      <c r="G447" s="920" t="str">
        <f>LEFT('Jrnl Exp ~ Dép'!$H379,4)</f>
        <v/>
      </c>
      <c r="H447" s="923"/>
      <c r="I447" s="895"/>
      <c r="J447" s="895"/>
      <c r="K447" s="895"/>
      <c r="L447" s="898"/>
      <c r="M447" s="875" t="str">
        <f t="shared" si="16"/>
        <v>0</v>
      </c>
      <c r="N447" s="26" t="str">
        <f t="shared" si="15"/>
        <v>3</v>
      </c>
      <c r="O447" s="26" t="str">
        <f t="shared" si="17"/>
        <v>0</v>
      </c>
    </row>
    <row r="448" spans="2:15" ht="23.75" hidden="1" customHeight="1" x14ac:dyDescent="0.15">
      <c r="B448" s="26">
        <f>'Jrnl Exp ~ Dép'!B380</f>
        <v>0</v>
      </c>
      <c r="C448" s="914">
        <f>'Jrnl Exp ~ Dép'!$D380</f>
        <v>0</v>
      </c>
      <c r="D448" s="912">
        <f>'Jrnl Exp ~ Dép'!$F380</f>
        <v>0</v>
      </c>
      <c r="E448" s="918">
        <f>'Jrnl Exp ~ Dép'!$G380</f>
        <v>0</v>
      </c>
      <c r="F448" s="919">
        <f>'Jrnl Exp ~ Dép'!$E380</f>
        <v>0</v>
      </c>
      <c r="G448" s="920" t="str">
        <f>LEFT('Jrnl Exp ~ Dép'!$H380,4)</f>
        <v/>
      </c>
      <c r="H448" s="923"/>
      <c r="I448" s="895"/>
      <c r="J448" s="895"/>
      <c r="K448" s="895"/>
      <c r="L448" s="898"/>
      <c r="M448" s="875" t="str">
        <f t="shared" si="16"/>
        <v>0</v>
      </c>
      <c r="N448" s="26" t="str">
        <f t="shared" si="15"/>
        <v>3</v>
      </c>
      <c r="O448" s="26" t="str">
        <f t="shared" si="17"/>
        <v>0</v>
      </c>
    </row>
    <row r="449" spans="2:15" ht="23.75" hidden="1" customHeight="1" x14ac:dyDescent="0.15">
      <c r="B449" s="26">
        <f>'Jrnl Exp ~ Dép'!B381</f>
        <v>0</v>
      </c>
      <c r="C449" s="914">
        <f>'Jrnl Exp ~ Dép'!$D381</f>
        <v>0</v>
      </c>
      <c r="D449" s="912">
        <f>'Jrnl Exp ~ Dép'!$F381</f>
        <v>0</v>
      </c>
      <c r="E449" s="918">
        <f>'Jrnl Exp ~ Dép'!$G381</f>
        <v>0</v>
      </c>
      <c r="F449" s="919">
        <f>'Jrnl Exp ~ Dép'!$E381</f>
        <v>0</v>
      </c>
      <c r="G449" s="920" t="str">
        <f>LEFT('Jrnl Exp ~ Dép'!$H381,4)</f>
        <v/>
      </c>
      <c r="H449" s="923"/>
      <c r="I449" s="895"/>
      <c r="J449" s="895"/>
      <c r="K449" s="895"/>
      <c r="L449" s="898"/>
      <c r="M449" s="875" t="str">
        <f t="shared" si="16"/>
        <v>0</v>
      </c>
      <c r="N449" s="26" t="str">
        <f t="shared" si="15"/>
        <v>3</v>
      </c>
      <c r="O449" s="26" t="str">
        <f t="shared" si="17"/>
        <v>0</v>
      </c>
    </row>
    <row r="450" spans="2:15" ht="23.75" hidden="1" customHeight="1" x14ac:dyDescent="0.15">
      <c r="B450" s="26">
        <f>'Jrnl Exp ~ Dép'!B382</f>
        <v>0</v>
      </c>
      <c r="C450" s="914">
        <f>'Jrnl Exp ~ Dép'!$D382</f>
        <v>0</v>
      </c>
      <c r="D450" s="912">
        <f>'Jrnl Exp ~ Dép'!$F382</f>
        <v>0</v>
      </c>
      <c r="E450" s="918">
        <f>'Jrnl Exp ~ Dép'!$G382</f>
        <v>0</v>
      </c>
      <c r="F450" s="919">
        <f>'Jrnl Exp ~ Dép'!$E382</f>
        <v>0</v>
      </c>
      <c r="G450" s="920" t="str">
        <f>LEFT('Jrnl Exp ~ Dép'!$H382,4)</f>
        <v/>
      </c>
      <c r="H450" s="923"/>
      <c r="I450" s="895"/>
      <c r="J450" s="895"/>
      <c r="K450" s="895"/>
      <c r="L450" s="898"/>
      <c r="M450" s="875" t="str">
        <f t="shared" si="16"/>
        <v>0</v>
      </c>
      <c r="N450" s="26" t="str">
        <f t="shared" si="15"/>
        <v>3</v>
      </c>
      <c r="O450" s="26" t="str">
        <f t="shared" si="17"/>
        <v>0</v>
      </c>
    </row>
    <row r="451" spans="2:15" ht="23.75" hidden="1" customHeight="1" x14ac:dyDescent="0.15">
      <c r="B451" s="26">
        <f>'Jrnl Exp ~ Dép'!B383</f>
        <v>0</v>
      </c>
      <c r="C451" s="914">
        <f>'Jrnl Exp ~ Dép'!$D383</f>
        <v>0</v>
      </c>
      <c r="D451" s="912">
        <f>'Jrnl Exp ~ Dép'!$F383</f>
        <v>0</v>
      </c>
      <c r="E451" s="918">
        <f>'Jrnl Exp ~ Dép'!$G383</f>
        <v>0</v>
      </c>
      <c r="F451" s="919">
        <f>'Jrnl Exp ~ Dép'!$E383</f>
        <v>0</v>
      </c>
      <c r="G451" s="920" t="str">
        <f>LEFT('Jrnl Exp ~ Dép'!$H383,4)</f>
        <v/>
      </c>
      <c r="H451" s="923"/>
      <c r="I451" s="895"/>
      <c r="J451" s="895"/>
      <c r="K451" s="895"/>
      <c r="L451" s="898"/>
      <c r="M451" s="875" t="str">
        <f t="shared" si="16"/>
        <v>0</v>
      </c>
      <c r="N451" s="26" t="str">
        <f t="shared" si="15"/>
        <v>3</v>
      </c>
      <c r="O451" s="26" t="str">
        <f t="shared" si="17"/>
        <v>0</v>
      </c>
    </row>
    <row r="452" spans="2:15" ht="23.75" hidden="1" customHeight="1" x14ac:dyDescent="0.15">
      <c r="B452" s="26">
        <f>'Jrnl Exp ~ Dép'!B384</f>
        <v>0</v>
      </c>
      <c r="C452" s="914">
        <f>'Jrnl Exp ~ Dép'!$D384</f>
        <v>0</v>
      </c>
      <c r="D452" s="912">
        <f>'Jrnl Exp ~ Dép'!$F384</f>
        <v>0</v>
      </c>
      <c r="E452" s="918">
        <f>'Jrnl Exp ~ Dép'!$G384</f>
        <v>0</v>
      </c>
      <c r="F452" s="919">
        <f>'Jrnl Exp ~ Dép'!$E384</f>
        <v>0</v>
      </c>
      <c r="G452" s="920" t="str">
        <f>LEFT('Jrnl Exp ~ Dép'!$H384,4)</f>
        <v/>
      </c>
      <c r="H452" s="923"/>
      <c r="I452" s="895"/>
      <c r="J452" s="895"/>
      <c r="K452" s="895"/>
      <c r="L452" s="898"/>
      <c r="M452" s="875" t="str">
        <f t="shared" si="16"/>
        <v>0</v>
      </c>
      <c r="N452" s="26" t="str">
        <f t="shared" si="15"/>
        <v>3</v>
      </c>
      <c r="O452" s="26" t="str">
        <f t="shared" si="17"/>
        <v>0</v>
      </c>
    </row>
    <row r="453" spans="2:15" ht="23.75" hidden="1" customHeight="1" x14ac:dyDescent="0.15">
      <c r="B453" s="26">
        <f>'Jrnl Exp ~ Dép'!B385</f>
        <v>0</v>
      </c>
      <c r="C453" s="914">
        <f>'Jrnl Exp ~ Dép'!$D385</f>
        <v>0</v>
      </c>
      <c r="D453" s="912">
        <f>'Jrnl Exp ~ Dép'!$F385</f>
        <v>0</v>
      </c>
      <c r="E453" s="918">
        <f>'Jrnl Exp ~ Dép'!$G385</f>
        <v>0</v>
      </c>
      <c r="F453" s="919">
        <f>'Jrnl Exp ~ Dép'!$E385</f>
        <v>0</v>
      </c>
      <c r="G453" s="920" t="str">
        <f>LEFT('Jrnl Exp ~ Dép'!$H385,4)</f>
        <v/>
      </c>
      <c r="H453" s="923"/>
      <c r="I453" s="895"/>
      <c r="J453" s="895"/>
      <c r="K453" s="895"/>
      <c r="L453" s="898"/>
      <c r="M453" s="875" t="str">
        <f t="shared" si="16"/>
        <v>0</v>
      </c>
      <c r="N453" s="26" t="str">
        <f t="shared" si="15"/>
        <v>3</v>
      </c>
      <c r="O453" s="26" t="str">
        <f t="shared" si="17"/>
        <v>0</v>
      </c>
    </row>
    <row r="454" spans="2:15" ht="23.75" hidden="1" customHeight="1" x14ac:dyDescent="0.15">
      <c r="B454" s="26">
        <f>'Jrnl Exp ~ Dép'!B386</f>
        <v>0</v>
      </c>
      <c r="C454" s="914">
        <f>'Jrnl Exp ~ Dép'!$D386</f>
        <v>0</v>
      </c>
      <c r="D454" s="912">
        <f>'Jrnl Exp ~ Dép'!$F386</f>
        <v>0</v>
      </c>
      <c r="E454" s="918">
        <f>'Jrnl Exp ~ Dép'!$G386</f>
        <v>0</v>
      </c>
      <c r="F454" s="919">
        <f>'Jrnl Exp ~ Dép'!$E386</f>
        <v>0</v>
      </c>
      <c r="G454" s="920" t="str">
        <f>LEFT('Jrnl Exp ~ Dép'!$H386,4)</f>
        <v/>
      </c>
      <c r="H454" s="923"/>
      <c r="I454" s="895"/>
      <c r="J454" s="895"/>
      <c r="K454" s="895"/>
      <c r="L454" s="898"/>
      <c r="M454" s="875" t="str">
        <f t="shared" si="16"/>
        <v>0</v>
      </c>
      <c r="N454" s="26" t="str">
        <f t="shared" si="15"/>
        <v>3</v>
      </c>
      <c r="O454" s="26" t="str">
        <f t="shared" si="17"/>
        <v>0</v>
      </c>
    </row>
    <row r="455" spans="2:15" ht="23.75" hidden="1" customHeight="1" x14ac:dyDescent="0.15">
      <c r="B455" s="26">
        <f>'Jrnl Exp ~ Dép'!B387</f>
        <v>0</v>
      </c>
      <c r="C455" s="914">
        <f>'Jrnl Exp ~ Dép'!$D387</f>
        <v>0</v>
      </c>
      <c r="D455" s="912">
        <f>'Jrnl Exp ~ Dép'!$F387</f>
        <v>0</v>
      </c>
      <c r="E455" s="918">
        <f>'Jrnl Exp ~ Dép'!$G387</f>
        <v>0</v>
      </c>
      <c r="F455" s="919">
        <f>'Jrnl Exp ~ Dép'!$E387</f>
        <v>0</v>
      </c>
      <c r="G455" s="920" t="str">
        <f>LEFT('Jrnl Exp ~ Dép'!$H387,4)</f>
        <v/>
      </c>
      <c r="H455" s="923"/>
      <c r="I455" s="895"/>
      <c r="J455" s="895"/>
      <c r="K455" s="895"/>
      <c r="L455" s="898"/>
      <c r="M455" s="875" t="str">
        <f t="shared" si="16"/>
        <v>0</v>
      </c>
      <c r="N455" s="26" t="str">
        <f t="shared" si="15"/>
        <v>3</v>
      </c>
      <c r="O455" s="26" t="str">
        <f t="shared" si="17"/>
        <v>0</v>
      </c>
    </row>
    <row r="456" spans="2:15" ht="23.75" hidden="1" customHeight="1" x14ac:dyDescent="0.15">
      <c r="B456" s="26">
        <f>'Jrnl Exp ~ Dép'!B388</f>
        <v>0</v>
      </c>
      <c r="C456" s="914">
        <f>'Jrnl Exp ~ Dép'!$D388</f>
        <v>0</v>
      </c>
      <c r="D456" s="912">
        <f>'Jrnl Exp ~ Dép'!$F388</f>
        <v>0</v>
      </c>
      <c r="E456" s="918">
        <f>'Jrnl Exp ~ Dép'!$G388</f>
        <v>0</v>
      </c>
      <c r="F456" s="919">
        <f>'Jrnl Exp ~ Dép'!$E388</f>
        <v>0</v>
      </c>
      <c r="G456" s="920" t="str">
        <f>LEFT('Jrnl Exp ~ Dép'!$H388,4)</f>
        <v/>
      </c>
      <c r="H456" s="923"/>
      <c r="I456" s="895"/>
      <c r="J456" s="895"/>
      <c r="K456" s="895"/>
      <c r="L456" s="898"/>
      <c r="M456" s="875" t="str">
        <f t="shared" si="16"/>
        <v>0</v>
      </c>
      <c r="N456" s="26" t="str">
        <f t="shared" si="15"/>
        <v>3</v>
      </c>
      <c r="O456" s="26" t="str">
        <f t="shared" si="17"/>
        <v>0</v>
      </c>
    </row>
    <row r="457" spans="2:15" ht="23.75" hidden="1" customHeight="1" x14ac:dyDescent="0.15">
      <c r="B457" s="26">
        <f>'Jrnl Exp ~ Dép'!B389</f>
        <v>0</v>
      </c>
      <c r="C457" s="914">
        <f>'Jrnl Exp ~ Dép'!$D389</f>
        <v>0</v>
      </c>
      <c r="D457" s="912">
        <f>'Jrnl Exp ~ Dép'!$F389</f>
        <v>0</v>
      </c>
      <c r="E457" s="918">
        <f>'Jrnl Exp ~ Dép'!$G389</f>
        <v>0</v>
      </c>
      <c r="F457" s="919">
        <f>'Jrnl Exp ~ Dép'!$E389</f>
        <v>0</v>
      </c>
      <c r="G457" s="920" t="str">
        <f>LEFT('Jrnl Exp ~ Dép'!$H389,4)</f>
        <v/>
      </c>
      <c r="H457" s="923"/>
      <c r="I457" s="895"/>
      <c r="J457" s="895"/>
      <c r="K457" s="895"/>
      <c r="L457" s="898"/>
      <c r="M457" s="875" t="str">
        <f t="shared" si="16"/>
        <v>0</v>
      </c>
      <c r="N457" s="26" t="str">
        <f t="shared" si="15"/>
        <v>3</v>
      </c>
      <c r="O457" s="26" t="str">
        <f t="shared" si="17"/>
        <v>0</v>
      </c>
    </row>
    <row r="458" spans="2:15" ht="23.75" hidden="1" customHeight="1" x14ac:dyDescent="0.15">
      <c r="B458" s="26">
        <f>'Jrnl Exp ~ Dép'!B390</f>
        <v>0</v>
      </c>
      <c r="C458" s="914">
        <f>'Jrnl Exp ~ Dép'!$D390</f>
        <v>0</v>
      </c>
      <c r="D458" s="912">
        <f>'Jrnl Exp ~ Dép'!$F390</f>
        <v>0</v>
      </c>
      <c r="E458" s="918">
        <f>'Jrnl Exp ~ Dép'!$G390</f>
        <v>0</v>
      </c>
      <c r="F458" s="919">
        <f>'Jrnl Exp ~ Dép'!$E390</f>
        <v>0</v>
      </c>
      <c r="G458" s="920" t="str">
        <f>LEFT('Jrnl Exp ~ Dép'!$H390,4)</f>
        <v/>
      </c>
      <c r="H458" s="923"/>
      <c r="I458" s="895"/>
      <c r="J458" s="895"/>
      <c r="K458" s="895"/>
      <c r="L458" s="898"/>
      <c r="M458" s="875" t="str">
        <f t="shared" si="16"/>
        <v>0</v>
      </c>
      <c r="N458" s="26" t="str">
        <f t="shared" si="15"/>
        <v>3</v>
      </c>
      <c r="O458" s="26" t="str">
        <f t="shared" si="17"/>
        <v>0</v>
      </c>
    </row>
    <row r="459" spans="2:15" ht="23.75" hidden="1" customHeight="1" x14ac:dyDescent="0.15">
      <c r="B459" s="26">
        <f>'Jrnl Exp ~ Dép'!B391</f>
        <v>0</v>
      </c>
      <c r="C459" s="914">
        <f>'Jrnl Exp ~ Dép'!$D391</f>
        <v>0</v>
      </c>
      <c r="D459" s="912">
        <f>'Jrnl Exp ~ Dép'!$F391</f>
        <v>0</v>
      </c>
      <c r="E459" s="918">
        <f>'Jrnl Exp ~ Dép'!$G391</f>
        <v>0</v>
      </c>
      <c r="F459" s="919">
        <f>'Jrnl Exp ~ Dép'!$E391</f>
        <v>0</v>
      </c>
      <c r="G459" s="920" t="str">
        <f>LEFT('Jrnl Exp ~ Dép'!$H391,4)</f>
        <v/>
      </c>
      <c r="H459" s="923"/>
      <c r="I459" s="895"/>
      <c r="J459" s="895"/>
      <c r="K459" s="895"/>
      <c r="L459" s="898"/>
      <c r="M459" s="875" t="str">
        <f t="shared" si="16"/>
        <v>0</v>
      </c>
      <c r="N459" s="26" t="str">
        <f t="shared" si="15"/>
        <v>3</v>
      </c>
      <c r="O459" s="26" t="str">
        <f t="shared" si="17"/>
        <v>0</v>
      </c>
    </row>
    <row r="460" spans="2:15" ht="23.75" hidden="1" customHeight="1" x14ac:dyDescent="0.15">
      <c r="B460" s="26">
        <f>'Jrnl Exp ~ Dép'!B392</f>
        <v>0</v>
      </c>
      <c r="C460" s="914">
        <f>'Jrnl Exp ~ Dép'!$D392</f>
        <v>0</v>
      </c>
      <c r="D460" s="912">
        <f>'Jrnl Exp ~ Dép'!$F392</f>
        <v>0</v>
      </c>
      <c r="E460" s="918">
        <f>'Jrnl Exp ~ Dép'!$G392</f>
        <v>0</v>
      </c>
      <c r="F460" s="919">
        <f>'Jrnl Exp ~ Dép'!$E392</f>
        <v>0</v>
      </c>
      <c r="G460" s="920" t="str">
        <f>LEFT('Jrnl Exp ~ Dép'!$H392,4)</f>
        <v/>
      </c>
      <c r="H460" s="923"/>
      <c r="I460" s="895"/>
      <c r="J460" s="895"/>
      <c r="K460" s="895"/>
      <c r="L460" s="898"/>
      <c r="M460" s="875" t="str">
        <f t="shared" si="16"/>
        <v>0</v>
      </c>
      <c r="N460" s="26" t="str">
        <f t="shared" si="15"/>
        <v>3</v>
      </c>
      <c r="O460" s="26" t="str">
        <f t="shared" si="17"/>
        <v>0</v>
      </c>
    </row>
    <row r="461" spans="2:15" ht="23.75" hidden="1" customHeight="1" x14ac:dyDescent="0.15">
      <c r="B461" s="26">
        <f>'Jrnl Exp ~ Dép'!B393</f>
        <v>0</v>
      </c>
      <c r="C461" s="914">
        <f>'Jrnl Exp ~ Dép'!$D393</f>
        <v>0</v>
      </c>
      <c r="D461" s="912">
        <f>'Jrnl Exp ~ Dép'!$F393</f>
        <v>0</v>
      </c>
      <c r="E461" s="918">
        <f>'Jrnl Exp ~ Dép'!$G393</f>
        <v>0</v>
      </c>
      <c r="F461" s="919">
        <f>'Jrnl Exp ~ Dép'!$E393</f>
        <v>0</v>
      </c>
      <c r="G461" s="920" t="str">
        <f>LEFT('Jrnl Exp ~ Dép'!$H393,4)</f>
        <v/>
      </c>
      <c r="H461" s="923"/>
      <c r="I461" s="895"/>
      <c r="J461" s="895"/>
      <c r="K461" s="895"/>
      <c r="L461" s="898"/>
      <c r="M461" s="875" t="str">
        <f t="shared" si="16"/>
        <v>0</v>
      </c>
      <c r="N461" s="26" t="str">
        <f t="shared" si="15"/>
        <v>3</v>
      </c>
      <c r="O461" s="26" t="str">
        <f t="shared" si="17"/>
        <v>0</v>
      </c>
    </row>
    <row r="462" spans="2:15" ht="23.75" hidden="1" customHeight="1" x14ac:dyDescent="0.15">
      <c r="B462" s="26">
        <f>'Jrnl Exp ~ Dép'!B394</f>
        <v>0</v>
      </c>
      <c r="C462" s="914">
        <f>'Jrnl Exp ~ Dép'!$D394</f>
        <v>0</v>
      </c>
      <c r="D462" s="912">
        <f>'Jrnl Exp ~ Dép'!$F394</f>
        <v>0</v>
      </c>
      <c r="E462" s="918">
        <f>'Jrnl Exp ~ Dép'!$G394</f>
        <v>0</v>
      </c>
      <c r="F462" s="919">
        <f>'Jrnl Exp ~ Dép'!$E394</f>
        <v>0</v>
      </c>
      <c r="G462" s="920" t="str">
        <f>LEFT('Jrnl Exp ~ Dép'!$H394,4)</f>
        <v/>
      </c>
      <c r="H462" s="923"/>
      <c r="I462" s="895"/>
      <c r="J462" s="895"/>
      <c r="K462" s="895"/>
      <c r="L462" s="898"/>
      <c r="M462" s="875" t="str">
        <f t="shared" si="16"/>
        <v>0</v>
      </c>
      <c r="N462" s="26" t="str">
        <f t="shared" si="15"/>
        <v>3</v>
      </c>
      <c r="O462" s="26" t="str">
        <f t="shared" si="17"/>
        <v>0</v>
      </c>
    </row>
    <row r="463" spans="2:15" ht="23.75" hidden="1" customHeight="1" x14ac:dyDescent="0.15">
      <c r="B463" s="26">
        <f>'Jrnl Exp ~ Dép'!B395</f>
        <v>0</v>
      </c>
      <c r="C463" s="914">
        <f>'Jrnl Exp ~ Dép'!$D395</f>
        <v>0</v>
      </c>
      <c r="D463" s="912">
        <f>'Jrnl Exp ~ Dép'!$F395</f>
        <v>0</v>
      </c>
      <c r="E463" s="918">
        <f>'Jrnl Exp ~ Dép'!$G395</f>
        <v>0</v>
      </c>
      <c r="F463" s="919">
        <f>'Jrnl Exp ~ Dép'!$E395</f>
        <v>0</v>
      </c>
      <c r="G463" s="920" t="str">
        <f>LEFT('Jrnl Exp ~ Dép'!$H395,4)</f>
        <v/>
      </c>
      <c r="H463" s="923"/>
      <c r="I463" s="895"/>
      <c r="J463" s="895"/>
      <c r="K463" s="895"/>
      <c r="L463" s="898"/>
      <c r="M463" s="875" t="str">
        <f t="shared" si="16"/>
        <v>0</v>
      </c>
      <c r="N463" s="26" t="str">
        <f t="shared" si="15"/>
        <v>3</v>
      </c>
      <c r="O463" s="26" t="str">
        <f t="shared" si="17"/>
        <v>0</v>
      </c>
    </row>
    <row r="464" spans="2:15" ht="23.75" hidden="1" customHeight="1" x14ac:dyDescent="0.15">
      <c r="B464" s="26">
        <f>'Jrnl Exp ~ Dép'!B396</f>
        <v>0</v>
      </c>
      <c r="C464" s="914">
        <f>'Jrnl Exp ~ Dép'!$D396</f>
        <v>0</v>
      </c>
      <c r="D464" s="912">
        <f>'Jrnl Exp ~ Dép'!$F396</f>
        <v>0</v>
      </c>
      <c r="E464" s="918">
        <f>'Jrnl Exp ~ Dép'!$G396</f>
        <v>0</v>
      </c>
      <c r="F464" s="919">
        <f>'Jrnl Exp ~ Dép'!$E396</f>
        <v>0</v>
      </c>
      <c r="G464" s="920" t="str">
        <f>LEFT('Jrnl Exp ~ Dép'!$H396,4)</f>
        <v/>
      </c>
      <c r="H464" s="923"/>
      <c r="I464" s="895"/>
      <c r="J464" s="895"/>
      <c r="K464" s="895"/>
      <c r="L464" s="898"/>
      <c r="M464" s="875" t="str">
        <f t="shared" si="16"/>
        <v>0</v>
      </c>
      <c r="N464" s="26" t="str">
        <f t="shared" si="15"/>
        <v>3</v>
      </c>
      <c r="O464" s="26" t="str">
        <f t="shared" si="17"/>
        <v>0</v>
      </c>
    </row>
    <row r="465" spans="2:15" ht="23.75" hidden="1" customHeight="1" x14ac:dyDescent="0.15">
      <c r="B465" s="26">
        <f>'Jrnl Exp ~ Dép'!B397</f>
        <v>0</v>
      </c>
      <c r="C465" s="914">
        <f>'Jrnl Exp ~ Dép'!$D397</f>
        <v>0</v>
      </c>
      <c r="D465" s="912">
        <f>'Jrnl Exp ~ Dép'!$F397</f>
        <v>0</v>
      </c>
      <c r="E465" s="918">
        <f>'Jrnl Exp ~ Dép'!$G397</f>
        <v>0</v>
      </c>
      <c r="F465" s="919">
        <f>'Jrnl Exp ~ Dép'!$E397</f>
        <v>0</v>
      </c>
      <c r="G465" s="920" t="str">
        <f>LEFT('Jrnl Exp ~ Dép'!$H397,4)</f>
        <v/>
      </c>
      <c r="H465" s="923"/>
      <c r="I465" s="895"/>
      <c r="J465" s="895"/>
      <c r="K465" s="895"/>
      <c r="L465" s="898"/>
      <c r="M465" s="875" t="str">
        <f t="shared" si="16"/>
        <v>0</v>
      </c>
      <c r="N465" s="26" t="str">
        <f t="shared" si="15"/>
        <v>3</v>
      </c>
      <c r="O465" s="26" t="str">
        <f t="shared" si="17"/>
        <v>0</v>
      </c>
    </row>
    <row r="466" spans="2:15" ht="23.75" hidden="1" customHeight="1" x14ac:dyDescent="0.15">
      <c r="B466" s="26">
        <f>'Jrnl Exp ~ Dép'!B398</f>
        <v>0</v>
      </c>
      <c r="C466" s="914">
        <f>'Jrnl Exp ~ Dép'!$D398</f>
        <v>0</v>
      </c>
      <c r="D466" s="912">
        <f>'Jrnl Exp ~ Dép'!$F398</f>
        <v>0</v>
      </c>
      <c r="E466" s="918">
        <f>'Jrnl Exp ~ Dép'!$G398</f>
        <v>0</v>
      </c>
      <c r="F466" s="919">
        <f>'Jrnl Exp ~ Dép'!$E398</f>
        <v>0</v>
      </c>
      <c r="G466" s="920" t="str">
        <f>LEFT('Jrnl Exp ~ Dép'!$H398,4)</f>
        <v/>
      </c>
      <c r="H466" s="923"/>
      <c r="I466" s="895"/>
      <c r="J466" s="895"/>
      <c r="K466" s="895"/>
      <c r="L466" s="898"/>
      <c r="M466" s="875" t="str">
        <f t="shared" si="16"/>
        <v>0</v>
      </c>
      <c r="N466" s="26" t="str">
        <f t="shared" si="15"/>
        <v>3</v>
      </c>
      <c r="O466" s="26" t="str">
        <f t="shared" si="17"/>
        <v>0</v>
      </c>
    </row>
    <row r="467" spans="2:15" ht="23.75" hidden="1" customHeight="1" x14ac:dyDescent="0.15">
      <c r="B467" s="26">
        <f>'Jrnl Exp ~ Dép'!B399</f>
        <v>0</v>
      </c>
      <c r="C467" s="914">
        <f>'Jrnl Exp ~ Dép'!$D399</f>
        <v>0</v>
      </c>
      <c r="D467" s="912">
        <f>'Jrnl Exp ~ Dép'!$F399</f>
        <v>0</v>
      </c>
      <c r="E467" s="918">
        <f>'Jrnl Exp ~ Dép'!$G399</f>
        <v>0</v>
      </c>
      <c r="F467" s="919">
        <f>'Jrnl Exp ~ Dép'!$E399</f>
        <v>0</v>
      </c>
      <c r="G467" s="920" t="str">
        <f>LEFT('Jrnl Exp ~ Dép'!$H399,4)</f>
        <v/>
      </c>
      <c r="H467" s="923"/>
      <c r="I467" s="895"/>
      <c r="J467" s="895"/>
      <c r="K467" s="895"/>
      <c r="L467" s="898"/>
      <c r="M467" s="875" t="str">
        <f t="shared" si="16"/>
        <v>0</v>
      </c>
      <c r="N467" s="26" t="str">
        <f t="shared" si="15"/>
        <v>3</v>
      </c>
      <c r="O467" s="26" t="str">
        <f t="shared" si="17"/>
        <v>0</v>
      </c>
    </row>
    <row r="468" spans="2:15" ht="23.75" hidden="1" customHeight="1" x14ac:dyDescent="0.15">
      <c r="B468" s="26">
        <f>'Jrnl Exp ~ Dép'!B400</f>
        <v>0</v>
      </c>
      <c r="C468" s="914">
        <f>'Jrnl Exp ~ Dép'!$D400</f>
        <v>0</v>
      </c>
      <c r="D468" s="912">
        <f>'Jrnl Exp ~ Dép'!$F400</f>
        <v>0</v>
      </c>
      <c r="E468" s="918">
        <f>'Jrnl Exp ~ Dép'!$G400</f>
        <v>0</v>
      </c>
      <c r="F468" s="919">
        <f>'Jrnl Exp ~ Dép'!$E400</f>
        <v>0</v>
      </c>
      <c r="G468" s="920" t="str">
        <f>LEFT('Jrnl Exp ~ Dép'!$H400,4)</f>
        <v/>
      </c>
      <c r="H468" s="923"/>
      <c r="I468" s="895"/>
      <c r="J468" s="895"/>
      <c r="K468" s="895"/>
      <c r="L468" s="898"/>
      <c r="M468" s="875" t="str">
        <f t="shared" si="16"/>
        <v>0</v>
      </c>
      <c r="N468" s="26" t="str">
        <f t="shared" ref="N468:N531" si="18">IF(B468="√","2","3")</f>
        <v>3</v>
      </c>
      <c r="O468" s="26" t="str">
        <f t="shared" si="17"/>
        <v>0</v>
      </c>
    </row>
    <row r="469" spans="2:15" ht="23.75" hidden="1" customHeight="1" x14ac:dyDescent="0.15">
      <c r="B469" s="26">
        <f>'Jrnl Exp ~ Dép'!B401</f>
        <v>0</v>
      </c>
      <c r="C469" s="914">
        <f>'Jrnl Exp ~ Dép'!$D401</f>
        <v>0</v>
      </c>
      <c r="D469" s="912">
        <f>'Jrnl Exp ~ Dép'!$F401</f>
        <v>0</v>
      </c>
      <c r="E469" s="918">
        <f>'Jrnl Exp ~ Dép'!$G401</f>
        <v>0</v>
      </c>
      <c r="F469" s="919">
        <f>'Jrnl Exp ~ Dép'!$E401</f>
        <v>0</v>
      </c>
      <c r="G469" s="920" t="str">
        <f>LEFT('Jrnl Exp ~ Dép'!$H401,4)</f>
        <v/>
      </c>
      <c r="H469" s="923"/>
      <c r="I469" s="895"/>
      <c r="J469" s="895"/>
      <c r="K469" s="895"/>
      <c r="L469" s="898"/>
      <c r="M469" s="875" t="str">
        <f t="shared" ref="M469:M532" si="19">IF(E469&gt;0,"1","0")</f>
        <v>0</v>
      </c>
      <c r="N469" s="26" t="str">
        <f t="shared" si="18"/>
        <v>3</v>
      </c>
      <c r="O469" s="26" t="str">
        <f t="shared" ref="O469:O532" si="20">IF(AND(M469="1",N469="3"),"4","0")</f>
        <v>0</v>
      </c>
    </row>
    <row r="470" spans="2:15" ht="23.75" hidden="1" customHeight="1" x14ac:dyDescent="0.15">
      <c r="B470" s="26">
        <f>'Jrnl Exp ~ Dép'!B402</f>
        <v>0</v>
      </c>
      <c r="C470" s="914">
        <f>'Jrnl Exp ~ Dép'!$D402</f>
        <v>0</v>
      </c>
      <c r="D470" s="912">
        <f>'Jrnl Exp ~ Dép'!$F402</f>
        <v>0</v>
      </c>
      <c r="E470" s="918">
        <f>'Jrnl Exp ~ Dép'!$G402</f>
        <v>0</v>
      </c>
      <c r="F470" s="919">
        <f>'Jrnl Exp ~ Dép'!$E402</f>
        <v>0</v>
      </c>
      <c r="G470" s="920" t="str">
        <f>LEFT('Jrnl Exp ~ Dép'!$H402,4)</f>
        <v/>
      </c>
      <c r="H470" s="923"/>
      <c r="I470" s="895"/>
      <c r="J470" s="895"/>
      <c r="K470" s="895"/>
      <c r="L470" s="898"/>
      <c r="M470" s="875" t="str">
        <f t="shared" si="19"/>
        <v>0</v>
      </c>
      <c r="N470" s="26" t="str">
        <f t="shared" si="18"/>
        <v>3</v>
      </c>
      <c r="O470" s="26" t="str">
        <f t="shared" si="20"/>
        <v>0</v>
      </c>
    </row>
    <row r="471" spans="2:15" ht="23.75" hidden="1" customHeight="1" x14ac:dyDescent="0.15">
      <c r="B471" s="26">
        <f>'Jrnl Exp ~ Dép'!B403</f>
        <v>0</v>
      </c>
      <c r="C471" s="914">
        <f>'Jrnl Exp ~ Dép'!$D403</f>
        <v>0</v>
      </c>
      <c r="D471" s="912">
        <f>'Jrnl Exp ~ Dép'!$F403</f>
        <v>0</v>
      </c>
      <c r="E471" s="918">
        <f>'Jrnl Exp ~ Dép'!$G403</f>
        <v>0</v>
      </c>
      <c r="F471" s="919">
        <f>'Jrnl Exp ~ Dép'!$E403</f>
        <v>0</v>
      </c>
      <c r="G471" s="920" t="str">
        <f>LEFT('Jrnl Exp ~ Dép'!$H403,4)</f>
        <v/>
      </c>
      <c r="H471" s="923"/>
      <c r="I471" s="895"/>
      <c r="J471" s="895"/>
      <c r="K471" s="895"/>
      <c r="L471" s="898"/>
      <c r="M471" s="875" t="str">
        <f t="shared" si="19"/>
        <v>0</v>
      </c>
      <c r="N471" s="26" t="str">
        <f t="shared" si="18"/>
        <v>3</v>
      </c>
      <c r="O471" s="26" t="str">
        <f t="shared" si="20"/>
        <v>0</v>
      </c>
    </row>
    <row r="472" spans="2:15" ht="23.75" hidden="1" customHeight="1" x14ac:dyDescent="0.15">
      <c r="B472" s="26">
        <f>'Jrnl Exp ~ Dép'!B404</f>
        <v>0</v>
      </c>
      <c r="C472" s="914">
        <f>'Jrnl Exp ~ Dép'!$D404</f>
        <v>0</v>
      </c>
      <c r="D472" s="912">
        <f>'Jrnl Exp ~ Dép'!$F404</f>
        <v>0</v>
      </c>
      <c r="E472" s="918">
        <f>'Jrnl Exp ~ Dép'!$G404</f>
        <v>0</v>
      </c>
      <c r="F472" s="919">
        <f>'Jrnl Exp ~ Dép'!$E404</f>
        <v>0</v>
      </c>
      <c r="G472" s="920" t="str">
        <f>LEFT('Jrnl Exp ~ Dép'!$H404,4)</f>
        <v/>
      </c>
      <c r="H472" s="923"/>
      <c r="I472" s="895"/>
      <c r="J472" s="895"/>
      <c r="K472" s="895"/>
      <c r="L472" s="898"/>
      <c r="M472" s="875" t="str">
        <f t="shared" si="19"/>
        <v>0</v>
      </c>
      <c r="N472" s="26" t="str">
        <f t="shared" si="18"/>
        <v>3</v>
      </c>
      <c r="O472" s="26" t="str">
        <f t="shared" si="20"/>
        <v>0</v>
      </c>
    </row>
    <row r="473" spans="2:15" ht="23.75" hidden="1" customHeight="1" x14ac:dyDescent="0.15">
      <c r="B473" s="26">
        <f>'Jrnl Exp ~ Dép'!B405</f>
        <v>0</v>
      </c>
      <c r="C473" s="914">
        <f>'Jrnl Exp ~ Dép'!$D405</f>
        <v>0</v>
      </c>
      <c r="D473" s="912">
        <f>'Jrnl Exp ~ Dép'!$F405</f>
        <v>0</v>
      </c>
      <c r="E473" s="918">
        <f>'Jrnl Exp ~ Dép'!$G405</f>
        <v>0</v>
      </c>
      <c r="F473" s="919">
        <f>'Jrnl Exp ~ Dép'!$E405</f>
        <v>0</v>
      </c>
      <c r="G473" s="920" t="str">
        <f>LEFT('Jrnl Exp ~ Dép'!$H405,4)</f>
        <v/>
      </c>
      <c r="H473" s="923"/>
      <c r="I473" s="895"/>
      <c r="J473" s="895"/>
      <c r="K473" s="895"/>
      <c r="L473" s="898"/>
      <c r="M473" s="875" t="str">
        <f t="shared" si="19"/>
        <v>0</v>
      </c>
      <c r="N473" s="26" t="str">
        <f t="shared" si="18"/>
        <v>3</v>
      </c>
      <c r="O473" s="26" t="str">
        <f t="shared" si="20"/>
        <v>0</v>
      </c>
    </row>
    <row r="474" spans="2:15" ht="23.75" hidden="1" customHeight="1" x14ac:dyDescent="0.15">
      <c r="B474" s="26">
        <f>'Jrnl Exp ~ Dép'!B406</f>
        <v>0</v>
      </c>
      <c r="C474" s="914">
        <f>'Jrnl Exp ~ Dép'!$D406</f>
        <v>0</v>
      </c>
      <c r="D474" s="912">
        <f>'Jrnl Exp ~ Dép'!$F406</f>
        <v>0</v>
      </c>
      <c r="E474" s="918">
        <f>'Jrnl Exp ~ Dép'!$G406</f>
        <v>0</v>
      </c>
      <c r="F474" s="919">
        <f>'Jrnl Exp ~ Dép'!$E406</f>
        <v>0</v>
      </c>
      <c r="G474" s="920" t="str">
        <f>LEFT('Jrnl Exp ~ Dép'!$H406,4)</f>
        <v/>
      </c>
      <c r="H474" s="923"/>
      <c r="I474" s="895"/>
      <c r="J474" s="895"/>
      <c r="K474" s="895"/>
      <c r="L474" s="898"/>
      <c r="M474" s="875" t="str">
        <f t="shared" si="19"/>
        <v>0</v>
      </c>
      <c r="N474" s="26" t="str">
        <f t="shared" si="18"/>
        <v>3</v>
      </c>
      <c r="O474" s="26" t="str">
        <f t="shared" si="20"/>
        <v>0</v>
      </c>
    </row>
    <row r="475" spans="2:15" ht="23.75" hidden="1" customHeight="1" x14ac:dyDescent="0.15">
      <c r="B475" s="26">
        <f>'Jrnl Exp ~ Dép'!B407</f>
        <v>0</v>
      </c>
      <c r="C475" s="914">
        <f>'Jrnl Exp ~ Dép'!$D407</f>
        <v>0</v>
      </c>
      <c r="D475" s="912">
        <f>'Jrnl Exp ~ Dép'!$F407</f>
        <v>0</v>
      </c>
      <c r="E475" s="918">
        <f>'Jrnl Exp ~ Dép'!$G407</f>
        <v>0</v>
      </c>
      <c r="F475" s="919">
        <f>'Jrnl Exp ~ Dép'!$E407</f>
        <v>0</v>
      </c>
      <c r="G475" s="920" t="str">
        <f>LEFT('Jrnl Exp ~ Dép'!$H407,4)</f>
        <v/>
      </c>
      <c r="H475" s="923"/>
      <c r="I475" s="895"/>
      <c r="J475" s="895"/>
      <c r="K475" s="895"/>
      <c r="L475" s="898"/>
      <c r="M475" s="875" t="str">
        <f t="shared" si="19"/>
        <v>0</v>
      </c>
      <c r="N475" s="26" t="str">
        <f t="shared" si="18"/>
        <v>3</v>
      </c>
      <c r="O475" s="26" t="str">
        <f t="shared" si="20"/>
        <v>0</v>
      </c>
    </row>
    <row r="476" spans="2:15" ht="23.75" hidden="1" customHeight="1" x14ac:dyDescent="0.15">
      <c r="B476" s="26">
        <f>'Jrnl Exp ~ Dép'!B408</f>
        <v>0</v>
      </c>
      <c r="C476" s="914">
        <f>'Jrnl Exp ~ Dép'!$D408</f>
        <v>0</v>
      </c>
      <c r="D476" s="912">
        <f>'Jrnl Exp ~ Dép'!$F408</f>
        <v>0</v>
      </c>
      <c r="E476" s="918">
        <f>'Jrnl Exp ~ Dép'!$G408</f>
        <v>0</v>
      </c>
      <c r="F476" s="919">
        <f>'Jrnl Exp ~ Dép'!$E408</f>
        <v>0</v>
      </c>
      <c r="G476" s="920" t="str">
        <f>LEFT('Jrnl Exp ~ Dép'!$H408,4)</f>
        <v/>
      </c>
      <c r="H476" s="923"/>
      <c r="I476" s="895"/>
      <c r="J476" s="895"/>
      <c r="K476" s="895"/>
      <c r="L476" s="898"/>
      <c r="M476" s="875" t="str">
        <f t="shared" si="19"/>
        <v>0</v>
      </c>
      <c r="N476" s="26" t="str">
        <f t="shared" si="18"/>
        <v>3</v>
      </c>
      <c r="O476" s="26" t="str">
        <f t="shared" si="20"/>
        <v>0</v>
      </c>
    </row>
    <row r="477" spans="2:15" ht="23.75" hidden="1" customHeight="1" x14ac:dyDescent="0.15">
      <c r="B477" s="26">
        <f>'Jrnl Exp ~ Dép'!B409</f>
        <v>0</v>
      </c>
      <c r="C477" s="914">
        <f>'Jrnl Exp ~ Dép'!$D409</f>
        <v>0</v>
      </c>
      <c r="D477" s="912">
        <f>'Jrnl Exp ~ Dép'!$F409</f>
        <v>0</v>
      </c>
      <c r="E477" s="918">
        <f>'Jrnl Exp ~ Dép'!$G409</f>
        <v>0</v>
      </c>
      <c r="F477" s="919">
        <f>'Jrnl Exp ~ Dép'!$E409</f>
        <v>0</v>
      </c>
      <c r="G477" s="920" t="str">
        <f>LEFT('Jrnl Exp ~ Dép'!$H409,4)</f>
        <v/>
      </c>
      <c r="H477" s="923"/>
      <c r="I477" s="895"/>
      <c r="J477" s="895"/>
      <c r="K477" s="895"/>
      <c r="L477" s="898"/>
      <c r="M477" s="875" t="str">
        <f t="shared" si="19"/>
        <v>0</v>
      </c>
      <c r="N477" s="26" t="str">
        <f t="shared" si="18"/>
        <v>3</v>
      </c>
      <c r="O477" s="26" t="str">
        <f t="shared" si="20"/>
        <v>0</v>
      </c>
    </row>
    <row r="478" spans="2:15" ht="23.75" hidden="1" customHeight="1" x14ac:dyDescent="0.15">
      <c r="B478" s="26">
        <f>'Jrnl Exp ~ Dép'!B410</f>
        <v>0</v>
      </c>
      <c r="C478" s="914">
        <f>'Jrnl Exp ~ Dép'!$D410</f>
        <v>0</v>
      </c>
      <c r="D478" s="912">
        <f>'Jrnl Exp ~ Dép'!$F410</f>
        <v>0</v>
      </c>
      <c r="E478" s="918">
        <f>'Jrnl Exp ~ Dép'!$G410</f>
        <v>0</v>
      </c>
      <c r="F478" s="919">
        <f>'Jrnl Exp ~ Dép'!$E410</f>
        <v>0</v>
      </c>
      <c r="G478" s="920" t="str">
        <f>LEFT('Jrnl Exp ~ Dép'!$H410,4)</f>
        <v/>
      </c>
      <c r="H478" s="923"/>
      <c r="I478" s="895"/>
      <c r="J478" s="895"/>
      <c r="K478" s="895"/>
      <c r="L478" s="898"/>
      <c r="M478" s="875" t="str">
        <f t="shared" si="19"/>
        <v>0</v>
      </c>
      <c r="N478" s="26" t="str">
        <f t="shared" si="18"/>
        <v>3</v>
      </c>
      <c r="O478" s="26" t="str">
        <f t="shared" si="20"/>
        <v>0</v>
      </c>
    </row>
    <row r="479" spans="2:15" ht="23.75" hidden="1" customHeight="1" x14ac:dyDescent="0.15">
      <c r="B479" s="26">
        <f>'Jrnl Exp ~ Dép'!B411</f>
        <v>0</v>
      </c>
      <c r="C479" s="914">
        <f>'Jrnl Exp ~ Dép'!$D411</f>
        <v>0</v>
      </c>
      <c r="D479" s="912">
        <f>'Jrnl Exp ~ Dép'!$F411</f>
        <v>0</v>
      </c>
      <c r="E479" s="918">
        <f>'Jrnl Exp ~ Dép'!$G411</f>
        <v>0</v>
      </c>
      <c r="F479" s="919">
        <f>'Jrnl Exp ~ Dép'!$E411</f>
        <v>0</v>
      </c>
      <c r="G479" s="920" t="str">
        <f>LEFT('Jrnl Exp ~ Dép'!$H411,4)</f>
        <v/>
      </c>
      <c r="H479" s="923"/>
      <c r="I479" s="895"/>
      <c r="J479" s="895"/>
      <c r="K479" s="895"/>
      <c r="L479" s="898"/>
      <c r="M479" s="875" t="str">
        <f t="shared" si="19"/>
        <v>0</v>
      </c>
      <c r="N479" s="26" t="str">
        <f t="shared" si="18"/>
        <v>3</v>
      </c>
      <c r="O479" s="26" t="str">
        <f t="shared" si="20"/>
        <v>0</v>
      </c>
    </row>
    <row r="480" spans="2:15" ht="23.75" hidden="1" customHeight="1" x14ac:dyDescent="0.15">
      <c r="B480" s="26">
        <f>'Jrnl Exp ~ Dép'!B412</f>
        <v>0</v>
      </c>
      <c r="C480" s="914">
        <f>'Jrnl Exp ~ Dép'!$D412</f>
        <v>0</v>
      </c>
      <c r="D480" s="912">
        <f>'Jrnl Exp ~ Dép'!$F412</f>
        <v>0</v>
      </c>
      <c r="E480" s="918">
        <f>'Jrnl Exp ~ Dép'!$G412</f>
        <v>0</v>
      </c>
      <c r="F480" s="919">
        <f>'Jrnl Exp ~ Dép'!$E412</f>
        <v>0</v>
      </c>
      <c r="G480" s="920" t="str">
        <f>LEFT('Jrnl Exp ~ Dép'!$H412,4)</f>
        <v/>
      </c>
      <c r="H480" s="923"/>
      <c r="I480" s="895"/>
      <c r="J480" s="895"/>
      <c r="K480" s="895"/>
      <c r="L480" s="898"/>
      <c r="M480" s="875" t="str">
        <f t="shared" si="19"/>
        <v>0</v>
      </c>
      <c r="N480" s="26" t="str">
        <f t="shared" si="18"/>
        <v>3</v>
      </c>
      <c r="O480" s="26" t="str">
        <f t="shared" si="20"/>
        <v>0</v>
      </c>
    </row>
    <row r="481" spans="2:15" ht="23.75" hidden="1" customHeight="1" x14ac:dyDescent="0.15">
      <c r="B481" s="26">
        <f>'Jrnl Exp ~ Dép'!B413</f>
        <v>0</v>
      </c>
      <c r="C481" s="914">
        <f>'Jrnl Exp ~ Dép'!$D413</f>
        <v>0</v>
      </c>
      <c r="D481" s="912">
        <f>'Jrnl Exp ~ Dép'!$F413</f>
        <v>0</v>
      </c>
      <c r="E481" s="918">
        <f>'Jrnl Exp ~ Dép'!$G413</f>
        <v>0</v>
      </c>
      <c r="F481" s="919">
        <f>'Jrnl Exp ~ Dép'!$E413</f>
        <v>0</v>
      </c>
      <c r="G481" s="920" t="str">
        <f>LEFT('Jrnl Exp ~ Dép'!$H413,4)</f>
        <v/>
      </c>
      <c r="H481" s="923"/>
      <c r="I481" s="895"/>
      <c r="J481" s="895"/>
      <c r="K481" s="895"/>
      <c r="L481" s="898"/>
      <c r="M481" s="875" t="str">
        <f t="shared" si="19"/>
        <v>0</v>
      </c>
      <c r="N481" s="26" t="str">
        <f t="shared" si="18"/>
        <v>3</v>
      </c>
      <c r="O481" s="26" t="str">
        <f t="shared" si="20"/>
        <v>0</v>
      </c>
    </row>
    <row r="482" spans="2:15" ht="23.75" hidden="1" customHeight="1" x14ac:dyDescent="0.15">
      <c r="B482" s="26">
        <f>'Jrnl Exp ~ Dép'!B414</f>
        <v>0</v>
      </c>
      <c r="C482" s="914">
        <f>'Jrnl Exp ~ Dép'!$D414</f>
        <v>0</v>
      </c>
      <c r="D482" s="912">
        <f>'Jrnl Exp ~ Dép'!$F414</f>
        <v>0</v>
      </c>
      <c r="E482" s="918">
        <f>'Jrnl Exp ~ Dép'!$G414</f>
        <v>0</v>
      </c>
      <c r="F482" s="919">
        <f>'Jrnl Exp ~ Dép'!$E414</f>
        <v>0</v>
      </c>
      <c r="G482" s="920" t="str">
        <f>LEFT('Jrnl Exp ~ Dép'!$H414,4)</f>
        <v/>
      </c>
      <c r="H482" s="923"/>
      <c r="I482" s="895"/>
      <c r="J482" s="895"/>
      <c r="K482" s="895"/>
      <c r="L482" s="898"/>
      <c r="M482" s="875" t="str">
        <f t="shared" si="19"/>
        <v>0</v>
      </c>
      <c r="N482" s="26" t="str">
        <f t="shared" si="18"/>
        <v>3</v>
      </c>
      <c r="O482" s="26" t="str">
        <f t="shared" si="20"/>
        <v>0</v>
      </c>
    </row>
    <row r="483" spans="2:15" ht="23.75" hidden="1" customHeight="1" x14ac:dyDescent="0.15">
      <c r="B483" s="26">
        <f>'Jrnl Exp ~ Dép'!B415</f>
        <v>0</v>
      </c>
      <c r="C483" s="914">
        <f>'Jrnl Exp ~ Dép'!$D415</f>
        <v>0</v>
      </c>
      <c r="D483" s="912">
        <f>'Jrnl Exp ~ Dép'!$F415</f>
        <v>0</v>
      </c>
      <c r="E483" s="918">
        <f>'Jrnl Exp ~ Dép'!$G415</f>
        <v>0</v>
      </c>
      <c r="F483" s="919">
        <f>'Jrnl Exp ~ Dép'!$E415</f>
        <v>0</v>
      </c>
      <c r="G483" s="920" t="str">
        <f>LEFT('Jrnl Exp ~ Dép'!$H415,4)</f>
        <v/>
      </c>
      <c r="H483" s="923"/>
      <c r="I483" s="895"/>
      <c r="J483" s="895"/>
      <c r="K483" s="895"/>
      <c r="L483" s="898"/>
      <c r="M483" s="875" t="str">
        <f t="shared" si="19"/>
        <v>0</v>
      </c>
      <c r="N483" s="26" t="str">
        <f t="shared" si="18"/>
        <v>3</v>
      </c>
      <c r="O483" s="26" t="str">
        <f t="shared" si="20"/>
        <v>0</v>
      </c>
    </row>
    <row r="484" spans="2:15" ht="23.75" hidden="1" customHeight="1" x14ac:dyDescent="0.15">
      <c r="B484" s="26">
        <f>'Jrnl Exp ~ Dép'!B416</f>
        <v>0</v>
      </c>
      <c r="C484" s="914">
        <f>'Jrnl Exp ~ Dép'!$D416</f>
        <v>0</v>
      </c>
      <c r="D484" s="912">
        <f>'Jrnl Exp ~ Dép'!$F416</f>
        <v>0</v>
      </c>
      <c r="E484" s="918">
        <f>'Jrnl Exp ~ Dép'!$G416</f>
        <v>0</v>
      </c>
      <c r="F484" s="919">
        <f>'Jrnl Exp ~ Dép'!$E416</f>
        <v>0</v>
      </c>
      <c r="G484" s="920" t="str">
        <f>LEFT('Jrnl Exp ~ Dép'!$H416,4)</f>
        <v/>
      </c>
      <c r="H484" s="923"/>
      <c r="I484" s="895"/>
      <c r="J484" s="895"/>
      <c r="K484" s="895"/>
      <c r="L484" s="898"/>
      <c r="M484" s="875" t="str">
        <f t="shared" si="19"/>
        <v>0</v>
      </c>
      <c r="N484" s="26" t="str">
        <f t="shared" si="18"/>
        <v>3</v>
      </c>
      <c r="O484" s="26" t="str">
        <f t="shared" si="20"/>
        <v>0</v>
      </c>
    </row>
    <row r="485" spans="2:15" ht="23.75" hidden="1" customHeight="1" x14ac:dyDescent="0.15">
      <c r="B485" s="26">
        <f>'Jrnl Exp ~ Dép'!B417</f>
        <v>0</v>
      </c>
      <c r="C485" s="914">
        <f>'Jrnl Exp ~ Dép'!$D417</f>
        <v>0</v>
      </c>
      <c r="D485" s="912">
        <f>'Jrnl Exp ~ Dép'!$F417</f>
        <v>0</v>
      </c>
      <c r="E485" s="918">
        <f>'Jrnl Exp ~ Dép'!$G417</f>
        <v>0</v>
      </c>
      <c r="F485" s="919">
        <f>'Jrnl Exp ~ Dép'!$E417</f>
        <v>0</v>
      </c>
      <c r="G485" s="920" t="str">
        <f>LEFT('Jrnl Exp ~ Dép'!$H417,4)</f>
        <v/>
      </c>
      <c r="H485" s="923"/>
      <c r="I485" s="895"/>
      <c r="J485" s="895"/>
      <c r="K485" s="895"/>
      <c r="L485" s="898"/>
      <c r="M485" s="875" t="str">
        <f t="shared" si="19"/>
        <v>0</v>
      </c>
      <c r="N485" s="26" t="str">
        <f t="shared" si="18"/>
        <v>3</v>
      </c>
      <c r="O485" s="26" t="str">
        <f t="shared" si="20"/>
        <v>0</v>
      </c>
    </row>
    <row r="486" spans="2:15" ht="23.75" hidden="1" customHeight="1" x14ac:dyDescent="0.15">
      <c r="B486" s="26">
        <f>'Jrnl Exp ~ Dép'!B418</f>
        <v>0</v>
      </c>
      <c r="C486" s="914">
        <f>'Jrnl Exp ~ Dép'!$D418</f>
        <v>0</v>
      </c>
      <c r="D486" s="912">
        <f>'Jrnl Exp ~ Dép'!$F418</f>
        <v>0</v>
      </c>
      <c r="E486" s="918">
        <f>'Jrnl Exp ~ Dép'!$G418</f>
        <v>0</v>
      </c>
      <c r="F486" s="919">
        <f>'Jrnl Exp ~ Dép'!$E418</f>
        <v>0</v>
      </c>
      <c r="G486" s="920" t="str">
        <f>LEFT('Jrnl Exp ~ Dép'!$H418,4)</f>
        <v/>
      </c>
      <c r="H486" s="923"/>
      <c r="I486" s="895"/>
      <c r="J486" s="895"/>
      <c r="K486" s="895"/>
      <c r="L486" s="898"/>
      <c r="M486" s="875" t="str">
        <f t="shared" si="19"/>
        <v>0</v>
      </c>
      <c r="N486" s="26" t="str">
        <f t="shared" si="18"/>
        <v>3</v>
      </c>
      <c r="O486" s="26" t="str">
        <f t="shared" si="20"/>
        <v>0</v>
      </c>
    </row>
    <row r="487" spans="2:15" ht="23.75" hidden="1" customHeight="1" x14ac:dyDescent="0.15">
      <c r="B487" s="26">
        <f>'Jrnl Exp ~ Dép'!B419</f>
        <v>0</v>
      </c>
      <c r="C487" s="914">
        <f>'Jrnl Exp ~ Dép'!$D419</f>
        <v>0</v>
      </c>
      <c r="D487" s="912">
        <f>'Jrnl Exp ~ Dép'!$F419</f>
        <v>0</v>
      </c>
      <c r="E487" s="918">
        <f>'Jrnl Exp ~ Dép'!$G419</f>
        <v>0</v>
      </c>
      <c r="F487" s="919">
        <f>'Jrnl Exp ~ Dép'!$E419</f>
        <v>0</v>
      </c>
      <c r="G487" s="920" t="str">
        <f>LEFT('Jrnl Exp ~ Dép'!$H419,4)</f>
        <v/>
      </c>
      <c r="H487" s="923"/>
      <c r="I487" s="895"/>
      <c r="J487" s="895"/>
      <c r="K487" s="895"/>
      <c r="L487" s="898"/>
      <c r="M487" s="875" t="str">
        <f t="shared" si="19"/>
        <v>0</v>
      </c>
      <c r="N487" s="26" t="str">
        <f t="shared" si="18"/>
        <v>3</v>
      </c>
      <c r="O487" s="26" t="str">
        <f t="shared" si="20"/>
        <v>0</v>
      </c>
    </row>
    <row r="488" spans="2:15" ht="23.75" hidden="1" customHeight="1" x14ac:dyDescent="0.15">
      <c r="B488" s="26">
        <f>'Jrnl Exp ~ Dép'!B420</f>
        <v>0</v>
      </c>
      <c r="C488" s="914">
        <f>'Jrnl Exp ~ Dép'!$D420</f>
        <v>0</v>
      </c>
      <c r="D488" s="912">
        <f>'Jrnl Exp ~ Dép'!$F420</f>
        <v>0</v>
      </c>
      <c r="E488" s="918">
        <f>'Jrnl Exp ~ Dép'!$G420</f>
        <v>0</v>
      </c>
      <c r="F488" s="919">
        <f>'Jrnl Exp ~ Dép'!$E420</f>
        <v>0</v>
      </c>
      <c r="G488" s="920" t="str">
        <f>LEFT('Jrnl Exp ~ Dép'!$H420,4)</f>
        <v/>
      </c>
      <c r="H488" s="923"/>
      <c r="I488" s="895"/>
      <c r="J488" s="895"/>
      <c r="K488" s="895"/>
      <c r="L488" s="898"/>
      <c r="M488" s="875" t="str">
        <f t="shared" si="19"/>
        <v>0</v>
      </c>
      <c r="N488" s="26" t="str">
        <f t="shared" si="18"/>
        <v>3</v>
      </c>
      <c r="O488" s="26" t="str">
        <f t="shared" si="20"/>
        <v>0</v>
      </c>
    </row>
    <row r="489" spans="2:15" ht="23.75" hidden="1" customHeight="1" x14ac:dyDescent="0.15">
      <c r="B489" s="26">
        <f>'Jrnl Exp ~ Dép'!B421</f>
        <v>0</v>
      </c>
      <c r="C489" s="914">
        <f>'Jrnl Exp ~ Dép'!$D421</f>
        <v>0</v>
      </c>
      <c r="D489" s="912">
        <f>'Jrnl Exp ~ Dép'!$F421</f>
        <v>0</v>
      </c>
      <c r="E489" s="918">
        <f>'Jrnl Exp ~ Dép'!$G421</f>
        <v>0</v>
      </c>
      <c r="F489" s="919">
        <f>'Jrnl Exp ~ Dép'!$E421</f>
        <v>0</v>
      </c>
      <c r="G489" s="920" t="str">
        <f>LEFT('Jrnl Exp ~ Dép'!$H421,4)</f>
        <v/>
      </c>
      <c r="H489" s="923"/>
      <c r="I489" s="895"/>
      <c r="J489" s="895"/>
      <c r="K489" s="895"/>
      <c r="L489" s="898"/>
      <c r="M489" s="875" t="str">
        <f t="shared" si="19"/>
        <v>0</v>
      </c>
      <c r="N489" s="26" t="str">
        <f t="shared" si="18"/>
        <v>3</v>
      </c>
      <c r="O489" s="26" t="str">
        <f t="shared" si="20"/>
        <v>0</v>
      </c>
    </row>
    <row r="490" spans="2:15" ht="23.75" hidden="1" customHeight="1" x14ac:dyDescent="0.15">
      <c r="B490" s="26">
        <f>'Jrnl Exp ~ Dép'!B422</f>
        <v>0</v>
      </c>
      <c r="C490" s="914">
        <f>'Jrnl Exp ~ Dép'!$D422</f>
        <v>0</v>
      </c>
      <c r="D490" s="912">
        <f>'Jrnl Exp ~ Dép'!$F422</f>
        <v>0</v>
      </c>
      <c r="E490" s="918">
        <f>'Jrnl Exp ~ Dép'!$G422</f>
        <v>0</v>
      </c>
      <c r="F490" s="919">
        <f>'Jrnl Exp ~ Dép'!$E422</f>
        <v>0</v>
      </c>
      <c r="G490" s="920" t="str">
        <f>LEFT('Jrnl Exp ~ Dép'!$H422,4)</f>
        <v/>
      </c>
      <c r="H490" s="923"/>
      <c r="I490" s="895"/>
      <c r="J490" s="895"/>
      <c r="K490" s="895"/>
      <c r="L490" s="898"/>
      <c r="M490" s="875" t="str">
        <f t="shared" si="19"/>
        <v>0</v>
      </c>
      <c r="N490" s="26" t="str">
        <f t="shared" si="18"/>
        <v>3</v>
      </c>
      <c r="O490" s="26" t="str">
        <f t="shared" si="20"/>
        <v>0</v>
      </c>
    </row>
    <row r="491" spans="2:15" ht="23.75" hidden="1" customHeight="1" x14ac:dyDescent="0.15">
      <c r="B491" s="26">
        <f>'Jrnl Exp ~ Dép'!B423</f>
        <v>0</v>
      </c>
      <c r="C491" s="914">
        <f>'Jrnl Exp ~ Dép'!$D423</f>
        <v>0</v>
      </c>
      <c r="D491" s="912">
        <f>'Jrnl Exp ~ Dép'!$F423</f>
        <v>0</v>
      </c>
      <c r="E491" s="918">
        <f>'Jrnl Exp ~ Dép'!$G423</f>
        <v>0</v>
      </c>
      <c r="F491" s="919">
        <f>'Jrnl Exp ~ Dép'!$E423</f>
        <v>0</v>
      </c>
      <c r="G491" s="920" t="str">
        <f>LEFT('Jrnl Exp ~ Dép'!$H423,4)</f>
        <v/>
      </c>
      <c r="H491" s="923"/>
      <c r="I491" s="895"/>
      <c r="J491" s="895"/>
      <c r="K491" s="895"/>
      <c r="L491" s="898"/>
      <c r="M491" s="875" t="str">
        <f t="shared" si="19"/>
        <v>0</v>
      </c>
      <c r="N491" s="26" t="str">
        <f t="shared" si="18"/>
        <v>3</v>
      </c>
      <c r="O491" s="26" t="str">
        <f t="shared" si="20"/>
        <v>0</v>
      </c>
    </row>
    <row r="492" spans="2:15" ht="23.75" hidden="1" customHeight="1" x14ac:dyDescent="0.15">
      <c r="B492" s="26">
        <f>'Jrnl Exp ~ Dép'!B424</f>
        <v>0</v>
      </c>
      <c r="C492" s="914">
        <f>'Jrnl Exp ~ Dép'!$D424</f>
        <v>0</v>
      </c>
      <c r="D492" s="912">
        <f>'Jrnl Exp ~ Dép'!$F424</f>
        <v>0</v>
      </c>
      <c r="E492" s="918">
        <f>'Jrnl Exp ~ Dép'!$G424</f>
        <v>0</v>
      </c>
      <c r="F492" s="919">
        <f>'Jrnl Exp ~ Dép'!$E424</f>
        <v>0</v>
      </c>
      <c r="G492" s="920" t="str">
        <f>LEFT('Jrnl Exp ~ Dép'!$H424,4)</f>
        <v/>
      </c>
      <c r="H492" s="923"/>
      <c r="I492" s="895"/>
      <c r="J492" s="895"/>
      <c r="K492" s="895"/>
      <c r="L492" s="898"/>
      <c r="M492" s="875" t="str">
        <f t="shared" si="19"/>
        <v>0</v>
      </c>
      <c r="N492" s="26" t="str">
        <f t="shared" si="18"/>
        <v>3</v>
      </c>
      <c r="O492" s="26" t="str">
        <f t="shared" si="20"/>
        <v>0</v>
      </c>
    </row>
    <row r="493" spans="2:15" ht="23.75" hidden="1" customHeight="1" x14ac:dyDescent="0.15">
      <c r="B493" s="26">
        <f>'Jrnl Exp ~ Dép'!B425</f>
        <v>0</v>
      </c>
      <c r="C493" s="914">
        <f>'Jrnl Exp ~ Dép'!$D425</f>
        <v>0</v>
      </c>
      <c r="D493" s="912">
        <f>'Jrnl Exp ~ Dép'!$F425</f>
        <v>0</v>
      </c>
      <c r="E493" s="918">
        <f>'Jrnl Exp ~ Dép'!$G425</f>
        <v>0</v>
      </c>
      <c r="F493" s="919">
        <f>'Jrnl Exp ~ Dép'!$E425</f>
        <v>0</v>
      </c>
      <c r="G493" s="920" t="str">
        <f>LEFT('Jrnl Exp ~ Dép'!$H425,4)</f>
        <v/>
      </c>
      <c r="H493" s="923"/>
      <c r="I493" s="895"/>
      <c r="J493" s="895"/>
      <c r="K493" s="895"/>
      <c r="L493" s="898"/>
      <c r="M493" s="875" t="str">
        <f t="shared" si="19"/>
        <v>0</v>
      </c>
      <c r="N493" s="26" t="str">
        <f t="shared" si="18"/>
        <v>3</v>
      </c>
      <c r="O493" s="26" t="str">
        <f t="shared" si="20"/>
        <v>0</v>
      </c>
    </row>
    <row r="494" spans="2:15" ht="23.75" hidden="1" customHeight="1" x14ac:dyDescent="0.15">
      <c r="B494" s="26">
        <f>'Jrnl Exp ~ Dép'!B426</f>
        <v>0</v>
      </c>
      <c r="C494" s="914">
        <f>'Jrnl Exp ~ Dép'!$D426</f>
        <v>0</v>
      </c>
      <c r="D494" s="912">
        <f>'Jrnl Exp ~ Dép'!$F426</f>
        <v>0</v>
      </c>
      <c r="E494" s="918">
        <f>'Jrnl Exp ~ Dép'!$G426</f>
        <v>0</v>
      </c>
      <c r="F494" s="919">
        <f>'Jrnl Exp ~ Dép'!$E426</f>
        <v>0</v>
      </c>
      <c r="G494" s="920" t="str">
        <f>LEFT('Jrnl Exp ~ Dép'!$H426,4)</f>
        <v/>
      </c>
      <c r="H494" s="923"/>
      <c r="I494" s="895"/>
      <c r="J494" s="895"/>
      <c r="K494" s="895"/>
      <c r="L494" s="898"/>
      <c r="M494" s="875" t="str">
        <f t="shared" si="19"/>
        <v>0</v>
      </c>
      <c r="N494" s="26" t="str">
        <f t="shared" si="18"/>
        <v>3</v>
      </c>
      <c r="O494" s="26" t="str">
        <f t="shared" si="20"/>
        <v>0</v>
      </c>
    </row>
    <row r="495" spans="2:15" ht="23.75" hidden="1" customHeight="1" x14ac:dyDescent="0.15">
      <c r="B495" s="26">
        <f>'Jrnl Exp ~ Dép'!B427</f>
        <v>0</v>
      </c>
      <c r="C495" s="914">
        <f>'Jrnl Exp ~ Dép'!$D427</f>
        <v>0</v>
      </c>
      <c r="D495" s="912">
        <f>'Jrnl Exp ~ Dép'!$F427</f>
        <v>0</v>
      </c>
      <c r="E495" s="918">
        <f>'Jrnl Exp ~ Dép'!$G427</f>
        <v>0</v>
      </c>
      <c r="F495" s="919">
        <f>'Jrnl Exp ~ Dép'!$E427</f>
        <v>0</v>
      </c>
      <c r="G495" s="920" t="str">
        <f>LEFT('Jrnl Exp ~ Dép'!$H427,4)</f>
        <v/>
      </c>
      <c r="H495" s="923"/>
      <c r="I495" s="895"/>
      <c r="J495" s="895"/>
      <c r="K495" s="895"/>
      <c r="L495" s="898"/>
      <c r="M495" s="875" t="str">
        <f t="shared" si="19"/>
        <v>0</v>
      </c>
      <c r="N495" s="26" t="str">
        <f t="shared" si="18"/>
        <v>3</v>
      </c>
      <c r="O495" s="26" t="str">
        <f t="shared" si="20"/>
        <v>0</v>
      </c>
    </row>
    <row r="496" spans="2:15" ht="23.75" hidden="1" customHeight="1" x14ac:dyDescent="0.15">
      <c r="B496" s="26">
        <f>'Jrnl Exp ~ Dép'!B428</f>
        <v>0</v>
      </c>
      <c r="C496" s="914">
        <f>'Jrnl Exp ~ Dép'!$D428</f>
        <v>0</v>
      </c>
      <c r="D496" s="912">
        <f>'Jrnl Exp ~ Dép'!$F428</f>
        <v>0</v>
      </c>
      <c r="E496" s="918">
        <f>'Jrnl Exp ~ Dép'!$G428</f>
        <v>0</v>
      </c>
      <c r="F496" s="919">
        <f>'Jrnl Exp ~ Dép'!$E428</f>
        <v>0</v>
      </c>
      <c r="G496" s="920" t="str">
        <f>LEFT('Jrnl Exp ~ Dép'!$H428,4)</f>
        <v/>
      </c>
      <c r="H496" s="923"/>
      <c r="I496" s="895"/>
      <c r="J496" s="895"/>
      <c r="K496" s="895"/>
      <c r="L496" s="898"/>
      <c r="M496" s="875" t="str">
        <f t="shared" si="19"/>
        <v>0</v>
      </c>
      <c r="N496" s="26" t="str">
        <f t="shared" si="18"/>
        <v>3</v>
      </c>
      <c r="O496" s="26" t="str">
        <f t="shared" si="20"/>
        <v>0</v>
      </c>
    </row>
    <row r="497" spans="2:15" ht="23.75" hidden="1" customHeight="1" x14ac:dyDescent="0.15">
      <c r="B497" s="26">
        <f>'Jrnl Exp ~ Dép'!B429</f>
        <v>0</v>
      </c>
      <c r="C497" s="914">
        <f>'Jrnl Exp ~ Dép'!$D429</f>
        <v>0</v>
      </c>
      <c r="D497" s="912">
        <f>'Jrnl Exp ~ Dép'!$F429</f>
        <v>0</v>
      </c>
      <c r="E497" s="918">
        <f>'Jrnl Exp ~ Dép'!$G429</f>
        <v>0</v>
      </c>
      <c r="F497" s="919">
        <f>'Jrnl Exp ~ Dép'!$E429</f>
        <v>0</v>
      </c>
      <c r="G497" s="920" t="str">
        <f>LEFT('Jrnl Exp ~ Dép'!$H429,4)</f>
        <v/>
      </c>
      <c r="H497" s="923"/>
      <c r="I497" s="895"/>
      <c r="J497" s="895"/>
      <c r="K497" s="895"/>
      <c r="L497" s="898"/>
      <c r="M497" s="875" t="str">
        <f t="shared" si="19"/>
        <v>0</v>
      </c>
      <c r="N497" s="26" t="str">
        <f t="shared" si="18"/>
        <v>3</v>
      </c>
      <c r="O497" s="26" t="str">
        <f t="shared" si="20"/>
        <v>0</v>
      </c>
    </row>
    <row r="498" spans="2:15" ht="23.75" hidden="1" customHeight="1" x14ac:dyDescent="0.15">
      <c r="B498" s="26">
        <f>'Jrnl Exp ~ Dép'!B430</f>
        <v>0</v>
      </c>
      <c r="C498" s="914">
        <f>'Jrnl Exp ~ Dép'!$D430</f>
        <v>0</v>
      </c>
      <c r="D498" s="912">
        <f>'Jrnl Exp ~ Dép'!$F430</f>
        <v>0</v>
      </c>
      <c r="E498" s="918">
        <f>'Jrnl Exp ~ Dép'!$G430</f>
        <v>0</v>
      </c>
      <c r="F498" s="919">
        <f>'Jrnl Exp ~ Dép'!$E430</f>
        <v>0</v>
      </c>
      <c r="G498" s="920" t="str">
        <f>LEFT('Jrnl Exp ~ Dép'!$H430,4)</f>
        <v/>
      </c>
      <c r="H498" s="923"/>
      <c r="I498" s="895"/>
      <c r="J498" s="895"/>
      <c r="K498" s="895"/>
      <c r="L498" s="898"/>
      <c r="M498" s="875" t="str">
        <f t="shared" si="19"/>
        <v>0</v>
      </c>
      <c r="N498" s="26" t="str">
        <f t="shared" si="18"/>
        <v>3</v>
      </c>
      <c r="O498" s="26" t="str">
        <f t="shared" si="20"/>
        <v>0</v>
      </c>
    </row>
    <row r="499" spans="2:15" ht="23.75" hidden="1" customHeight="1" x14ac:dyDescent="0.15">
      <c r="B499" s="26">
        <f>'Jrnl Exp ~ Dép'!B431</f>
        <v>0</v>
      </c>
      <c r="C499" s="914">
        <f>'Jrnl Exp ~ Dép'!$D431</f>
        <v>0</v>
      </c>
      <c r="D499" s="912">
        <f>'Jrnl Exp ~ Dép'!$F431</f>
        <v>0</v>
      </c>
      <c r="E499" s="918">
        <f>'Jrnl Exp ~ Dép'!$G431</f>
        <v>0</v>
      </c>
      <c r="F499" s="919">
        <f>'Jrnl Exp ~ Dép'!$E431</f>
        <v>0</v>
      </c>
      <c r="G499" s="920" t="str">
        <f>LEFT('Jrnl Exp ~ Dép'!$H431,4)</f>
        <v/>
      </c>
      <c r="H499" s="923"/>
      <c r="I499" s="895"/>
      <c r="J499" s="895"/>
      <c r="K499" s="895"/>
      <c r="L499" s="898"/>
      <c r="M499" s="875" t="str">
        <f t="shared" si="19"/>
        <v>0</v>
      </c>
      <c r="N499" s="26" t="str">
        <f t="shared" si="18"/>
        <v>3</v>
      </c>
      <c r="O499" s="26" t="str">
        <f t="shared" si="20"/>
        <v>0</v>
      </c>
    </row>
    <row r="500" spans="2:15" ht="23.75" hidden="1" customHeight="1" x14ac:dyDescent="0.15">
      <c r="B500" s="26">
        <f>'Jrnl Exp ~ Dép'!B432</f>
        <v>0</v>
      </c>
      <c r="C500" s="914">
        <f>'Jrnl Exp ~ Dép'!$D432</f>
        <v>0</v>
      </c>
      <c r="D500" s="912">
        <f>'Jrnl Exp ~ Dép'!$F432</f>
        <v>0</v>
      </c>
      <c r="E500" s="918">
        <f>'Jrnl Exp ~ Dép'!$G432</f>
        <v>0</v>
      </c>
      <c r="F500" s="919">
        <f>'Jrnl Exp ~ Dép'!$E432</f>
        <v>0</v>
      </c>
      <c r="G500" s="920" t="str">
        <f>LEFT('Jrnl Exp ~ Dép'!$H432,4)</f>
        <v/>
      </c>
      <c r="H500" s="923"/>
      <c r="I500" s="895"/>
      <c r="J500" s="895"/>
      <c r="K500" s="895"/>
      <c r="L500" s="898"/>
      <c r="M500" s="875" t="str">
        <f t="shared" si="19"/>
        <v>0</v>
      </c>
      <c r="N500" s="26" t="str">
        <f t="shared" si="18"/>
        <v>3</v>
      </c>
      <c r="O500" s="26" t="str">
        <f t="shared" si="20"/>
        <v>0</v>
      </c>
    </row>
    <row r="501" spans="2:15" ht="23.75" hidden="1" customHeight="1" x14ac:dyDescent="0.15">
      <c r="B501" s="26">
        <f>'Jrnl Exp ~ Dép'!B433</f>
        <v>0</v>
      </c>
      <c r="C501" s="914">
        <f>'Jrnl Exp ~ Dép'!$D433</f>
        <v>0</v>
      </c>
      <c r="D501" s="912">
        <f>'Jrnl Exp ~ Dép'!$F433</f>
        <v>0</v>
      </c>
      <c r="E501" s="918">
        <f>'Jrnl Exp ~ Dép'!$G433</f>
        <v>0</v>
      </c>
      <c r="F501" s="919">
        <f>'Jrnl Exp ~ Dép'!$E433</f>
        <v>0</v>
      </c>
      <c r="G501" s="920" t="str">
        <f>LEFT('Jrnl Exp ~ Dép'!$H433,4)</f>
        <v/>
      </c>
      <c r="H501" s="923"/>
      <c r="I501" s="895"/>
      <c r="J501" s="895"/>
      <c r="K501" s="895"/>
      <c r="L501" s="898"/>
      <c r="M501" s="875" t="str">
        <f t="shared" si="19"/>
        <v>0</v>
      </c>
      <c r="N501" s="26" t="str">
        <f t="shared" si="18"/>
        <v>3</v>
      </c>
      <c r="O501" s="26" t="str">
        <f t="shared" si="20"/>
        <v>0</v>
      </c>
    </row>
    <row r="502" spans="2:15" ht="23.75" hidden="1" customHeight="1" x14ac:dyDescent="0.15">
      <c r="B502" s="26">
        <f>'Jrnl Exp ~ Dép'!B434</f>
        <v>0</v>
      </c>
      <c r="C502" s="914">
        <f>'Jrnl Exp ~ Dép'!$D434</f>
        <v>0</v>
      </c>
      <c r="D502" s="912">
        <f>'Jrnl Exp ~ Dép'!$F434</f>
        <v>0</v>
      </c>
      <c r="E502" s="918">
        <f>'Jrnl Exp ~ Dép'!$G434</f>
        <v>0</v>
      </c>
      <c r="F502" s="919">
        <f>'Jrnl Exp ~ Dép'!$E434</f>
        <v>0</v>
      </c>
      <c r="G502" s="920" t="str">
        <f>LEFT('Jrnl Exp ~ Dép'!$H434,4)</f>
        <v/>
      </c>
      <c r="H502" s="923"/>
      <c r="I502" s="895"/>
      <c r="J502" s="895"/>
      <c r="K502" s="895"/>
      <c r="L502" s="898"/>
      <c r="M502" s="875" t="str">
        <f t="shared" si="19"/>
        <v>0</v>
      </c>
      <c r="N502" s="26" t="str">
        <f t="shared" si="18"/>
        <v>3</v>
      </c>
      <c r="O502" s="26" t="str">
        <f t="shared" si="20"/>
        <v>0</v>
      </c>
    </row>
    <row r="503" spans="2:15" ht="23.75" hidden="1" customHeight="1" x14ac:dyDescent="0.15">
      <c r="B503" s="26">
        <f>'Jrnl Exp ~ Dép'!B435</f>
        <v>0</v>
      </c>
      <c r="C503" s="914">
        <f>'Jrnl Exp ~ Dép'!$D435</f>
        <v>0</v>
      </c>
      <c r="D503" s="912">
        <f>'Jrnl Exp ~ Dép'!$F435</f>
        <v>0</v>
      </c>
      <c r="E503" s="918">
        <f>'Jrnl Exp ~ Dép'!$G435</f>
        <v>0</v>
      </c>
      <c r="F503" s="919">
        <f>'Jrnl Exp ~ Dép'!$E435</f>
        <v>0</v>
      </c>
      <c r="G503" s="920" t="str">
        <f>LEFT('Jrnl Exp ~ Dép'!$H435,4)</f>
        <v/>
      </c>
      <c r="H503" s="923"/>
      <c r="I503" s="895"/>
      <c r="J503" s="895"/>
      <c r="K503" s="895"/>
      <c r="L503" s="898"/>
      <c r="M503" s="875" t="str">
        <f t="shared" si="19"/>
        <v>0</v>
      </c>
      <c r="N503" s="26" t="str">
        <f t="shared" si="18"/>
        <v>3</v>
      </c>
      <c r="O503" s="26" t="str">
        <f t="shared" si="20"/>
        <v>0</v>
      </c>
    </row>
    <row r="504" spans="2:15" ht="23.75" hidden="1" customHeight="1" x14ac:dyDescent="0.15">
      <c r="B504" s="26">
        <f>'Jrnl Exp ~ Dép'!B436</f>
        <v>0</v>
      </c>
      <c r="C504" s="914">
        <f>'Jrnl Exp ~ Dép'!$D436</f>
        <v>0</v>
      </c>
      <c r="D504" s="912">
        <f>'Jrnl Exp ~ Dép'!$F436</f>
        <v>0</v>
      </c>
      <c r="E504" s="918">
        <f>'Jrnl Exp ~ Dép'!$G436</f>
        <v>0</v>
      </c>
      <c r="F504" s="919">
        <f>'Jrnl Exp ~ Dép'!$E436</f>
        <v>0</v>
      </c>
      <c r="G504" s="920" t="str">
        <f>LEFT('Jrnl Exp ~ Dép'!$H436,4)</f>
        <v/>
      </c>
      <c r="H504" s="923"/>
      <c r="I504" s="895"/>
      <c r="J504" s="895"/>
      <c r="K504" s="895"/>
      <c r="L504" s="898"/>
      <c r="M504" s="875" t="str">
        <f t="shared" si="19"/>
        <v>0</v>
      </c>
      <c r="N504" s="26" t="str">
        <f t="shared" si="18"/>
        <v>3</v>
      </c>
      <c r="O504" s="26" t="str">
        <f t="shared" si="20"/>
        <v>0</v>
      </c>
    </row>
    <row r="505" spans="2:15" ht="23.75" hidden="1" customHeight="1" x14ac:dyDescent="0.15">
      <c r="B505" s="26">
        <f>'Jrnl Exp ~ Dép'!B437</f>
        <v>0</v>
      </c>
      <c r="C505" s="914">
        <f>'Jrnl Exp ~ Dép'!$D437</f>
        <v>0</v>
      </c>
      <c r="D505" s="912">
        <f>'Jrnl Exp ~ Dép'!$F437</f>
        <v>0</v>
      </c>
      <c r="E505" s="918">
        <f>'Jrnl Exp ~ Dép'!$G437</f>
        <v>0</v>
      </c>
      <c r="F505" s="919">
        <f>'Jrnl Exp ~ Dép'!$E437</f>
        <v>0</v>
      </c>
      <c r="G505" s="920" t="str">
        <f>LEFT('Jrnl Exp ~ Dép'!$H437,4)</f>
        <v/>
      </c>
      <c r="H505" s="923"/>
      <c r="I505" s="895"/>
      <c r="J505" s="895"/>
      <c r="K505" s="895"/>
      <c r="L505" s="898"/>
      <c r="M505" s="875" t="str">
        <f t="shared" si="19"/>
        <v>0</v>
      </c>
      <c r="N505" s="26" t="str">
        <f t="shared" si="18"/>
        <v>3</v>
      </c>
      <c r="O505" s="26" t="str">
        <f t="shared" si="20"/>
        <v>0</v>
      </c>
    </row>
    <row r="506" spans="2:15" ht="23.75" hidden="1" customHeight="1" x14ac:dyDescent="0.15">
      <c r="B506" s="26">
        <f>'Jrnl Exp ~ Dép'!B438</f>
        <v>0</v>
      </c>
      <c r="C506" s="914">
        <f>'Jrnl Exp ~ Dép'!$D438</f>
        <v>0</v>
      </c>
      <c r="D506" s="912">
        <f>'Jrnl Exp ~ Dép'!$F438</f>
        <v>0</v>
      </c>
      <c r="E506" s="918">
        <f>'Jrnl Exp ~ Dép'!$G438</f>
        <v>0</v>
      </c>
      <c r="F506" s="919">
        <f>'Jrnl Exp ~ Dép'!$E438</f>
        <v>0</v>
      </c>
      <c r="G506" s="920" t="str">
        <f>LEFT('Jrnl Exp ~ Dép'!$H438,4)</f>
        <v/>
      </c>
      <c r="H506" s="923"/>
      <c r="I506" s="895"/>
      <c r="J506" s="895"/>
      <c r="K506" s="895"/>
      <c r="L506" s="898"/>
      <c r="M506" s="875" t="str">
        <f t="shared" si="19"/>
        <v>0</v>
      </c>
      <c r="N506" s="26" t="str">
        <f t="shared" si="18"/>
        <v>3</v>
      </c>
      <c r="O506" s="26" t="str">
        <f t="shared" si="20"/>
        <v>0</v>
      </c>
    </row>
    <row r="507" spans="2:15" ht="23.75" hidden="1" customHeight="1" x14ac:dyDescent="0.15">
      <c r="B507" s="26">
        <f>'Jrnl Exp ~ Dép'!B439</f>
        <v>0</v>
      </c>
      <c r="C507" s="914">
        <f>'Jrnl Exp ~ Dép'!$D439</f>
        <v>0</v>
      </c>
      <c r="D507" s="912">
        <f>'Jrnl Exp ~ Dép'!$F439</f>
        <v>0</v>
      </c>
      <c r="E507" s="918">
        <f>'Jrnl Exp ~ Dép'!$G439</f>
        <v>0</v>
      </c>
      <c r="F507" s="919">
        <f>'Jrnl Exp ~ Dép'!$E439</f>
        <v>0</v>
      </c>
      <c r="G507" s="920" t="str">
        <f>LEFT('Jrnl Exp ~ Dép'!$H439,4)</f>
        <v/>
      </c>
      <c r="H507" s="923"/>
      <c r="I507" s="895"/>
      <c r="J507" s="895"/>
      <c r="K507" s="895"/>
      <c r="L507" s="898"/>
      <c r="M507" s="875" t="str">
        <f t="shared" si="19"/>
        <v>0</v>
      </c>
      <c r="N507" s="26" t="str">
        <f t="shared" si="18"/>
        <v>3</v>
      </c>
      <c r="O507" s="26" t="str">
        <f t="shared" si="20"/>
        <v>0</v>
      </c>
    </row>
    <row r="508" spans="2:15" ht="23.75" hidden="1" customHeight="1" x14ac:dyDescent="0.15">
      <c r="B508" s="26">
        <f>'Jrnl Exp ~ Dép'!B440</f>
        <v>0</v>
      </c>
      <c r="C508" s="914">
        <f>'Jrnl Exp ~ Dép'!$D440</f>
        <v>0</v>
      </c>
      <c r="D508" s="912">
        <f>'Jrnl Exp ~ Dép'!$F440</f>
        <v>0</v>
      </c>
      <c r="E508" s="918">
        <f>'Jrnl Exp ~ Dép'!$G440</f>
        <v>0</v>
      </c>
      <c r="F508" s="919">
        <f>'Jrnl Exp ~ Dép'!$E440</f>
        <v>0</v>
      </c>
      <c r="G508" s="920" t="str">
        <f>LEFT('Jrnl Exp ~ Dép'!$H440,4)</f>
        <v/>
      </c>
      <c r="H508" s="923"/>
      <c r="I508" s="895"/>
      <c r="J508" s="895"/>
      <c r="K508" s="895"/>
      <c r="L508" s="898"/>
      <c r="M508" s="875" t="str">
        <f t="shared" si="19"/>
        <v>0</v>
      </c>
      <c r="N508" s="26" t="str">
        <f t="shared" si="18"/>
        <v>3</v>
      </c>
      <c r="O508" s="26" t="str">
        <f t="shared" si="20"/>
        <v>0</v>
      </c>
    </row>
    <row r="509" spans="2:15" ht="23.75" hidden="1" customHeight="1" x14ac:dyDescent="0.15">
      <c r="B509" s="26">
        <f>'Jrnl Exp ~ Dép'!B441</f>
        <v>0</v>
      </c>
      <c r="C509" s="914">
        <f>'Jrnl Exp ~ Dép'!$D441</f>
        <v>0</v>
      </c>
      <c r="D509" s="912">
        <f>'Jrnl Exp ~ Dép'!$F441</f>
        <v>0</v>
      </c>
      <c r="E509" s="918">
        <f>'Jrnl Exp ~ Dép'!$G441</f>
        <v>0</v>
      </c>
      <c r="F509" s="919">
        <f>'Jrnl Exp ~ Dép'!$E441</f>
        <v>0</v>
      </c>
      <c r="G509" s="920" t="str">
        <f>LEFT('Jrnl Exp ~ Dép'!$H441,4)</f>
        <v/>
      </c>
      <c r="H509" s="923"/>
      <c r="I509" s="895"/>
      <c r="J509" s="895"/>
      <c r="K509" s="895"/>
      <c r="L509" s="898"/>
      <c r="M509" s="875" t="str">
        <f t="shared" si="19"/>
        <v>0</v>
      </c>
      <c r="N509" s="26" t="str">
        <f t="shared" si="18"/>
        <v>3</v>
      </c>
      <c r="O509" s="26" t="str">
        <f t="shared" si="20"/>
        <v>0</v>
      </c>
    </row>
    <row r="510" spans="2:15" ht="23.75" hidden="1" customHeight="1" x14ac:dyDescent="0.15">
      <c r="B510" s="26">
        <f>'Jrnl Exp ~ Dép'!B442</f>
        <v>0</v>
      </c>
      <c r="C510" s="914">
        <f>'Jrnl Exp ~ Dép'!$D442</f>
        <v>0</v>
      </c>
      <c r="D510" s="912">
        <f>'Jrnl Exp ~ Dép'!$F442</f>
        <v>0</v>
      </c>
      <c r="E510" s="918">
        <f>'Jrnl Exp ~ Dép'!$G442</f>
        <v>0</v>
      </c>
      <c r="F510" s="919">
        <f>'Jrnl Exp ~ Dép'!$E442</f>
        <v>0</v>
      </c>
      <c r="G510" s="920" t="str">
        <f>LEFT('Jrnl Exp ~ Dép'!$H442,4)</f>
        <v/>
      </c>
      <c r="H510" s="923"/>
      <c r="I510" s="895"/>
      <c r="J510" s="895"/>
      <c r="K510" s="895"/>
      <c r="L510" s="898"/>
      <c r="M510" s="875" t="str">
        <f t="shared" si="19"/>
        <v>0</v>
      </c>
      <c r="N510" s="26" t="str">
        <f t="shared" si="18"/>
        <v>3</v>
      </c>
      <c r="O510" s="26" t="str">
        <f t="shared" si="20"/>
        <v>0</v>
      </c>
    </row>
    <row r="511" spans="2:15" ht="23.75" hidden="1" customHeight="1" x14ac:dyDescent="0.15">
      <c r="B511" s="26">
        <f>'Jrnl Exp ~ Dép'!B443</f>
        <v>0</v>
      </c>
      <c r="C511" s="914">
        <f>'Jrnl Exp ~ Dép'!$D443</f>
        <v>0</v>
      </c>
      <c r="D511" s="912">
        <f>'Jrnl Exp ~ Dép'!$F443</f>
        <v>0</v>
      </c>
      <c r="E511" s="918">
        <f>'Jrnl Exp ~ Dép'!$G443</f>
        <v>0</v>
      </c>
      <c r="F511" s="919">
        <f>'Jrnl Exp ~ Dép'!$E443</f>
        <v>0</v>
      </c>
      <c r="G511" s="920" t="str">
        <f>LEFT('Jrnl Exp ~ Dép'!$H443,4)</f>
        <v/>
      </c>
      <c r="H511" s="923"/>
      <c r="I511" s="895"/>
      <c r="J511" s="895"/>
      <c r="K511" s="895"/>
      <c r="L511" s="898"/>
      <c r="M511" s="875" t="str">
        <f t="shared" si="19"/>
        <v>0</v>
      </c>
      <c r="N511" s="26" t="str">
        <f t="shared" si="18"/>
        <v>3</v>
      </c>
      <c r="O511" s="26" t="str">
        <f t="shared" si="20"/>
        <v>0</v>
      </c>
    </row>
    <row r="512" spans="2:15" ht="23.75" hidden="1" customHeight="1" x14ac:dyDescent="0.15">
      <c r="B512" s="26">
        <f>'Jrnl Exp ~ Dép'!B444</f>
        <v>0</v>
      </c>
      <c r="C512" s="914">
        <f>'Jrnl Exp ~ Dép'!$D444</f>
        <v>0</v>
      </c>
      <c r="D512" s="912">
        <f>'Jrnl Exp ~ Dép'!$F444</f>
        <v>0</v>
      </c>
      <c r="E512" s="918">
        <f>'Jrnl Exp ~ Dép'!$G444</f>
        <v>0</v>
      </c>
      <c r="F512" s="919">
        <f>'Jrnl Exp ~ Dép'!$E444</f>
        <v>0</v>
      </c>
      <c r="G512" s="920" t="str">
        <f>LEFT('Jrnl Exp ~ Dép'!$H444,4)</f>
        <v/>
      </c>
      <c r="H512" s="923"/>
      <c r="I512" s="895"/>
      <c r="J512" s="895"/>
      <c r="K512" s="895"/>
      <c r="L512" s="898"/>
      <c r="M512" s="875" t="str">
        <f t="shared" si="19"/>
        <v>0</v>
      </c>
      <c r="N512" s="26" t="str">
        <f t="shared" si="18"/>
        <v>3</v>
      </c>
      <c r="O512" s="26" t="str">
        <f t="shared" si="20"/>
        <v>0</v>
      </c>
    </row>
    <row r="513" spans="2:15" ht="23.75" hidden="1" customHeight="1" x14ac:dyDescent="0.15">
      <c r="B513" s="26">
        <f>'Jrnl Exp ~ Dép'!B445</f>
        <v>0</v>
      </c>
      <c r="C513" s="914">
        <f>'Jrnl Exp ~ Dép'!$D445</f>
        <v>0</v>
      </c>
      <c r="D513" s="912">
        <f>'Jrnl Exp ~ Dép'!$F445</f>
        <v>0</v>
      </c>
      <c r="E513" s="918">
        <f>'Jrnl Exp ~ Dép'!$G445</f>
        <v>0</v>
      </c>
      <c r="F513" s="919">
        <f>'Jrnl Exp ~ Dép'!$E445</f>
        <v>0</v>
      </c>
      <c r="G513" s="920" t="str">
        <f>LEFT('Jrnl Exp ~ Dép'!$H445,4)</f>
        <v/>
      </c>
      <c r="H513" s="923"/>
      <c r="I513" s="895"/>
      <c r="J513" s="895"/>
      <c r="K513" s="895"/>
      <c r="L513" s="898"/>
      <c r="M513" s="875" t="str">
        <f t="shared" si="19"/>
        <v>0</v>
      </c>
      <c r="N513" s="26" t="str">
        <f t="shared" si="18"/>
        <v>3</v>
      </c>
      <c r="O513" s="26" t="str">
        <f t="shared" si="20"/>
        <v>0</v>
      </c>
    </row>
    <row r="514" spans="2:15" ht="23.75" hidden="1" customHeight="1" x14ac:dyDescent="0.15">
      <c r="B514" s="26">
        <f>'Jrnl Exp ~ Dép'!B446</f>
        <v>0</v>
      </c>
      <c r="C514" s="914">
        <f>'Jrnl Exp ~ Dép'!$D446</f>
        <v>0</v>
      </c>
      <c r="D514" s="912">
        <f>'Jrnl Exp ~ Dép'!$F446</f>
        <v>0</v>
      </c>
      <c r="E514" s="918">
        <f>'Jrnl Exp ~ Dép'!$G446</f>
        <v>0</v>
      </c>
      <c r="F514" s="919">
        <f>'Jrnl Exp ~ Dép'!$E446</f>
        <v>0</v>
      </c>
      <c r="G514" s="920" t="str">
        <f>LEFT('Jrnl Exp ~ Dép'!$H446,4)</f>
        <v/>
      </c>
      <c r="H514" s="923"/>
      <c r="I514" s="895"/>
      <c r="J514" s="895"/>
      <c r="K514" s="895"/>
      <c r="L514" s="898"/>
      <c r="M514" s="875" t="str">
        <f t="shared" si="19"/>
        <v>0</v>
      </c>
      <c r="N514" s="26" t="str">
        <f t="shared" si="18"/>
        <v>3</v>
      </c>
      <c r="O514" s="26" t="str">
        <f t="shared" si="20"/>
        <v>0</v>
      </c>
    </row>
    <row r="515" spans="2:15" ht="23.75" hidden="1" customHeight="1" x14ac:dyDescent="0.15">
      <c r="B515" s="26">
        <f>'Jrnl Exp ~ Dép'!B447</f>
        <v>0</v>
      </c>
      <c r="C515" s="914">
        <f>'Jrnl Exp ~ Dép'!$D447</f>
        <v>0</v>
      </c>
      <c r="D515" s="912">
        <f>'Jrnl Exp ~ Dép'!$F447</f>
        <v>0</v>
      </c>
      <c r="E515" s="918">
        <f>'Jrnl Exp ~ Dép'!$G447</f>
        <v>0</v>
      </c>
      <c r="F515" s="919">
        <f>'Jrnl Exp ~ Dép'!$E447</f>
        <v>0</v>
      </c>
      <c r="G515" s="920" t="str">
        <f>LEFT('Jrnl Exp ~ Dép'!$H447,4)</f>
        <v/>
      </c>
      <c r="H515" s="923"/>
      <c r="I515" s="895"/>
      <c r="J515" s="895"/>
      <c r="K515" s="895"/>
      <c r="L515" s="898"/>
      <c r="M515" s="875" t="str">
        <f t="shared" si="19"/>
        <v>0</v>
      </c>
      <c r="N515" s="26" t="str">
        <f t="shared" si="18"/>
        <v>3</v>
      </c>
      <c r="O515" s="26" t="str">
        <f t="shared" si="20"/>
        <v>0</v>
      </c>
    </row>
    <row r="516" spans="2:15" ht="23.75" hidden="1" customHeight="1" x14ac:dyDescent="0.15">
      <c r="B516" s="26">
        <f>'Jrnl Exp ~ Dép'!B448</f>
        <v>0</v>
      </c>
      <c r="C516" s="914">
        <f>'Jrnl Exp ~ Dép'!$D448</f>
        <v>0</v>
      </c>
      <c r="D516" s="912">
        <f>'Jrnl Exp ~ Dép'!$F448</f>
        <v>0</v>
      </c>
      <c r="E516" s="918">
        <f>'Jrnl Exp ~ Dép'!$G448</f>
        <v>0</v>
      </c>
      <c r="F516" s="919">
        <f>'Jrnl Exp ~ Dép'!$E448</f>
        <v>0</v>
      </c>
      <c r="G516" s="920" t="str">
        <f>LEFT('Jrnl Exp ~ Dép'!$H448,4)</f>
        <v/>
      </c>
      <c r="H516" s="923"/>
      <c r="I516" s="895"/>
      <c r="J516" s="895"/>
      <c r="K516" s="895"/>
      <c r="L516" s="898"/>
      <c r="M516" s="875" t="str">
        <f t="shared" si="19"/>
        <v>0</v>
      </c>
      <c r="N516" s="26" t="str">
        <f t="shared" si="18"/>
        <v>3</v>
      </c>
      <c r="O516" s="26" t="str">
        <f t="shared" si="20"/>
        <v>0</v>
      </c>
    </row>
    <row r="517" spans="2:15" ht="23.75" hidden="1" customHeight="1" x14ac:dyDescent="0.15">
      <c r="B517" s="26">
        <f>'Jrnl Exp ~ Dép'!B449</f>
        <v>0</v>
      </c>
      <c r="C517" s="914">
        <f>'Jrnl Exp ~ Dép'!$D449</f>
        <v>0</v>
      </c>
      <c r="D517" s="912">
        <f>'Jrnl Exp ~ Dép'!$F449</f>
        <v>0</v>
      </c>
      <c r="E517" s="918">
        <f>'Jrnl Exp ~ Dép'!$G449</f>
        <v>0</v>
      </c>
      <c r="F517" s="919">
        <f>'Jrnl Exp ~ Dép'!$E449</f>
        <v>0</v>
      </c>
      <c r="G517" s="920" t="str">
        <f>LEFT('Jrnl Exp ~ Dép'!$H449,4)</f>
        <v/>
      </c>
      <c r="H517" s="923"/>
      <c r="I517" s="895"/>
      <c r="J517" s="895"/>
      <c r="K517" s="895"/>
      <c r="L517" s="898"/>
      <c r="M517" s="875" t="str">
        <f t="shared" si="19"/>
        <v>0</v>
      </c>
      <c r="N517" s="26" t="str">
        <f t="shared" si="18"/>
        <v>3</v>
      </c>
      <c r="O517" s="26" t="str">
        <f t="shared" si="20"/>
        <v>0</v>
      </c>
    </row>
    <row r="518" spans="2:15" ht="23.75" hidden="1" customHeight="1" x14ac:dyDescent="0.15">
      <c r="B518" s="26">
        <f>'Jrnl Exp ~ Dép'!B450</f>
        <v>0</v>
      </c>
      <c r="C518" s="914">
        <f>'Jrnl Exp ~ Dép'!$D450</f>
        <v>0</v>
      </c>
      <c r="D518" s="912">
        <f>'Jrnl Exp ~ Dép'!$F450</f>
        <v>0</v>
      </c>
      <c r="E518" s="918">
        <f>'Jrnl Exp ~ Dép'!$G450</f>
        <v>0</v>
      </c>
      <c r="F518" s="919">
        <f>'Jrnl Exp ~ Dép'!$E450</f>
        <v>0</v>
      </c>
      <c r="G518" s="920" t="str">
        <f>LEFT('Jrnl Exp ~ Dép'!$H450,4)</f>
        <v/>
      </c>
      <c r="H518" s="923"/>
      <c r="I518" s="895"/>
      <c r="J518" s="895"/>
      <c r="K518" s="895"/>
      <c r="L518" s="898"/>
      <c r="M518" s="875" t="str">
        <f t="shared" si="19"/>
        <v>0</v>
      </c>
      <c r="N518" s="26" t="str">
        <f t="shared" si="18"/>
        <v>3</v>
      </c>
      <c r="O518" s="26" t="str">
        <f t="shared" si="20"/>
        <v>0</v>
      </c>
    </row>
    <row r="519" spans="2:15" ht="23.75" hidden="1" customHeight="1" x14ac:dyDescent="0.15">
      <c r="B519" s="26">
        <f>'Jrnl Exp ~ Dép'!B451</f>
        <v>0</v>
      </c>
      <c r="C519" s="914">
        <f>'Jrnl Exp ~ Dép'!$D451</f>
        <v>0</v>
      </c>
      <c r="D519" s="912">
        <f>'Jrnl Exp ~ Dép'!$F451</f>
        <v>0</v>
      </c>
      <c r="E519" s="918">
        <f>'Jrnl Exp ~ Dép'!$G451</f>
        <v>0</v>
      </c>
      <c r="F519" s="919">
        <f>'Jrnl Exp ~ Dép'!$E451</f>
        <v>0</v>
      </c>
      <c r="G519" s="920" t="str">
        <f>LEFT('Jrnl Exp ~ Dép'!$H451,4)</f>
        <v/>
      </c>
      <c r="H519" s="923"/>
      <c r="I519" s="895"/>
      <c r="J519" s="895"/>
      <c r="K519" s="895"/>
      <c r="L519" s="898"/>
      <c r="M519" s="875" t="str">
        <f t="shared" si="19"/>
        <v>0</v>
      </c>
      <c r="N519" s="26" t="str">
        <f t="shared" si="18"/>
        <v>3</v>
      </c>
      <c r="O519" s="26" t="str">
        <f t="shared" si="20"/>
        <v>0</v>
      </c>
    </row>
    <row r="520" spans="2:15" ht="23.75" hidden="1" customHeight="1" x14ac:dyDescent="0.15">
      <c r="B520" s="26">
        <f>'Jrnl Exp ~ Dép'!B452</f>
        <v>0</v>
      </c>
      <c r="C520" s="914">
        <f>'Jrnl Exp ~ Dép'!$D452</f>
        <v>0</v>
      </c>
      <c r="D520" s="912">
        <f>'Jrnl Exp ~ Dép'!$F452</f>
        <v>0</v>
      </c>
      <c r="E520" s="918">
        <f>'Jrnl Exp ~ Dép'!$G452</f>
        <v>0</v>
      </c>
      <c r="F520" s="919">
        <f>'Jrnl Exp ~ Dép'!$E452</f>
        <v>0</v>
      </c>
      <c r="G520" s="920" t="str">
        <f>LEFT('Jrnl Exp ~ Dép'!$H452,4)</f>
        <v/>
      </c>
      <c r="H520" s="923"/>
      <c r="I520" s="895"/>
      <c r="J520" s="895"/>
      <c r="K520" s="895"/>
      <c r="L520" s="898"/>
      <c r="M520" s="875" t="str">
        <f t="shared" si="19"/>
        <v>0</v>
      </c>
      <c r="N520" s="26" t="str">
        <f t="shared" si="18"/>
        <v>3</v>
      </c>
      <c r="O520" s="26" t="str">
        <f t="shared" si="20"/>
        <v>0</v>
      </c>
    </row>
    <row r="521" spans="2:15" ht="23.75" hidden="1" customHeight="1" x14ac:dyDescent="0.15">
      <c r="B521" s="26">
        <f>'Jrnl Exp ~ Dép'!B453</f>
        <v>0</v>
      </c>
      <c r="C521" s="914">
        <f>'Jrnl Exp ~ Dép'!$D453</f>
        <v>0</v>
      </c>
      <c r="D521" s="912">
        <f>'Jrnl Exp ~ Dép'!$F453</f>
        <v>0</v>
      </c>
      <c r="E521" s="918">
        <f>'Jrnl Exp ~ Dép'!$G453</f>
        <v>0</v>
      </c>
      <c r="F521" s="919">
        <f>'Jrnl Exp ~ Dép'!$E453</f>
        <v>0</v>
      </c>
      <c r="G521" s="920" t="str">
        <f>LEFT('Jrnl Exp ~ Dép'!$H453,4)</f>
        <v/>
      </c>
      <c r="H521" s="923"/>
      <c r="I521" s="895"/>
      <c r="J521" s="895"/>
      <c r="K521" s="895"/>
      <c r="L521" s="898"/>
      <c r="M521" s="875" t="str">
        <f t="shared" si="19"/>
        <v>0</v>
      </c>
      <c r="N521" s="26" t="str">
        <f t="shared" si="18"/>
        <v>3</v>
      </c>
      <c r="O521" s="26" t="str">
        <f t="shared" si="20"/>
        <v>0</v>
      </c>
    </row>
    <row r="522" spans="2:15" ht="23.75" hidden="1" customHeight="1" x14ac:dyDescent="0.15">
      <c r="B522" s="26">
        <f>'Jrnl Exp ~ Dép'!B454</f>
        <v>0</v>
      </c>
      <c r="C522" s="914">
        <f>'Jrnl Exp ~ Dép'!$D454</f>
        <v>0</v>
      </c>
      <c r="D522" s="912">
        <f>'Jrnl Exp ~ Dép'!$F454</f>
        <v>0</v>
      </c>
      <c r="E522" s="918">
        <f>'Jrnl Exp ~ Dép'!$G454</f>
        <v>0</v>
      </c>
      <c r="F522" s="919">
        <f>'Jrnl Exp ~ Dép'!$E454</f>
        <v>0</v>
      </c>
      <c r="G522" s="920" t="str">
        <f>LEFT('Jrnl Exp ~ Dép'!$H454,4)</f>
        <v/>
      </c>
      <c r="H522" s="923"/>
      <c r="I522" s="895"/>
      <c r="J522" s="895"/>
      <c r="K522" s="895"/>
      <c r="L522" s="898"/>
      <c r="M522" s="875" t="str">
        <f t="shared" si="19"/>
        <v>0</v>
      </c>
      <c r="N522" s="26" t="str">
        <f t="shared" si="18"/>
        <v>3</v>
      </c>
      <c r="O522" s="26" t="str">
        <f t="shared" si="20"/>
        <v>0</v>
      </c>
    </row>
    <row r="523" spans="2:15" ht="23.75" hidden="1" customHeight="1" x14ac:dyDescent="0.15">
      <c r="B523" s="26">
        <f>'Jrnl Exp ~ Dép'!B455</f>
        <v>0</v>
      </c>
      <c r="C523" s="914">
        <f>'Jrnl Exp ~ Dép'!$D455</f>
        <v>0</v>
      </c>
      <c r="D523" s="912">
        <f>'Jrnl Exp ~ Dép'!$F455</f>
        <v>0</v>
      </c>
      <c r="E523" s="918">
        <f>'Jrnl Exp ~ Dép'!$G455</f>
        <v>0</v>
      </c>
      <c r="F523" s="919">
        <f>'Jrnl Exp ~ Dép'!$E455</f>
        <v>0</v>
      </c>
      <c r="G523" s="920" t="str">
        <f>LEFT('Jrnl Exp ~ Dép'!$H455,4)</f>
        <v/>
      </c>
      <c r="H523" s="923"/>
      <c r="I523" s="895"/>
      <c r="J523" s="895"/>
      <c r="K523" s="895"/>
      <c r="L523" s="898"/>
      <c r="M523" s="875" t="str">
        <f t="shared" si="19"/>
        <v>0</v>
      </c>
      <c r="N523" s="26" t="str">
        <f t="shared" si="18"/>
        <v>3</v>
      </c>
      <c r="O523" s="26" t="str">
        <f t="shared" si="20"/>
        <v>0</v>
      </c>
    </row>
    <row r="524" spans="2:15" ht="23.75" hidden="1" customHeight="1" x14ac:dyDescent="0.15">
      <c r="B524" s="26">
        <f>'Jrnl Exp ~ Dép'!B456</f>
        <v>0</v>
      </c>
      <c r="C524" s="914">
        <f>'Jrnl Exp ~ Dép'!$D456</f>
        <v>0</v>
      </c>
      <c r="D524" s="912">
        <f>'Jrnl Exp ~ Dép'!$F456</f>
        <v>0</v>
      </c>
      <c r="E524" s="918">
        <f>'Jrnl Exp ~ Dép'!$G456</f>
        <v>0</v>
      </c>
      <c r="F524" s="919">
        <f>'Jrnl Exp ~ Dép'!$E456</f>
        <v>0</v>
      </c>
      <c r="G524" s="920" t="str">
        <f>LEFT('Jrnl Exp ~ Dép'!$H456,4)</f>
        <v/>
      </c>
      <c r="H524" s="923"/>
      <c r="I524" s="895"/>
      <c r="J524" s="895"/>
      <c r="K524" s="895"/>
      <c r="L524" s="898"/>
      <c r="M524" s="875" t="str">
        <f t="shared" si="19"/>
        <v>0</v>
      </c>
      <c r="N524" s="26" t="str">
        <f t="shared" si="18"/>
        <v>3</v>
      </c>
      <c r="O524" s="26" t="str">
        <f t="shared" si="20"/>
        <v>0</v>
      </c>
    </row>
    <row r="525" spans="2:15" ht="23.75" hidden="1" customHeight="1" x14ac:dyDescent="0.15">
      <c r="B525" s="26">
        <f>'Jrnl Exp ~ Dép'!B457</f>
        <v>0</v>
      </c>
      <c r="C525" s="914">
        <f>'Jrnl Exp ~ Dép'!$D457</f>
        <v>0</v>
      </c>
      <c r="D525" s="912">
        <f>'Jrnl Exp ~ Dép'!$F457</f>
        <v>0</v>
      </c>
      <c r="E525" s="918">
        <f>'Jrnl Exp ~ Dép'!$G457</f>
        <v>0</v>
      </c>
      <c r="F525" s="919">
        <f>'Jrnl Exp ~ Dép'!$E457</f>
        <v>0</v>
      </c>
      <c r="G525" s="920" t="str">
        <f>LEFT('Jrnl Exp ~ Dép'!$H457,4)</f>
        <v/>
      </c>
      <c r="H525" s="923"/>
      <c r="I525" s="895"/>
      <c r="J525" s="895"/>
      <c r="K525" s="895"/>
      <c r="L525" s="898"/>
      <c r="M525" s="875" t="str">
        <f t="shared" si="19"/>
        <v>0</v>
      </c>
      <c r="N525" s="26" t="str">
        <f t="shared" si="18"/>
        <v>3</v>
      </c>
      <c r="O525" s="26" t="str">
        <f t="shared" si="20"/>
        <v>0</v>
      </c>
    </row>
    <row r="526" spans="2:15" ht="23.75" hidden="1" customHeight="1" x14ac:dyDescent="0.15">
      <c r="B526" s="26">
        <f>'Jrnl Exp ~ Dép'!B458</f>
        <v>0</v>
      </c>
      <c r="C526" s="914">
        <f>'Jrnl Exp ~ Dép'!$D458</f>
        <v>0</v>
      </c>
      <c r="D526" s="912">
        <f>'Jrnl Exp ~ Dép'!$F458</f>
        <v>0</v>
      </c>
      <c r="E526" s="918">
        <f>'Jrnl Exp ~ Dép'!$G458</f>
        <v>0</v>
      </c>
      <c r="F526" s="919">
        <f>'Jrnl Exp ~ Dép'!$E458</f>
        <v>0</v>
      </c>
      <c r="G526" s="920" t="str">
        <f>LEFT('Jrnl Exp ~ Dép'!$H458,4)</f>
        <v/>
      </c>
      <c r="H526" s="923"/>
      <c r="I526" s="895"/>
      <c r="J526" s="895"/>
      <c r="K526" s="895"/>
      <c r="L526" s="898"/>
      <c r="M526" s="875" t="str">
        <f t="shared" si="19"/>
        <v>0</v>
      </c>
      <c r="N526" s="26" t="str">
        <f t="shared" si="18"/>
        <v>3</v>
      </c>
      <c r="O526" s="26" t="str">
        <f t="shared" si="20"/>
        <v>0</v>
      </c>
    </row>
    <row r="527" spans="2:15" ht="23.75" hidden="1" customHeight="1" x14ac:dyDescent="0.15">
      <c r="B527" s="26">
        <f>'Jrnl Exp ~ Dép'!B459</f>
        <v>0</v>
      </c>
      <c r="C527" s="914">
        <f>'Jrnl Exp ~ Dép'!$D459</f>
        <v>0</v>
      </c>
      <c r="D527" s="912">
        <f>'Jrnl Exp ~ Dép'!$F459</f>
        <v>0</v>
      </c>
      <c r="E527" s="918">
        <f>'Jrnl Exp ~ Dép'!$G459</f>
        <v>0</v>
      </c>
      <c r="F527" s="919">
        <f>'Jrnl Exp ~ Dép'!$E459</f>
        <v>0</v>
      </c>
      <c r="G527" s="920" t="str">
        <f>LEFT('Jrnl Exp ~ Dép'!$H459,4)</f>
        <v/>
      </c>
      <c r="H527" s="923"/>
      <c r="I527" s="895"/>
      <c r="J527" s="895"/>
      <c r="K527" s="895"/>
      <c r="L527" s="898"/>
      <c r="M527" s="875" t="str">
        <f t="shared" si="19"/>
        <v>0</v>
      </c>
      <c r="N527" s="26" t="str">
        <f t="shared" si="18"/>
        <v>3</v>
      </c>
      <c r="O527" s="26" t="str">
        <f t="shared" si="20"/>
        <v>0</v>
      </c>
    </row>
    <row r="528" spans="2:15" ht="23.75" hidden="1" customHeight="1" x14ac:dyDescent="0.15">
      <c r="B528" s="26">
        <f>'Jrnl Exp ~ Dép'!B460</f>
        <v>0</v>
      </c>
      <c r="C528" s="914">
        <f>'Jrnl Exp ~ Dép'!$D460</f>
        <v>0</v>
      </c>
      <c r="D528" s="912">
        <f>'Jrnl Exp ~ Dép'!$F460</f>
        <v>0</v>
      </c>
      <c r="E528" s="918">
        <f>'Jrnl Exp ~ Dép'!$G460</f>
        <v>0</v>
      </c>
      <c r="F528" s="919">
        <f>'Jrnl Exp ~ Dép'!$E460</f>
        <v>0</v>
      </c>
      <c r="G528" s="920" t="str">
        <f>LEFT('Jrnl Exp ~ Dép'!$H460,4)</f>
        <v/>
      </c>
      <c r="H528" s="923"/>
      <c r="I528" s="895"/>
      <c r="J528" s="895"/>
      <c r="K528" s="895"/>
      <c r="L528" s="898"/>
      <c r="M528" s="875" t="str">
        <f t="shared" si="19"/>
        <v>0</v>
      </c>
      <c r="N528" s="26" t="str">
        <f t="shared" si="18"/>
        <v>3</v>
      </c>
      <c r="O528" s="26" t="str">
        <f t="shared" si="20"/>
        <v>0</v>
      </c>
    </row>
    <row r="529" spans="2:15" ht="23.75" hidden="1" customHeight="1" x14ac:dyDescent="0.15">
      <c r="B529" s="26">
        <f>'Jrnl Exp ~ Dép'!B461</f>
        <v>0</v>
      </c>
      <c r="C529" s="914">
        <f>'Jrnl Exp ~ Dép'!$D461</f>
        <v>0</v>
      </c>
      <c r="D529" s="912">
        <f>'Jrnl Exp ~ Dép'!$F461</f>
        <v>0</v>
      </c>
      <c r="E529" s="918">
        <f>'Jrnl Exp ~ Dép'!$G461</f>
        <v>0</v>
      </c>
      <c r="F529" s="919">
        <f>'Jrnl Exp ~ Dép'!$E461</f>
        <v>0</v>
      </c>
      <c r="G529" s="920" t="str">
        <f>LEFT('Jrnl Exp ~ Dép'!$H461,4)</f>
        <v/>
      </c>
      <c r="H529" s="923"/>
      <c r="I529" s="895"/>
      <c r="J529" s="895"/>
      <c r="K529" s="895"/>
      <c r="L529" s="898"/>
      <c r="M529" s="875" t="str">
        <f t="shared" si="19"/>
        <v>0</v>
      </c>
      <c r="N529" s="26" t="str">
        <f t="shared" si="18"/>
        <v>3</v>
      </c>
      <c r="O529" s="26" t="str">
        <f t="shared" si="20"/>
        <v>0</v>
      </c>
    </row>
    <row r="530" spans="2:15" ht="23.75" hidden="1" customHeight="1" x14ac:dyDescent="0.15">
      <c r="B530" s="26">
        <f>'Jrnl Exp ~ Dép'!B462</f>
        <v>0</v>
      </c>
      <c r="C530" s="914">
        <f>'Jrnl Exp ~ Dép'!$D462</f>
        <v>0</v>
      </c>
      <c r="D530" s="912">
        <f>'Jrnl Exp ~ Dép'!$F462</f>
        <v>0</v>
      </c>
      <c r="E530" s="918">
        <f>'Jrnl Exp ~ Dép'!$G462</f>
        <v>0</v>
      </c>
      <c r="F530" s="919">
        <f>'Jrnl Exp ~ Dép'!$E462</f>
        <v>0</v>
      </c>
      <c r="G530" s="920" t="str">
        <f>LEFT('Jrnl Exp ~ Dép'!$H462,4)</f>
        <v/>
      </c>
      <c r="H530" s="923"/>
      <c r="I530" s="895"/>
      <c r="J530" s="895"/>
      <c r="K530" s="895"/>
      <c r="L530" s="898"/>
      <c r="M530" s="875" t="str">
        <f t="shared" si="19"/>
        <v>0</v>
      </c>
      <c r="N530" s="26" t="str">
        <f t="shared" si="18"/>
        <v>3</v>
      </c>
      <c r="O530" s="26" t="str">
        <f t="shared" si="20"/>
        <v>0</v>
      </c>
    </row>
    <row r="531" spans="2:15" ht="23.75" hidden="1" customHeight="1" x14ac:dyDescent="0.15">
      <c r="B531" s="26">
        <f>'Jrnl Exp ~ Dép'!B463</f>
        <v>0</v>
      </c>
      <c r="C531" s="914">
        <f>'Jrnl Exp ~ Dép'!$D463</f>
        <v>0</v>
      </c>
      <c r="D531" s="912">
        <f>'Jrnl Exp ~ Dép'!$F463</f>
        <v>0</v>
      </c>
      <c r="E531" s="918">
        <f>'Jrnl Exp ~ Dép'!$G463</f>
        <v>0</v>
      </c>
      <c r="F531" s="919">
        <f>'Jrnl Exp ~ Dép'!$E463</f>
        <v>0</v>
      </c>
      <c r="G531" s="920" t="str">
        <f>LEFT('Jrnl Exp ~ Dép'!$H463,4)</f>
        <v/>
      </c>
      <c r="H531" s="923"/>
      <c r="I531" s="895"/>
      <c r="J531" s="895"/>
      <c r="K531" s="895"/>
      <c r="L531" s="898"/>
      <c r="M531" s="875" t="str">
        <f t="shared" si="19"/>
        <v>0</v>
      </c>
      <c r="N531" s="26" t="str">
        <f t="shared" si="18"/>
        <v>3</v>
      </c>
      <c r="O531" s="26" t="str">
        <f t="shared" si="20"/>
        <v>0</v>
      </c>
    </row>
    <row r="532" spans="2:15" ht="23.75" hidden="1" customHeight="1" x14ac:dyDescent="0.15">
      <c r="B532" s="26">
        <f>'Jrnl Exp ~ Dép'!B464</f>
        <v>0</v>
      </c>
      <c r="C532" s="914">
        <f>'Jrnl Exp ~ Dép'!$D464</f>
        <v>0</v>
      </c>
      <c r="D532" s="912">
        <f>'Jrnl Exp ~ Dép'!$F464</f>
        <v>0</v>
      </c>
      <c r="E532" s="918">
        <f>'Jrnl Exp ~ Dép'!$G464</f>
        <v>0</v>
      </c>
      <c r="F532" s="919">
        <f>'Jrnl Exp ~ Dép'!$E464</f>
        <v>0</v>
      </c>
      <c r="G532" s="920" t="str">
        <f>LEFT('Jrnl Exp ~ Dép'!$H464,4)</f>
        <v/>
      </c>
      <c r="H532" s="923"/>
      <c r="I532" s="895"/>
      <c r="J532" s="895"/>
      <c r="K532" s="895"/>
      <c r="L532" s="898"/>
      <c r="M532" s="875" t="str">
        <f t="shared" si="19"/>
        <v>0</v>
      </c>
      <c r="N532" s="26" t="str">
        <f t="shared" ref="N532:N583" si="21">IF(B532="√","2","3")</f>
        <v>3</v>
      </c>
      <c r="O532" s="26" t="str">
        <f t="shared" si="20"/>
        <v>0</v>
      </c>
    </row>
    <row r="533" spans="2:15" ht="23.75" hidden="1" customHeight="1" x14ac:dyDescent="0.15">
      <c r="B533" s="26">
        <f>'Jrnl Exp ~ Dép'!B465</f>
        <v>0</v>
      </c>
      <c r="C533" s="914">
        <f>'Jrnl Exp ~ Dép'!$D465</f>
        <v>0</v>
      </c>
      <c r="D533" s="912">
        <f>'Jrnl Exp ~ Dép'!$F465</f>
        <v>0</v>
      </c>
      <c r="E533" s="918">
        <f>'Jrnl Exp ~ Dép'!$G465</f>
        <v>0</v>
      </c>
      <c r="F533" s="919">
        <f>'Jrnl Exp ~ Dép'!$E465</f>
        <v>0</v>
      </c>
      <c r="G533" s="920" t="str">
        <f>LEFT('Jrnl Exp ~ Dép'!$H465,4)</f>
        <v/>
      </c>
      <c r="H533" s="923"/>
      <c r="I533" s="895"/>
      <c r="J533" s="895"/>
      <c r="K533" s="895"/>
      <c r="L533" s="898"/>
      <c r="M533" s="875" t="str">
        <f t="shared" ref="M533:M583" si="22">IF(E533&gt;0,"1","0")</f>
        <v>0</v>
      </c>
      <c r="N533" s="26" t="str">
        <f t="shared" si="21"/>
        <v>3</v>
      </c>
      <c r="O533" s="26" t="str">
        <f t="shared" ref="O533:O583" si="23">IF(AND(M533="1",N533="3"),"4","0")</f>
        <v>0</v>
      </c>
    </row>
    <row r="534" spans="2:15" ht="23.75" hidden="1" customHeight="1" x14ac:dyDescent="0.15">
      <c r="B534" s="26">
        <f>'Jrnl Exp ~ Dép'!B466</f>
        <v>0</v>
      </c>
      <c r="C534" s="914">
        <f>'Jrnl Exp ~ Dép'!$D466</f>
        <v>0</v>
      </c>
      <c r="D534" s="912">
        <f>'Jrnl Exp ~ Dép'!$F466</f>
        <v>0</v>
      </c>
      <c r="E534" s="918">
        <f>'Jrnl Exp ~ Dép'!$G466</f>
        <v>0</v>
      </c>
      <c r="F534" s="919">
        <f>'Jrnl Exp ~ Dép'!$E466</f>
        <v>0</v>
      </c>
      <c r="G534" s="920" t="str">
        <f>LEFT('Jrnl Exp ~ Dép'!$H466,4)</f>
        <v/>
      </c>
      <c r="H534" s="923"/>
      <c r="I534" s="895"/>
      <c r="J534" s="895"/>
      <c r="K534" s="895"/>
      <c r="L534" s="898"/>
      <c r="M534" s="875" t="str">
        <f t="shared" si="22"/>
        <v>0</v>
      </c>
      <c r="N534" s="26" t="str">
        <f t="shared" si="21"/>
        <v>3</v>
      </c>
      <c r="O534" s="26" t="str">
        <f t="shared" si="23"/>
        <v>0</v>
      </c>
    </row>
    <row r="535" spans="2:15" ht="23.75" hidden="1" customHeight="1" x14ac:dyDescent="0.15">
      <c r="B535" s="26">
        <f>'Jrnl Exp ~ Dép'!B467</f>
        <v>0</v>
      </c>
      <c r="C535" s="914">
        <f>'Jrnl Exp ~ Dép'!$D467</f>
        <v>0</v>
      </c>
      <c r="D535" s="912">
        <f>'Jrnl Exp ~ Dép'!$F467</f>
        <v>0</v>
      </c>
      <c r="E535" s="918">
        <f>'Jrnl Exp ~ Dép'!$G467</f>
        <v>0</v>
      </c>
      <c r="F535" s="919">
        <f>'Jrnl Exp ~ Dép'!$E467</f>
        <v>0</v>
      </c>
      <c r="G535" s="920" t="str">
        <f>LEFT('Jrnl Exp ~ Dép'!$H467,4)</f>
        <v/>
      </c>
      <c r="H535" s="923"/>
      <c r="I535" s="895"/>
      <c r="J535" s="895"/>
      <c r="K535" s="895"/>
      <c r="L535" s="898"/>
      <c r="M535" s="875" t="str">
        <f t="shared" si="22"/>
        <v>0</v>
      </c>
      <c r="N535" s="26" t="str">
        <f t="shared" si="21"/>
        <v>3</v>
      </c>
      <c r="O535" s="26" t="str">
        <f t="shared" si="23"/>
        <v>0</v>
      </c>
    </row>
    <row r="536" spans="2:15" ht="23.75" hidden="1" customHeight="1" x14ac:dyDescent="0.15">
      <c r="B536" s="26">
        <f>'Jrnl Exp ~ Dép'!B468</f>
        <v>0</v>
      </c>
      <c r="C536" s="914">
        <f>'Jrnl Exp ~ Dép'!$D468</f>
        <v>0</v>
      </c>
      <c r="D536" s="912">
        <f>'Jrnl Exp ~ Dép'!$F468</f>
        <v>0</v>
      </c>
      <c r="E536" s="918">
        <f>'Jrnl Exp ~ Dép'!$G468</f>
        <v>0</v>
      </c>
      <c r="F536" s="919">
        <f>'Jrnl Exp ~ Dép'!$E468</f>
        <v>0</v>
      </c>
      <c r="G536" s="920" t="str">
        <f>LEFT('Jrnl Exp ~ Dép'!$H468,4)</f>
        <v/>
      </c>
      <c r="H536" s="923"/>
      <c r="I536" s="895"/>
      <c r="J536" s="895"/>
      <c r="K536" s="895"/>
      <c r="L536" s="898"/>
      <c r="M536" s="875" t="str">
        <f t="shared" si="22"/>
        <v>0</v>
      </c>
      <c r="N536" s="26" t="str">
        <f t="shared" si="21"/>
        <v>3</v>
      </c>
      <c r="O536" s="26" t="str">
        <f t="shared" si="23"/>
        <v>0</v>
      </c>
    </row>
    <row r="537" spans="2:15" ht="23.75" hidden="1" customHeight="1" x14ac:dyDescent="0.15">
      <c r="B537" s="26">
        <f>'Jrnl Exp ~ Dép'!B469</f>
        <v>0</v>
      </c>
      <c r="C537" s="914">
        <f>'Jrnl Exp ~ Dép'!$D469</f>
        <v>0</v>
      </c>
      <c r="D537" s="912">
        <f>'Jrnl Exp ~ Dép'!$F469</f>
        <v>0</v>
      </c>
      <c r="E537" s="918">
        <f>'Jrnl Exp ~ Dép'!$G469</f>
        <v>0</v>
      </c>
      <c r="F537" s="919">
        <f>'Jrnl Exp ~ Dép'!$E469</f>
        <v>0</v>
      </c>
      <c r="G537" s="920" t="str">
        <f>LEFT('Jrnl Exp ~ Dép'!$H469,4)</f>
        <v/>
      </c>
      <c r="H537" s="923"/>
      <c r="I537" s="895"/>
      <c r="J537" s="895"/>
      <c r="K537" s="895"/>
      <c r="L537" s="898"/>
      <c r="M537" s="875" t="str">
        <f t="shared" si="22"/>
        <v>0</v>
      </c>
      <c r="N537" s="26" t="str">
        <f t="shared" si="21"/>
        <v>3</v>
      </c>
      <c r="O537" s="26" t="str">
        <f t="shared" si="23"/>
        <v>0</v>
      </c>
    </row>
    <row r="538" spans="2:15" ht="23.75" hidden="1" customHeight="1" x14ac:dyDescent="0.15">
      <c r="B538" s="26">
        <f>'Jrnl Exp ~ Dép'!B470</f>
        <v>0</v>
      </c>
      <c r="C538" s="914">
        <f>'Jrnl Exp ~ Dép'!$D470</f>
        <v>0</v>
      </c>
      <c r="D538" s="912">
        <f>'Jrnl Exp ~ Dép'!$F470</f>
        <v>0</v>
      </c>
      <c r="E538" s="918">
        <f>'Jrnl Exp ~ Dép'!$G470</f>
        <v>0</v>
      </c>
      <c r="F538" s="919">
        <f>'Jrnl Exp ~ Dép'!$E470</f>
        <v>0</v>
      </c>
      <c r="G538" s="920" t="str">
        <f>LEFT('Jrnl Exp ~ Dép'!$H470,4)</f>
        <v/>
      </c>
      <c r="H538" s="923"/>
      <c r="I538" s="895"/>
      <c r="J538" s="895"/>
      <c r="K538" s="895"/>
      <c r="L538" s="898"/>
      <c r="M538" s="875" t="str">
        <f t="shared" si="22"/>
        <v>0</v>
      </c>
      <c r="N538" s="26" t="str">
        <f t="shared" si="21"/>
        <v>3</v>
      </c>
      <c r="O538" s="26" t="str">
        <f t="shared" si="23"/>
        <v>0</v>
      </c>
    </row>
    <row r="539" spans="2:15" ht="23.75" hidden="1" customHeight="1" x14ac:dyDescent="0.15">
      <c r="B539" s="26">
        <f>'Jrnl Exp ~ Dép'!B471</f>
        <v>0</v>
      </c>
      <c r="C539" s="914">
        <f>'Jrnl Exp ~ Dép'!$D471</f>
        <v>0</v>
      </c>
      <c r="D539" s="912">
        <f>'Jrnl Exp ~ Dép'!$F471</f>
        <v>0</v>
      </c>
      <c r="E539" s="918">
        <f>'Jrnl Exp ~ Dép'!$G471</f>
        <v>0</v>
      </c>
      <c r="F539" s="919">
        <f>'Jrnl Exp ~ Dép'!$E471</f>
        <v>0</v>
      </c>
      <c r="G539" s="920" t="str">
        <f>LEFT('Jrnl Exp ~ Dép'!$H471,4)</f>
        <v/>
      </c>
      <c r="H539" s="923"/>
      <c r="I539" s="895"/>
      <c r="J539" s="895"/>
      <c r="K539" s="895"/>
      <c r="L539" s="898"/>
      <c r="M539" s="875" t="str">
        <f t="shared" si="22"/>
        <v>0</v>
      </c>
      <c r="N539" s="26" t="str">
        <f t="shared" si="21"/>
        <v>3</v>
      </c>
      <c r="O539" s="26" t="str">
        <f t="shared" si="23"/>
        <v>0</v>
      </c>
    </row>
    <row r="540" spans="2:15" ht="23.75" hidden="1" customHeight="1" x14ac:dyDescent="0.15">
      <c r="B540" s="26">
        <f>'Jrnl Exp ~ Dép'!B472</f>
        <v>0</v>
      </c>
      <c r="C540" s="914">
        <f>'Jrnl Exp ~ Dép'!$D472</f>
        <v>0</v>
      </c>
      <c r="D540" s="912">
        <f>'Jrnl Exp ~ Dép'!$F472</f>
        <v>0</v>
      </c>
      <c r="E540" s="918">
        <f>'Jrnl Exp ~ Dép'!$G472</f>
        <v>0</v>
      </c>
      <c r="F540" s="919">
        <f>'Jrnl Exp ~ Dép'!$E472</f>
        <v>0</v>
      </c>
      <c r="G540" s="920" t="str">
        <f>LEFT('Jrnl Exp ~ Dép'!$H472,4)</f>
        <v/>
      </c>
      <c r="H540" s="923"/>
      <c r="I540" s="895"/>
      <c r="J540" s="895"/>
      <c r="K540" s="895"/>
      <c r="L540" s="898"/>
      <c r="M540" s="875" t="str">
        <f t="shared" si="22"/>
        <v>0</v>
      </c>
      <c r="N540" s="26" t="str">
        <f t="shared" si="21"/>
        <v>3</v>
      </c>
      <c r="O540" s="26" t="str">
        <f t="shared" si="23"/>
        <v>0</v>
      </c>
    </row>
    <row r="541" spans="2:15" ht="23.75" hidden="1" customHeight="1" x14ac:dyDescent="0.15">
      <c r="B541" s="26">
        <f>'Jrnl Exp ~ Dép'!B473</f>
        <v>0</v>
      </c>
      <c r="C541" s="914">
        <f>'Jrnl Exp ~ Dép'!$D473</f>
        <v>0</v>
      </c>
      <c r="D541" s="912">
        <f>'Jrnl Exp ~ Dép'!$F473</f>
        <v>0</v>
      </c>
      <c r="E541" s="918">
        <f>'Jrnl Exp ~ Dép'!$G473</f>
        <v>0</v>
      </c>
      <c r="F541" s="919">
        <f>'Jrnl Exp ~ Dép'!$E473</f>
        <v>0</v>
      </c>
      <c r="G541" s="920" t="str">
        <f>LEFT('Jrnl Exp ~ Dép'!$H473,4)</f>
        <v/>
      </c>
      <c r="H541" s="923"/>
      <c r="I541" s="895"/>
      <c r="J541" s="895"/>
      <c r="K541" s="895"/>
      <c r="L541" s="898"/>
      <c r="M541" s="875" t="str">
        <f t="shared" si="22"/>
        <v>0</v>
      </c>
      <c r="N541" s="26" t="str">
        <f t="shared" si="21"/>
        <v>3</v>
      </c>
      <c r="O541" s="26" t="str">
        <f t="shared" si="23"/>
        <v>0</v>
      </c>
    </row>
    <row r="542" spans="2:15" ht="23.75" hidden="1" customHeight="1" x14ac:dyDescent="0.15">
      <c r="B542" s="26">
        <f>'Jrnl Exp ~ Dép'!B474</f>
        <v>0</v>
      </c>
      <c r="C542" s="914">
        <f>'Jrnl Exp ~ Dép'!$D474</f>
        <v>0</v>
      </c>
      <c r="D542" s="912">
        <f>'Jrnl Exp ~ Dép'!$F474</f>
        <v>0</v>
      </c>
      <c r="E542" s="918">
        <f>'Jrnl Exp ~ Dép'!$G474</f>
        <v>0</v>
      </c>
      <c r="F542" s="919">
        <f>'Jrnl Exp ~ Dép'!$E474</f>
        <v>0</v>
      </c>
      <c r="G542" s="920" t="str">
        <f>LEFT('Jrnl Exp ~ Dép'!$H474,4)</f>
        <v/>
      </c>
      <c r="H542" s="923"/>
      <c r="I542" s="895"/>
      <c r="J542" s="895"/>
      <c r="K542" s="895"/>
      <c r="L542" s="898"/>
      <c r="M542" s="875" t="str">
        <f t="shared" si="22"/>
        <v>0</v>
      </c>
      <c r="N542" s="26" t="str">
        <f t="shared" si="21"/>
        <v>3</v>
      </c>
      <c r="O542" s="26" t="str">
        <f t="shared" si="23"/>
        <v>0</v>
      </c>
    </row>
    <row r="543" spans="2:15" ht="23.75" hidden="1" customHeight="1" x14ac:dyDescent="0.15">
      <c r="B543" s="26">
        <f>'Jrnl Exp ~ Dép'!B475</f>
        <v>0</v>
      </c>
      <c r="C543" s="914">
        <f>'Jrnl Exp ~ Dép'!$D475</f>
        <v>0</v>
      </c>
      <c r="D543" s="912">
        <f>'Jrnl Exp ~ Dép'!$F475</f>
        <v>0</v>
      </c>
      <c r="E543" s="918">
        <f>'Jrnl Exp ~ Dép'!$G475</f>
        <v>0</v>
      </c>
      <c r="F543" s="919">
        <f>'Jrnl Exp ~ Dép'!$E475</f>
        <v>0</v>
      </c>
      <c r="G543" s="920" t="str">
        <f>LEFT('Jrnl Exp ~ Dép'!$H475,4)</f>
        <v/>
      </c>
      <c r="H543" s="923"/>
      <c r="I543" s="895"/>
      <c r="J543" s="895"/>
      <c r="K543" s="895"/>
      <c r="L543" s="898"/>
      <c r="M543" s="875" t="str">
        <f t="shared" si="22"/>
        <v>0</v>
      </c>
      <c r="N543" s="26" t="str">
        <f t="shared" si="21"/>
        <v>3</v>
      </c>
      <c r="O543" s="26" t="str">
        <f t="shared" si="23"/>
        <v>0</v>
      </c>
    </row>
    <row r="544" spans="2:15" ht="23.75" hidden="1" customHeight="1" x14ac:dyDescent="0.15">
      <c r="B544" s="26">
        <f>'Jrnl Exp ~ Dép'!B476</f>
        <v>0</v>
      </c>
      <c r="C544" s="914">
        <f>'Jrnl Exp ~ Dép'!$D476</f>
        <v>0</v>
      </c>
      <c r="D544" s="912">
        <f>'Jrnl Exp ~ Dép'!$F476</f>
        <v>0</v>
      </c>
      <c r="E544" s="918">
        <f>'Jrnl Exp ~ Dép'!$G476</f>
        <v>0</v>
      </c>
      <c r="F544" s="919">
        <f>'Jrnl Exp ~ Dép'!$E476</f>
        <v>0</v>
      </c>
      <c r="G544" s="920" t="str">
        <f>LEFT('Jrnl Exp ~ Dép'!$H476,4)</f>
        <v/>
      </c>
      <c r="H544" s="923"/>
      <c r="I544" s="895"/>
      <c r="J544" s="895"/>
      <c r="K544" s="895"/>
      <c r="L544" s="898"/>
      <c r="M544" s="875" t="str">
        <f t="shared" si="22"/>
        <v>0</v>
      </c>
      <c r="N544" s="26" t="str">
        <f t="shared" si="21"/>
        <v>3</v>
      </c>
      <c r="O544" s="26" t="str">
        <f t="shared" si="23"/>
        <v>0</v>
      </c>
    </row>
    <row r="545" spans="2:15" ht="23.75" hidden="1" customHeight="1" x14ac:dyDescent="0.15">
      <c r="B545" s="26">
        <f>'Jrnl Exp ~ Dép'!B477</f>
        <v>0</v>
      </c>
      <c r="C545" s="914">
        <f>'Jrnl Exp ~ Dép'!$D477</f>
        <v>0</v>
      </c>
      <c r="D545" s="912">
        <f>'Jrnl Exp ~ Dép'!$F477</f>
        <v>0</v>
      </c>
      <c r="E545" s="918">
        <f>'Jrnl Exp ~ Dép'!$G477</f>
        <v>0</v>
      </c>
      <c r="F545" s="919">
        <f>'Jrnl Exp ~ Dép'!$E477</f>
        <v>0</v>
      </c>
      <c r="G545" s="920" t="str">
        <f>LEFT('Jrnl Exp ~ Dép'!$H477,4)</f>
        <v/>
      </c>
      <c r="H545" s="923"/>
      <c r="I545" s="895"/>
      <c r="J545" s="895"/>
      <c r="K545" s="895"/>
      <c r="L545" s="898"/>
      <c r="M545" s="875" t="str">
        <f t="shared" si="22"/>
        <v>0</v>
      </c>
      <c r="N545" s="26" t="str">
        <f t="shared" si="21"/>
        <v>3</v>
      </c>
      <c r="O545" s="26" t="str">
        <f t="shared" si="23"/>
        <v>0</v>
      </c>
    </row>
    <row r="546" spans="2:15" ht="23.75" hidden="1" customHeight="1" x14ac:dyDescent="0.15">
      <c r="B546" s="26">
        <f>'Jrnl Exp ~ Dép'!B478</f>
        <v>0</v>
      </c>
      <c r="C546" s="914">
        <f>'Jrnl Exp ~ Dép'!$D478</f>
        <v>0</v>
      </c>
      <c r="D546" s="912">
        <f>'Jrnl Exp ~ Dép'!$F478</f>
        <v>0</v>
      </c>
      <c r="E546" s="918">
        <f>'Jrnl Exp ~ Dép'!$G478</f>
        <v>0</v>
      </c>
      <c r="F546" s="919">
        <f>'Jrnl Exp ~ Dép'!$E478</f>
        <v>0</v>
      </c>
      <c r="G546" s="920" t="str">
        <f>LEFT('Jrnl Exp ~ Dép'!$H478,4)</f>
        <v/>
      </c>
      <c r="H546" s="923"/>
      <c r="I546" s="895"/>
      <c r="J546" s="895"/>
      <c r="K546" s="895"/>
      <c r="L546" s="898"/>
      <c r="M546" s="875" t="str">
        <f t="shared" si="22"/>
        <v>0</v>
      </c>
      <c r="N546" s="26" t="str">
        <f t="shared" si="21"/>
        <v>3</v>
      </c>
      <c r="O546" s="26" t="str">
        <f t="shared" si="23"/>
        <v>0</v>
      </c>
    </row>
    <row r="547" spans="2:15" ht="23.75" hidden="1" customHeight="1" x14ac:dyDescent="0.15">
      <c r="B547" s="26">
        <f>'Jrnl Exp ~ Dép'!B479</f>
        <v>0</v>
      </c>
      <c r="C547" s="914">
        <f>'Jrnl Exp ~ Dép'!$D479</f>
        <v>0</v>
      </c>
      <c r="D547" s="912">
        <f>'Jrnl Exp ~ Dép'!$F479</f>
        <v>0</v>
      </c>
      <c r="E547" s="918">
        <f>'Jrnl Exp ~ Dép'!$G479</f>
        <v>0</v>
      </c>
      <c r="F547" s="919">
        <f>'Jrnl Exp ~ Dép'!$E479</f>
        <v>0</v>
      </c>
      <c r="G547" s="920" t="str">
        <f>LEFT('Jrnl Exp ~ Dép'!$H479,4)</f>
        <v/>
      </c>
      <c r="H547" s="923"/>
      <c r="I547" s="895"/>
      <c r="J547" s="895"/>
      <c r="K547" s="895"/>
      <c r="L547" s="898"/>
      <c r="M547" s="875" t="str">
        <f t="shared" si="22"/>
        <v>0</v>
      </c>
      <c r="N547" s="26" t="str">
        <f t="shared" si="21"/>
        <v>3</v>
      </c>
      <c r="O547" s="26" t="str">
        <f t="shared" si="23"/>
        <v>0</v>
      </c>
    </row>
    <row r="548" spans="2:15" ht="23.75" hidden="1" customHeight="1" x14ac:dyDescent="0.15">
      <c r="B548" s="26">
        <f>'Jrnl Exp ~ Dép'!B480</f>
        <v>0</v>
      </c>
      <c r="C548" s="914">
        <f>'Jrnl Exp ~ Dép'!$D480</f>
        <v>0</v>
      </c>
      <c r="D548" s="912">
        <f>'Jrnl Exp ~ Dép'!$F480</f>
        <v>0</v>
      </c>
      <c r="E548" s="918">
        <f>'Jrnl Exp ~ Dép'!$G480</f>
        <v>0</v>
      </c>
      <c r="F548" s="919">
        <f>'Jrnl Exp ~ Dép'!$E480</f>
        <v>0</v>
      </c>
      <c r="G548" s="920" t="str">
        <f>LEFT('Jrnl Exp ~ Dép'!$H480,4)</f>
        <v/>
      </c>
      <c r="H548" s="923"/>
      <c r="I548" s="895"/>
      <c r="J548" s="895"/>
      <c r="K548" s="895"/>
      <c r="L548" s="898"/>
      <c r="M548" s="875" t="str">
        <f t="shared" si="22"/>
        <v>0</v>
      </c>
      <c r="N548" s="26" t="str">
        <f t="shared" si="21"/>
        <v>3</v>
      </c>
      <c r="O548" s="26" t="str">
        <f t="shared" si="23"/>
        <v>0</v>
      </c>
    </row>
    <row r="549" spans="2:15" ht="23.75" hidden="1" customHeight="1" x14ac:dyDescent="0.15">
      <c r="B549" s="26">
        <f>'Jrnl Exp ~ Dép'!B481</f>
        <v>0</v>
      </c>
      <c r="C549" s="914">
        <f>'Jrnl Exp ~ Dép'!$D481</f>
        <v>0</v>
      </c>
      <c r="D549" s="912">
        <f>'Jrnl Exp ~ Dép'!$F481</f>
        <v>0</v>
      </c>
      <c r="E549" s="918">
        <f>'Jrnl Exp ~ Dép'!$G481</f>
        <v>0</v>
      </c>
      <c r="F549" s="919">
        <f>'Jrnl Exp ~ Dép'!$E481</f>
        <v>0</v>
      </c>
      <c r="G549" s="920" t="str">
        <f>LEFT('Jrnl Exp ~ Dép'!$H481,4)</f>
        <v/>
      </c>
      <c r="H549" s="923"/>
      <c r="I549" s="895"/>
      <c r="J549" s="895"/>
      <c r="K549" s="895"/>
      <c r="L549" s="898"/>
      <c r="M549" s="875" t="str">
        <f t="shared" si="22"/>
        <v>0</v>
      </c>
      <c r="N549" s="26" t="str">
        <f t="shared" si="21"/>
        <v>3</v>
      </c>
      <c r="O549" s="26" t="str">
        <f t="shared" si="23"/>
        <v>0</v>
      </c>
    </row>
    <row r="550" spans="2:15" ht="23.75" hidden="1" customHeight="1" x14ac:dyDescent="0.15">
      <c r="B550" s="26">
        <f>'Jrnl Exp ~ Dép'!B482</f>
        <v>0</v>
      </c>
      <c r="C550" s="914">
        <f>'Jrnl Exp ~ Dép'!$D482</f>
        <v>0</v>
      </c>
      <c r="D550" s="912">
        <f>'Jrnl Exp ~ Dép'!$F482</f>
        <v>0</v>
      </c>
      <c r="E550" s="918">
        <f>'Jrnl Exp ~ Dép'!$G482</f>
        <v>0</v>
      </c>
      <c r="F550" s="919">
        <f>'Jrnl Exp ~ Dép'!$E482</f>
        <v>0</v>
      </c>
      <c r="G550" s="920" t="str">
        <f>LEFT('Jrnl Exp ~ Dép'!$H482,4)</f>
        <v/>
      </c>
      <c r="H550" s="923"/>
      <c r="I550" s="895"/>
      <c r="J550" s="895"/>
      <c r="K550" s="895"/>
      <c r="L550" s="898"/>
      <c r="M550" s="875" t="str">
        <f t="shared" si="22"/>
        <v>0</v>
      </c>
      <c r="N550" s="26" t="str">
        <f t="shared" si="21"/>
        <v>3</v>
      </c>
      <c r="O550" s="26" t="str">
        <f t="shared" si="23"/>
        <v>0</v>
      </c>
    </row>
    <row r="551" spans="2:15" ht="23.75" hidden="1" customHeight="1" x14ac:dyDescent="0.15">
      <c r="B551" s="26">
        <f>'Jrnl Exp ~ Dép'!B483</f>
        <v>0</v>
      </c>
      <c r="C551" s="914">
        <f>'Jrnl Exp ~ Dép'!$D483</f>
        <v>0</v>
      </c>
      <c r="D551" s="912">
        <f>'Jrnl Exp ~ Dép'!$F483</f>
        <v>0</v>
      </c>
      <c r="E551" s="918">
        <f>'Jrnl Exp ~ Dép'!$G483</f>
        <v>0</v>
      </c>
      <c r="F551" s="919">
        <f>'Jrnl Exp ~ Dép'!$E483</f>
        <v>0</v>
      </c>
      <c r="G551" s="920" t="str">
        <f>LEFT('Jrnl Exp ~ Dép'!$H483,4)</f>
        <v/>
      </c>
      <c r="H551" s="923"/>
      <c r="I551" s="895"/>
      <c r="J551" s="895"/>
      <c r="K551" s="895"/>
      <c r="L551" s="898"/>
      <c r="M551" s="875" t="str">
        <f t="shared" si="22"/>
        <v>0</v>
      </c>
      <c r="N551" s="26" t="str">
        <f t="shared" si="21"/>
        <v>3</v>
      </c>
      <c r="O551" s="26" t="str">
        <f t="shared" si="23"/>
        <v>0</v>
      </c>
    </row>
    <row r="552" spans="2:15" ht="23.75" hidden="1" customHeight="1" x14ac:dyDescent="0.15">
      <c r="B552" s="26">
        <f>'Jrnl Exp ~ Dép'!B484</f>
        <v>0</v>
      </c>
      <c r="C552" s="914">
        <f>'Jrnl Exp ~ Dép'!$D484</f>
        <v>0</v>
      </c>
      <c r="D552" s="912">
        <f>'Jrnl Exp ~ Dép'!$F484</f>
        <v>0</v>
      </c>
      <c r="E552" s="918">
        <f>'Jrnl Exp ~ Dép'!$G484</f>
        <v>0</v>
      </c>
      <c r="F552" s="919">
        <f>'Jrnl Exp ~ Dép'!$E484</f>
        <v>0</v>
      </c>
      <c r="G552" s="920" t="str">
        <f>LEFT('Jrnl Exp ~ Dép'!$H484,4)</f>
        <v/>
      </c>
      <c r="H552" s="923"/>
      <c r="I552" s="895"/>
      <c r="J552" s="895"/>
      <c r="K552" s="895"/>
      <c r="L552" s="898"/>
      <c r="M552" s="875" t="str">
        <f t="shared" si="22"/>
        <v>0</v>
      </c>
      <c r="N552" s="26" t="str">
        <f t="shared" si="21"/>
        <v>3</v>
      </c>
      <c r="O552" s="26" t="str">
        <f t="shared" si="23"/>
        <v>0</v>
      </c>
    </row>
    <row r="553" spans="2:15" ht="23.75" hidden="1" customHeight="1" x14ac:dyDescent="0.15">
      <c r="B553" s="26">
        <f>'Jrnl Exp ~ Dép'!B485</f>
        <v>0</v>
      </c>
      <c r="C553" s="914">
        <f>'Jrnl Exp ~ Dép'!$D485</f>
        <v>0</v>
      </c>
      <c r="D553" s="912">
        <f>'Jrnl Exp ~ Dép'!$F485</f>
        <v>0</v>
      </c>
      <c r="E553" s="918">
        <f>'Jrnl Exp ~ Dép'!$G485</f>
        <v>0</v>
      </c>
      <c r="F553" s="919">
        <f>'Jrnl Exp ~ Dép'!$E485</f>
        <v>0</v>
      </c>
      <c r="G553" s="920" t="str">
        <f>LEFT('Jrnl Exp ~ Dép'!$H485,4)</f>
        <v/>
      </c>
      <c r="H553" s="923"/>
      <c r="I553" s="895"/>
      <c r="J553" s="895"/>
      <c r="K553" s="895"/>
      <c r="L553" s="898"/>
      <c r="M553" s="875" t="str">
        <f t="shared" si="22"/>
        <v>0</v>
      </c>
      <c r="N553" s="26" t="str">
        <f t="shared" si="21"/>
        <v>3</v>
      </c>
      <c r="O553" s="26" t="str">
        <f t="shared" si="23"/>
        <v>0</v>
      </c>
    </row>
    <row r="554" spans="2:15" ht="23.75" hidden="1" customHeight="1" x14ac:dyDescent="0.15">
      <c r="B554" s="26">
        <f>'Jrnl Exp ~ Dép'!B486</f>
        <v>0</v>
      </c>
      <c r="C554" s="914">
        <f>'Jrnl Exp ~ Dép'!$D486</f>
        <v>0</v>
      </c>
      <c r="D554" s="912">
        <f>'Jrnl Exp ~ Dép'!$F486</f>
        <v>0</v>
      </c>
      <c r="E554" s="918">
        <f>'Jrnl Exp ~ Dép'!$G486</f>
        <v>0</v>
      </c>
      <c r="F554" s="919">
        <f>'Jrnl Exp ~ Dép'!$E486</f>
        <v>0</v>
      </c>
      <c r="G554" s="920" t="str">
        <f>LEFT('Jrnl Exp ~ Dép'!$H486,4)</f>
        <v/>
      </c>
      <c r="H554" s="923"/>
      <c r="I554" s="895"/>
      <c r="J554" s="895"/>
      <c r="K554" s="895"/>
      <c r="L554" s="898"/>
      <c r="M554" s="875" t="str">
        <f t="shared" si="22"/>
        <v>0</v>
      </c>
      <c r="N554" s="26" t="str">
        <f t="shared" si="21"/>
        <v>3</v>
      </c>
      <c r="O554" s="26" t="str">
        <f t="shared" si="23"/>
        <v>0</v>
      </c>
    </row>
    <row r="555" spans="2:15" ht="23.75" hidden="1" customHeight="1" x14ac:dyDescent="0.15">
      <c r="B555" s="26">
        <f>'Jrnl Exp ~ Dép'!B487</f>
        <v>0</v>
      </c>
      <c r="C555" s="914">
        <f>'Jrnl Exp ~ Dép'!$D487</f>
        <v>0</v>
      </c>
      <c r="D555" s="912">
        <f>'Jrnl Exp ~ Dép'!$F487</f>
        <v>0</v>
      </c>
      <c r="E555" s="918">
        <f>'Jrnl Exp ~ Dép'!$G487</f>
        <v>0</v>
      </c>
      <c r="F555" s="919">
        <f>'Jrnl Exp ~ Dép'!$E487</f>
        <v>0</v>
      </c>
      <c r="G555" s="920" t="str">
        <f>LEFT('Jrnl Exp ~ Dép'!$H487,4)</f>
        <v/>
      </c>
      <c r="H555" s="923"/>
      <c r="I555" s="895"/>
      <c r="J555" s="895"/>
      <c r="K555" s="895"/>
      <c r="L555" s="898"/>
      <c r="M555" s="875" t="str">
        <f t="shared" si="22"/>
        <v>0</v>
      </c>
      <c r="N555" s="26" t="str">
        <f t="shared" si="21"/>
        <v>3</v>
      </c>
      <c r="O555" s="26" t="str">
        <f t="shared" si="23"/>
        <v>0</v>
      </c>
    </row>
    <row r="556" spans="2:15" ht="23.75" hidden="1" customHeight="1" x14ac:dyDescent="0.15">
      <c r="B556" s="26">
        <f>'Jrnl Exp ~ Dép'!B488</f>
        <v>0</v>
      </c>
      <c r="C556" s="914">
        <f>'Jrnl Exp ~ Dép'!$D488</f>
        <v>0</v>
      </c>
      <c r="D556" s="912">
        <f>'Jrnl Exp ~ Dép'!$F488</f>
        <v>0</v>
      </c>
      <c r="E556" s="918">
        <f>'Jrnl Exp ~ Dép'!$G488</f>
        <v>0</v>
      </c>
      <c r="F556" s="919">
        <f>'Jrnl Exp ~ Dép'!$E488</f>
        <v>0</v>
      </c>
      <c r="G556" s="920" t="str">
        <f>LEFT('Jrnl Exp ~ Dép'!$H488,4)</f>
        <v/>
      </c>
      <c r="H556" s="923"/>
      <c r="I556" s="895"/>
      <c r="J556" s="895"/>
      <c r="K556" s="895"/>
      <c r="L556" s="898"/>
      <c r="M556" s="875" t="str">
        <f t="shared" si="22"/>
        <v>0</v>
      </c>
      <c r="N556" s="26" t="str">
        <f t="shared" si="21"/>
        <v>3</v>
      </c>
      <c r="O556" s="26" t="str">
        <f t="shared" si="23"/>
        <v>0</v>
      </c>
    </row>
    <row r="557" spans="2:15" ht="23.75" hidden="1" customHeight="1" x14ac:dyDescent="0.15">
      <c r="B557" s="26">
        <f>'Jrnl Exp ~ Dép'!B489</f>
        <v>0</v>
      </c>
      <c r="C557" s="914">
        <f>'Jrnl Exp ~ Dép'!$D489</f>
        <v>0</v>
      </c>
      <c r="D557" s="912">
        <f>'Jrnl Exp ~ Dép'!$F489</f>
        <v>0</v>
      </c>
      <c r="E557" s="918">
        <f>'Jrnl Exp ~ Dép'!$G489</f>
        <v>0</v>
      </c>
      <c r="F557" s="919">
        <f>'Jrnl Exp ~ Dép'!$E489</f>
        <v>0</v>
      </c>
      <c r="G557" s="920" t="str">
        <f>LEFT('Jrnl Exp ~ Dép'!$H489,4)</f>
        <v/>
      </c>
      <c r="H557" s="923"/>
      <c r="I557" s="895"/>
      <c r="J557" s="895"/>
      <c r="K557" s="895"/>
      <c r="L557" s="898"/>
      <c r="M557" s="875" t="str">
        <f t="shared" si="22"/>
        <v>0</v>
      </c>
      <c r="N557" s="26" t="str">
        <f t="shared" si="21"/>
        <v>3</v>
      </c>
      <c r="O557" s="26" t="str">
        <f t="shared" si="23"/>
        <v>0</v>
      </c>
    </row>
    <row r="558" spans="2:15" ht="23.75" hidden="1" customHeight="1" x14ac:dyDescent="0.15">
      <c r="B558" s="26">
        <f>'Jrnl Exp ~ Dép'!B490</f>
        <v>0</v>
      </c>
      <c r="C558" s="914">
        <f>'Jrnl Exp ~ Dép'!$D490</f>
        <v>0</v>
      </c>
      <c r="D558" s="912">
        <f>'Jrnl Exp ~ Dép'!$F490</f>
        <v>0</v>
      </c>
      <c r="E558" s="918">
        <f>'Jrnl Exp ~ Dép'!$G490</f>
        <v>0</v>
      </c>
      <c r="F558" s="919">
        <f>'Jrnl Exp ~ Dép'!$E490</f>
        <v>0</v>
      </c>
      <c r="G558" s="920" t="str">
        <f>LEFT('Jrnl Exp ~ Dép'!$H490,4)</f>
        <v/>
      </c>
      <c r="H558" s="923"/>
      <c r="I558" s="895"/>
      <c r="J558" s="895"/>
      <c r="K558" s="895"/>
      <c r="L558" s="898"/>
      <c r="M558" s="875" t="str">
        <f t="shared" si="22"/>
        <v>0</v>
      </c>
      <c r="N558" s="26" t="str">
        <f t="shared" si="21"/>
        <v>3</v>
      </c>
      <c r="O558" s="26" t="str">
        <f t="shared" si="23"/>
        <v>0</v>
      </c>
    </row>
    <row r="559" spans="2:15" ht="23.75" hidden="1" customHeight="1" x14ac:dyDescent="0.15">
      <c r="B559" s="26">
        <f>'Jrnl Exp ~ Dép'!B491</f>
        <v>0</v>
      </c>
      <c r="C559" s="914">
        <f>'Jrnl Exp ~ Dép'!$D491</f>
        <v>0</v>
      </c>
      <c r="D559" s="912">
        <f>'Jrnl Exp ~ Dép'!$F491</f>
        <v>0</v>
      </c>
      <c r="E559" s="918">
        <f>'Jrnl Exp ~ Dép'!$G491</f>
        <v>0</v>
      </c>
      <c r="F559" s="919">
        <f>'Jrnl Exp ~ Dép'!$E491</f>
        <v>0</v>
      </c>
      <c r="G559" s="920" t="str">
        <f>LEFT('Jrnl Exp ~ Dép'!$H491,4)</f>
        <v/>
      </c>
      <c r="H559" s="923"/>
      <c r="I559" s="895"/>
      <c r="J559" s="895"/>
      <c r="K559" s="895"/>
      <c r="L559" s="898"/>
      <c r="M559" s="875" t="str">
        <f t="shared" si="22"/>
        <v>0</v>
      </c>
      <c r="N559" s="26" t="str">
        <f t="shared" si="21"/>
        <v>3</v>
      </c>
      <c r="O559" s="26" t="str">
        <f t="shared" si="23"/>
        <v>0</v>
      </c>
    </row>
    <row r="560" spans="2:15" ht="23.75" hidden="1" customHeight="1" x14ac:dyDescent="0.15">
      <c r="B560" s="26">
        <f>'Jrnl Exp ~ Dép'!B492</f>
        <v>0</v>
      </c>
      <c r="C560" s="914">
        <f>'Jrnl Exp ~ Dép'!$D492</f>
        <v>0</v>
      </c>
      <c r="D560" s="912">
        <f>'Jrnl Exp ~ Dép'!$F492</f>
        <v>0</v>
      </c>
      <c r="E560" s="918">
        <f>'Jrnl Exp ~ Dép'!$G492</f>
        <v>0</v>
      </c>
      <c r="F560" s="919">
        <f>'Jrnl Exp ~ Dép'!$E492</f>
        <v>0</v>
      </c>
      <c r="G560" s="920" t="str">
        <f>LEFT('Jrnl Exp ~ Dép'!$H492,4)</f>
        <v/>
      </c>
      <c r="H560" s="923"/>
      <c r="I560" s="895"/>
      <c r="J560" s="895"/>
      <c r="K560" s="895"/>
      <c r="L560" s="898"/>
      <c r="M560" s="875" t="str">
        <f t="shared" si="22"/>
        <v>0</v>
      </c>
      <c r="N560" s="26" t="str">
        <f t="shared" si="21"/>
        <v>3</v>
      </c>
      <c r="O560" s="26" t="str">
        <f t="shared" si="23"/>
        <v>0</v>
      </c>
    </row>
    <row r="561" spans="2:15" ht="23.75" hidden="1" customHeight="1" x14ac:dyDescent="0.15">
      <c r="B561" s="26">
        <f>'Jrnl Exp ~ Dép'!B493</f>
        <v>0</v>
      </c>
      <c r="C561" s="914">
        <f>'Jrnl Exp ~ Dép'!$D493</f>
        <v>0</v>
      </c>
      <c r="D561" s="912">
        <f>'Jrnl Exp ~ Dép'!$F493</f>
        <v>0</v>
      </c>
      <c r="E561" s="918">
        <f>'Jrnl Exp ~ Dép'!$G493</f>
        <v>0</v>
      </c>
      <c r="F561" s="919">
        <f>'Jrnl Exp ~ Dép'!$E493</f>
        <v>0</v>
      </c>
      <c r="G561" s="920" t="str">
        <f>LEFT('Jrnl Exp ~ Dép'!$H493,4)</f>
        <v/>
      </c>
      <c r="H561" s="923"/>
      <c r="I561" s="895"/>
      <c r="J561" s="895"/>
      <c r="K561" s="895"/>
      <c r="L561" s="898"/>
      <c r="M561" s="875" t="str">
        <f t="shared" si="22"/>
        <v>0</v>
      </c>
      <c r="N561" s="26" t="str">
        <f t="shared" si="21"/>
        <v>3</v>
      </c>
      <c r="O561" s="26" t="str">
        <f t="shared" si="23"/>
        <v>0</v>
      </c>
    </row>
    <row r="562" spans="2:15" ht="23.75" hidden="1" customHeight="1" x14ac:dyDescent="0.15">
      <c r="B562" s="26">
        <f>'Jrnl Exp ~ Dép'!B494</f>
        <v>0</v>
      </c>
      <c r="C562" s="914">
        <f>'Jrnl Exp ~ Dép'!$D494</f>
        <v>0</v>
      </c>
      <c r="D562" s="912">
        <f>'Jrnl Exp ~ Dép'!$F494</f>
        <v>0</v>
      </c>
      <c r="E562" s="918">
        <f>'Jrnl Exp ~ Dép'!$G494</f>
        <v>0</v>
      </c>
      <c r="F562" s="919">
        <f>'Jrnl Exp ~ Dép'!$E494</f>
        <v>0</v>
      </c>
      <c r="G562" s="920" t="str">
        <f>LEFT('Jrnl Exp ~ Dép'!$H494,4)</f>
        <v/>
      </c>
      <c r="H562" s="923"/>
      <c r="I562" s="895"/>
      <c r="J562" s="895"/>
      <c r="K562" s="895"/>
      <c r="L562" s="898"/>
      <c r="M562" s="875" t="str">
        <f t="shared" si="22"/>
        <v>0</v>
      </c>
      <c r="N562" s="26" t="str">
        <f t="shared" si="21"/>
        <v>3</v>
      </c>
      <c r="O562" s="26" t="str">
        <f t="shared" si="23"/>
        <v>0</v>
      </c>
    </row>
    <row r="563" spans="2:15" ht="23.75" hidden="1" customHeight="1" x14ac:dyDescent="0.15">
      <c r="B563" s="26">
        <f>'Jrnl Exp ~ Dép'!B495</f>
        <v>0</v>
      </c>
      <c r="C563" s="914">
        <f>'Jrnl Exp ~ Dép'!$D495</f>
        <v>0</v>
      </c>
      <c r="D563" s="912">
        <f>'Jrnl Exp ~ Dép'!$F495</f>
        <v>0</v>
      </c>
      <c r="E563" s="918">
        <f>'Jrnl Exp ~ Dép'!$G495</f>
        <v>0</v>
      </c>
      <c r="F563" s="919">
        <f>'Jrnl Exp ~ Dép'!$E495</f>
        <v>0</v>
      </c>
      <c r="G563" s="920" t="str">
        <f>LEFT('Jrnl Exp ~ Dép'!$H495,4)</f>
        <v/>
      </c>
      <c r="H563" s="923"/>
      <c r="I563" s="895"/>
      <c r="J563" s="895"/>
      <c r="K563" s="895"/>
      <c r="L563" s="898"/>
      <c r="M563" s="875" t="str">
        <f t="shared" si="22"/>
        <v>0</v>
      </c>
      <c r="N563" s="26" t="str">
        <f t="shared" si="21"/>
        <v>3</v>
      </c>
      <c r="O563" s="26" t="str">
        <f t="shared" si="23"/>
        <v>0</v>
      </c>
    </row>
    <row r="564" spans="2:15" ht="23.75" hidden="1" customHeight="1" x14ac:dyDescent="0.15">
      <c r="B564" s="26">
        <f>'Jrnl Exp ~ Dép'!B496</f>
        <v>0</v>
      </c>
      <c r="C564" s="914">
        <f>'Jrnl Exp ~ Dép'!$D496</f>
        <v>0</v>
      </c>
      <c r="D564" s="912">
        <f>'Jrnl Exp ~ Dép'!$F496</f>
        <v>0</v>
      </c>
      <c r="E564" s="918">
        <f>'Jrnl Exp ~ Dép'!$G496</f>
        <v>0</v>
      </c>
      <c r="F564" s="919">
        <f>'Jrnl Exp ~ Dép'!$E496</f>
        <v>0</v>
      </c>
      <c r="G564" s="920" t="str">
        <f>LEFT('Jrnl Exp ~ Dép'!$H496,4)</f>
        <v/>
      </c>
      <c r="H564" s="923"/>
      <c r="I564" s="895"/>
      <c r="J564" s="895"/>
      <c r="K564" s="895"/>
      <c r="L564" s="898"/>
      <c r="M564" s="875" t="str">
        <f t="shared" si="22"/>
        <v>0</v>
      </c>
      <c r="N564" s="26" t="str">
        <f t="shared" si="21"/>
        <v>3</v>
      </c>
      <c r="O564" s="26" t="str">
        <f t="shared" si="23"/>
        <v>0</v>
      </c>
    </row>
    <row r="565" spans="2:15" ht="23.75" hidden="1" customHeight="1" x14ac:dyDescent="0.15">
      <c r="B565" s="26">
        <f>'Jrnl Exp ~ Dép'!B497</f>
        <v>0</v>
      </c>
      <c r="C565" s="914">
        <f>'Jrnl Exp ~ Dép'!$D497</f>
        <v>0</v>
      </c>
      <c r="D565" s="912">
        <f>'Jrnl Exp ~ Dép'!$F497</f>
        <v>0</v>
      </c>
      <c r="E565" s="918">
        <f>'Jrnl Exp ~ Dép'!$G497</f>
        <v>0</v>
      </c>
      <c r="F565" s="919">
        <f>'Jrnl Exp ~ Dép'!$E497</f>
        <v>0</v>
      </c>
      <c r="G565" s="920" t="str">
        <f>LEFT('Jrnl Exp ~ Dép'!$H497,4)</f>
        <v/>
      </c>
      <c r="H565" s="923"/>
      <c r="I565" s="895"/>
      <c r="J565" s="895"/>
      <c r="K565" s="895"/>
      <c r="L565" s="898"/>
      <c r="M565" s="875" t="str">
        <f t="shared" si="22"/>
        <v>0</v>
      </c>
      <c r="N565" s="26" t="str">
        <f t="shared" si="21"/>
        <v>3</v>
      </c>
      <c r="O565" s="26" t="str">
        <f t="shared" si="23"/>
        <v>0</v>
      </c>
    </row>
    <row r="566" spans="2:15" ht="23.75" hidden="1" customHeight="1" x14ac:dyDescent="0.15">
      <c r="B566" s="26">
        <f>'Jrnl Exp ~ Dép'!B498</f>
        <v>0</v>
      </c>
      <c r="C566" s="914">
        <f>'Jrnl Exp ~ Dép'!$D498</f>
        <v>0</v>
      </c>
      <c r="D566" s="912">
        <f>'Jrnl Exp ~ Dép'!$F498</f>
        <v>0</v>
      </c>
      <c r="E566" s="918">
        <f>'Jrnl Exp ~ Dép'!$G498</f>
        <v>0</v>
      </c>
      <c r="F566" s="919">
        <f>'Jrnl Exp ~ Dép'!$E498</f>
        <v>0</v>
      </c>
      <c r="G566" s="920" t="str">
        <f>LEFT('Jrnl Exp ~ Dép'!$H498,4)</f>
        <v/>
      </c>
      <c r="H566" s="923"/>
      <c r="I566" s="895"/>
      <c r="J566" s="895"/>
      <c r="K566" s="895"/>
      <c r="L566" s="898"/>
      <c r="M566" s="875" t="str">
        <f t="shared" si="22"/>
        <v>0</v>
      </c>
      <c r="N566" s="26" t="str">
        <f t="shared" si="21"/>
        <v>3</v>
      </c>
      <c r="O566" s="26" t="str">
        <f t="shared" si="23"/>
        <v>0</v>
      </c>
    </row>
    <row r="567" spans="2:15" ht="23.75" hidden="1" customHeight="1" x14ac:dyDescent="0.15">
      <c r="B567" s="26">
        <f>'Jrnl Exp ~ Dép'!B499</f>
        <v>0</v>
      </c>
      <c r="C567" s="914">
        <f>'Jrnl Exp ~ Dép'!$D499</f>
        <v>0</v>
      </c>
      <c r="D567" s="912">
        <f>'Jrnl Exp ~ Dép'!$F499</f>
        <v>0</v>
      </c>
      <c r="E567" s="918">
        <f>'Jrnl Exp ~ Dép'!$G499</f>
        <v>0</v>
      </c>
      <c r="F567" s="919">
        <f>'Jrnl Exp ~ Dép'!$E499</f>
        <v>0</v>
      </c>
      <c r="G567" s="920" t="str">
        <f>LEFT('Jrnl Exp ~ Dép'!$H499,4)</f>
        <v/>
      </c>
      <c r="H567" s="923"/>
      <c r="I567" s="895"/>
      <c r="J567" s="895"/>
      <c r="K567" s="895"/>
      <c r="L567" s="898"/>
      <c r="M567" s="875" t="str">
        <f t="shared" si="22"/>
        <v>0</v>
      </c>
      <c r="N567" s="26" t="str">
        <f t="shared" si="21"/>
        <v>3</v>
      </c>
      <c r="O567" s="26" t="str">
        <f t="shared" si="23"/>
        <v>0</v>
      </c>
    </row>
    <row r="568" spans="2:15" ht="23.75" hidden="1" customHeight="1" x14ac:dyDescent="0.15">
      <c r="B568" s="26">
        <f>'Jrnl Exp ~ Dép'!B500</f>
        <v>0</v>
      </c>
      <c r="C568" s="914">
        <f>'Jrnl Exp ~ Dép'!$D500</f>
        <v>0</v>
      </c>
      <c r="D568" s="912">
        <f>'Jrnl Exp ~ Dép'!$F500</f>
        <v>0</v>
      </c>
      <c r="E568" s="918">
        <f>'Jrnl Exp ~ Dép'!$G500</f>
        <v>0</v>
      </c>
      <c r="F568" s="919">
        <f>'Jrnl Exp ~ Dép'!$E500</f>
        <v>0</v>
      </c>
      <c r="G568" s="920" t="str">
        <f>LEFT('Jrnl Exp ~ Dép'!$H500,4)</f>
        <v/>
      </c>
      <c r="H568" s="923"/>
      <c r="I568" s="895"/>
      <c r="J568" s="895"/>
      <c r="K568" s="895"/>
      <c r="L568" s="898"/>
      <c r="M568" s="875" t="str">
        <f t="shared" si="22"/>
        <v>0</v>
      </c>
      <c r="N568" s="26" t="str">
        <f t="shared" si="21"/>
        <v>3</v>
      </c>
      <c r="O568" s="26" t="str">
        <f t="shared" si="23"/>
        <v>0</v>
      </c>
    </row>
    <row r="569" spans="2:15" ht="23.75" hidden="1" customHeight="1" x14ac:dyDescent="0.15">
      <c r="B569" s="26">
        <f>'Jrnl Exp ~ Dép'!B501</f>
        <v>0</v>
      </c>
      <c r="C569" s="914">
        <f>'Jrnl Exp ~ Dép'!$D501</f>
        <v>0</v>
      </c>
      <c r="D569" s="912">
        <f>'Jrnl Exp ~ Dép'!$F501</f>
        <v>0</v>
      </c>
      <c r="E569" s="918">
        <f>'Jrnl Exp ~ Dép'!$G501</f>
        <v>0</v>
      </c>
      <c r="F569" s="919">
        <f>'Jrnl Exp ~ Dép'!$E501</f>
        <v>0</v>
      </c>
      <c r="G569" s="920" t="str">
        <f>LEFT('Jrnl Exp ~ Dép'!$H501,4)</f>
        <v/>
      </c>
      <c r="H569" s="923"/>
      <c r="I569" s="895"/>
      <c r="J569" s="895"/>
      <c r="K569" s="895"/>
      <c r="L569" s="898"/>
      <c r="M569" s="875" t="str">
        <f t="shared" si="22"/>
        <v>0</v>
      </c>
      <c r="N569" s="26" t="str">
        <f t="shared" si="21"/>
        <v>3</v>
      </c>
      <c r="O569" s="26" t="str">
        <f t="shared" si="23"/>
        <v>0</v>
      </c>
    </row>
    <row r="570" spans="2:15" ht="23.75" hidden="1" customHeight="1" x14ac:dyDescent="0.15">
      <c r="B570" s="26">
        <f>'Jrnl Exp ~ Dép'!B502</f>
        <v>0</v>
      </c>
      <c r="C570" s="914">
        <f>'Jrnl Exp ~ Dép'!$D502</f>
        <v>0</v>
      </c>
      <c r="D570" s="912">
        <f>'Jrnl Exp ~ Dép'!$F502</f>
        <v>0</v>
      </c>
      <c r="E570" s="918">
        <f>'Jrnl Exp ~ Dép'!$G502</f>
        <v>0</v>
      </c>
      <c r="F570" s="919">
        <f>'Jrnl Exp ~ Dép'!$E502</f>
        <v>0</v>
      </c>
      <c r="G570" s="920" t="str">
        <f>LEFT('Jrnl Exp ~ Dép'!$H502,4)</f>
        <v/>
      </c>
      <c r="H570" s="923"/>
      <c r="I570" s="895"/>
      <c r="J570" s="895"/>
      <c r="K570" s="895"/>
      <c r="L570" s="898"/>
      <c r="M570" s="875" t="str">
        <f t="shared" si="22"/>
        <v>0</v>
      </c>
      <c r="N570" s="26" t="str">
        <f t="shared" si="21"/>
        <v>3</v>
      </c>
      <c r="O570" s="26" t="str">
        <f t="shared" si="23"/>
        <v>0</v>
      </c>
    </row>
    <row r="571" spans="2:15" ht="23.75" hidden="1" customHeight="1" x14ac:dyDescent="0.15">
      <c r="B571" s="26">
        <f>'Jrnl Exp ~ Dép'!B503</f>
        <v>0</v>
      </c>
      <c r="C571" s="914">
        <f>'Jrnl Exp ~ Dép'!$D503</f>
        <v>0</v>
      </c>
      <c r="D571" s="912">
        <f>'Jrnl Exp ~ Dép'!$F503</f>
        <v>0</v>
      </c>
      <c r="E571" s="918">
        <f>'Jrnl Exp ~ Dép'!$G503</f>
        <v>0</v>
      </c>
      <c r="F571" s="919">
        <f>'Jrnl Exp ~ Dép'!$E503</f>
        <v>0</v>
      </c>
      <c r="G571" s="920" t="str">
        <f>LEFT('Jrnl Exp ~ Dép'!$H503,4)</f>
        <v/>
      </c>
      <c r="H571" s="923"/>
      <c r="I571" s="895"/>
      <c r="J571" s="895"/>
      <c r="K571" s="895"/>
      <c r="L571" s="898"/>
      <c r="M571" s="875" t="str">
        <f t="shared" si="22"/>
        <v>0</v>
      </c>
      <c r="N571" s="26" t="str">
        <f t="shared" si="21"/>
        <v>3</v>
      </c>
      <c r="O571" s="26" t="str">
        <f t="shared" si="23"/>
        <v>0</v>
      </c>
    </row>
    <row r="572" spans="2:15" ht="23.75" hidden="1" customHeight="1" x14ac:dyDescent="0.15">
      <c r="B572" s="26">
        <f>'Jrnl Exp ~ Dép'!B504</f>
        <v>0</v>
      </c>
      <c r="C572" s="914">
        <f>'Jrnl Exp ~ Dép'!$D504</f>
        <v>0</v>
      </c>
      <c r="D572" s="912">
        <f>'Jrnl Exp ~ Dép'!$F504</f>
        <v>0</v>
      </c>
      <c r="E572" s="918">
        <f>'Jrnl Exp ~ Dép'!$G504</f>
        <v>0</v>
      </c>
      <c r="F572" s="919">
        <f>'Jrnl Exp ~ Dép'!$E504</f>
        <v>0</v>
      </c>
      <c r="G572" s="920" t="str">
        <f>LEFT('Jrnl Exp ~ Dép'!$H504,4)</f>
        <v/>
      </c>
      <c r="H572" s="923"/>
      <c r="I572" s="895"/>
      <c r="J572" s="895"/>
      <c r="K572" s="895"/>
      <c r="L572" s="898"/>
      <c r="M572" s="875" t="str">
        <f t="shared" si="22"/>
        <v>0</v>
      </c>
      <c r="N572" s="26" t="str">
        <f t="shared" si="21"/>
        <v>3</v>
      </c>
      <c r="O572" s="26" t="str">
        <f t="shared" si="23"/>
        <v>0</v>
      </c>
    </row>
    <row r="573" spans="2:15" ht="23.75" hidden="1" customHeight="1" x14ac:dyDescent="0.15">
      <c r="B573" s="26">
        <f>'Jrnl Exp ~ Dép'!B505</f>
        <v>0</v>
      </c>
      <c r="C573" s="914">
        <f>'Jrnl Exp ~ Dép'!$D505</f>
        <v>0</v>
      </c>
      <c r="D573" s="912">
        <f>'Jrnl Exp ~ Dép'!$F505</f>
        <v>0</v>
      </c>
      <c r="E573" s="918">
        <f>'Jrnl Exp ~ Dép'!$G505</f>
        <v>0</v>
      </c>
      <c r="F573" s="919">
        <f>'Jrnl Exp ~ Dép'!$E505</f>
        <v>0</v>
      </c>
      <c r="G573" s="920" t="str">
        <f>LEFT('Jrnl Exp ~ Dép'!$H505,4)</f>
        <v/>
      </c>
      <c r="H573" s="923"/>
      <c r="I573" s="895"/>
      <c r="J573" s="895"/>
      <c r="K573" s="895"/>
      <c r="L573" s="898"/>
      <c r="M573" s="875" t="str">
        <f t="shared" si="22"/>
        <v>0</v>
      </c>
      <c r="N573" s="26" t="str">
        <f t="shared" si="21"/>
        <v>3</v>
      </c>
      <c r="O573" s="26" t="str">
        <f t="shared" si="23"/>
        <v>0</v>
      </c>
    </row>
    <row r="574" spans="2:15" ht="23.75" hidden="1" customHeight="1" x14ac:dyDescent="0.15">
      <c r="B574" s="26">
        <f>'Jrnl Exp ~ Dép'!B506</f>
        <v>0</v>
      </c>
      <c r="C574" s="914">
        <f>'Jrnl Exp ~ Dép'!$D506</f>
        <v>0</v>
      </c>
      <c r="D574" s="912">
        <f>'Jrnl Exp ~ Dép'!$F506</f>
        <v>0</v>
      </c>
      <c r="E574" s="918">
        <f>'Jrnl Exp ~ Dép'!$G506</f>
        <v>0</v>
      </c>
      <c r="F574" s="919">
        <f>'Jrnl Exp ~ Dép'!$E506</f>
        <v>0</v>
      </c>
      <c r="G574" s="920" t="str">
        <f>LEFT('Jrnl Exp ~ Dép'!$H506,4)</f>
        <v/>
      </c>
      <c r="H574" s="923"/>
      <c r="I574" s="895"/>
      <c r="J574" s="895"/>
      <c r="K574" s="895"/>
      <c r="L574" s="898"/>
      <c r="M574" s="875" t="str">
        <f t="shared" si="22"/>
        <v>0</v>
      </c>
      <c r="N574" s="26" t="str">
        <f t="shared" si="21"/>
        <v>3</v>
      </c>
      <c r="O574" s="26" t="str">
        <f t="shared" si="23"/>
        <v>0</v>
      </c>
    </row>
    <row r="575" spans="2:15" ht="23.75" hidden="1" customHeight="1" x14ac:dyDescent="0.15">
      <c r="B575" s="26">
        <f>'Jrnl Exp ~ Dép'!B507</f>
        <v>0</v>
      </c>
      <c r="C575" s="914">
        <f>'Jrnl Exp ~ Dép'!$D507</f>
        <v>0</v>
      </c>
      <c r="D575" s="912">
        <f>'Jrnl Exp ~ Dép'!$F507</f>
        <v>0</v>
      </c>
      <c r="E575" s="918">
        <f>'Jrnl Exp ~ Dép'!$G507</f>
        <v>0</v>
      </c>
      <c r="F575" s="919">
        <f>'Jrnl Exp ~ Dép'!$E507</f>
        <v>0</v>
      </c>
      <c r="G575" s="920" t="str">
        <f>LEFT('Jrnl Exp ~ Dép'!$H507,4)</f>
        <v/>
      </c>
      <c r="H575" s="923"/>
      <c r="I575" s="895"/>
      <c r="J575" s="895"/>
      <c r="K575" s="895"/>
      <c r="L575" s="898"/>
      <c r="M575" s="875" t="str">
        <f t="shared" si="22"/>
        <v>0</v>
      </c>
      <c r="N575" s="26" t="str">
        <f t="shared" si="21"/>
        <v>3</v>
      </c>
      <c r="O575" s="26" t="str">
        <f t="shared" si="23"/>
        <v>0</v>
      </c>
    </row>
    <row r="576" spans="2:15" ht="23.75" hidden="1" customHeight="1" x14ac:dyDescent="0.15">
      <c r="B576" s="26">
        <f>'Jrnl Exp ~ Dép'!B508</f>
        <v>0</v>
      </c>
      <c r="C576" s="914">
        <f>'Jrnl Exp ~ Dép'!$D508</f>
        <v>0</v>
      </c>
      <c r="D576" s="912">
        <f>'Jrnl Exp ~ Dép'!$F508</f>
        <v>0</v>
      </c>
      <c r="E576" s="918">
        <f>'Jrnl Exp ~ Dép'!$G508</f>
        <v>0</v>
      </c>
      <c r="F576" s="919">
        <f>'Jrnl Exp ~ Dép'!$E508</f>
        <v>0</v>
      </c>
      <c r="G576" s="920" t="str">
        <f>LEFT('Jrnl Exp ~ Dép'!$H508,4)</f>
        <v/>
      </c>
      <c r="H576" s="923"/>
      <c r="I576" s="895"/>
      <c r="J576" s="895"/>
      <c r="K576" s="895"/>
      <c r="L576" s="898"/>
      <c r="M576" s="875" t="str">
        <f t="shared" si="22"/>
        <v>0</v>
      </c>
      <c r="N576" s="26" t="str">
        <f t="shared" si="21"/>
        <v>3</v>
      </c>
      <c r="O576" s="26" t="str">
        <f t="shared" si="23"/>
        <v>0</v>
      </c>
    </row>
    <row r="577" spans="2:15" ht="23.75" hidden="1" customHeight="1" x14ac:dyDescent="0.15">
      <c r="B577" s="26">
        <f>'Jrnl Exp ~ Dép'!B509</f>
        <v>0</v>
      </c>
      <c r="C577" s="914">
        <f>'Jrnl Exp ~ Dép'!$D509</f>
        <v>0</v>
      </c>
      <c r="D577" s="912">
        <f>'Jrnl Exp ~ Dép'!$F509</f>
        <v>0</v>
      </c>
      <c r="E577" s="918">
        <f>'Jrnl Exp ~ Dép'!$G509</f>
        <v>0</v>
      </c>
      <c r="F577" s="919">
        <f>'Jrnl Exp ~ Dép'!$E509</f>
        <v>0</v>
      </c>
      <c r="G577" s="920" t="str">
        <f>LEFT('Jrnl Exp ~ Dép'!$H509,4)</f>
        <v/>
      </c>
      <c r="H577" s="923"/>
      <c r="I577" s="895"/>
      <c r="J577" s="895"/>
      <c r="K577" s="895"/>
      <c r="L577" s="898"/>
      <c r="M577" s="875" t="str">
        <f t="shared" si="22"/>
        <v>0</v>
      </c>
      <c r="N577" s="26" t="str">
        <f t="shared" si="21"/>
        <v>3</v>
      </c>
      <c r="O577" s="26" t="str">
        <f t="shared" si="23"/>
        <v>0</v>
      </c>
    </row>
    <row r="578" spans="2:15" ht="23.75" hidden="1" customHeight="1" x14ac:dyDescent="0.15">
      <c r="B578" s="26">
        <f>'Jrnl Exp ~ Dép'!B510</f>
        <v>0</v>
      </c>
      <c r="C578" s="914">
        <f>'Jrnl Exp ~ Dép'!$D510</f>
        <v>0</v>
      </c>
      <c r="D578" s="912">
        <f>'Jrnl Exp ~ Dép'!$F510</f>
        <v>0</v>
      </c>
      <c r="E578" s="918">
        <f>'Jrnl Exp ~ Dép'!$G510</f>
        <v>0</v>
      </c>
      <c r="F578" s="919">
        <f>'Jrnl Exp ~ Dép'!$E510</f>
        <v>0</v>
      </c>
      <c r="G578" s="920" t="str">
        <f>LEFT('Jrnl Exp ~ Dép'!$H510,4)</f>
        <v/>
      </c>
      <c r="H578" s="923"/>
      <c r="I578" s="895"/>
      <c r="J578" s="895"/>
      <c r="K578" s="895"/>
      <c r="L578" s="898"/>
      <c r="M578" s="875" t="str">
        <f t="shared" si="22"/>
        <v>0</v>
      </c>
      <c r="N578" s="26" t="str">
        <f t="shared" si="21"/>
        <v>3</v>
      </c>
      <c r="O578" s="26" t="str">
        <f t="shared" si="23"/>
        <v>0</v>
      </c>
    </row>
    <row r="579" spans="2:15" ht="23.75" hidden="1" customHeight="1" thickTop="1" x14ac:dyDescent="0.15">
      <c r="B579" s="26">
        <f>'Jrnl Exp ~ Dép'!B511</f>
        <v>0</v>
      </c>
      <c r="C579" s="914">
        <f>'Jrnl Exp ~ Dép'!$D511</f>
        <v>0</v>
      </c>
      <c r="D579" s="912">
        <f>'Jrnl Exp ~ Dép'!$F511</f>
        <v>0</v>
      </c>
      <c r="E579" s="918">
        <f>'Jrnl Exp ~ Dép'!$G511</f>
        <v>0</v>
      </c>
      <c r="F579" s="919">
        <f>'Jrnl Exp ~ Dép'!$E511</f>
        <v>0</v>
      </c>
      <c r="G579" s="920" t="str">
        <f>LEFT('Jrnl Exp ~ Dép'!$H511,4)</f>
        <v/>
      </c>
      <c r="H579" s="923"/>
      <c r="I579" s="895"/>
      <c r="J579" s="895"/>
      <c r="K579" s="895"/>
      <c r="L579" s="898"/>
      <c r="M579" s="875" t="str">
        <f t="shared" si="22"/>
        <v>0</v>
      </c>
      <c r="N579" s="26" t="str">
        <f t="shared" si="21"/>
        <v>3</v>
      </c>
      <c r="O579" s="26" t="str">
        <f t="shared" si="23"/>
        <v>0</v>
      </c>
    </row>
    <row r="580" spans="2:15" ht="23.75" hidden="1" customHeight="1" x14ac:dyDescent="0.15">
      <c r="B580" s="26">
        <f>'Jrnl Exp ~ Dép'!B512</f>
        <v>0</v>
      </c>
      <c r="C580" s="914">
        <f>'Jrnl Exp ~ Dép'!$D512</f>
        <v>0</v>
      </c>
      <c r="D580" s="912">
        <f>'Jrnl Exp ~ Dép'!$F512</f>
        <v>0</v>
      </c>
      <c r="E580" s="918">
        <f>'Jrnl Exp ~ Dép'!$G512</f>
        <v>0</v>
      </c>
      <c r="F580" s="919">
        <f>'Jrnl Exp ~ Dép'!$E512</f>
        <v>0</v>
      </c>
      <c r="G580" s="920" t="str">
        <f>LEFT('Jrnl Exp ~ Dép'!$H512,4)</f>
        <v/>
      </c>
      <c r="H580" s="923"/>
      <c r="I580" s="895"/>
      <c r="J580" s="895"/>
      <c r="K580" s="895"/>
      <c r="L580" s="898"/>
      <c r="M580" s="875" t="str">
        <f t="shared" si="22"/>
        <v>0</v>
      </c>
      <c r="N580" s="26" t="str">
        <f t="shared" si="21"/>
        <v>3</v>
      </c>
      <c r="O580" s="26" t="str">
        <f t="shared" si="23"/>
        <v>0</v>
      </c>
    </row>
    <row r="581" spans="2:15" ht="23.75" hidden="1" customHeight="1" x14ac:dyDescent="0.15">
      <c r="B581" s="26">
        <f>'Jrnl Exp ~ Dép'!B513</f>
        <v>0</v>
      </c>
      <c r="C581" s="914">
        <f>'Jrnl Exp ~ Dép'!$D513</f>
        <v>0</v>
      </c>
      <c r="D581" s="912">
        <f>'Jrnl Exp ~ Dép'!$F513</f>
        <v>0</v>
      </c>
      <c r="E581" s="918">
        <f>'Jrnl Exp ~ Dép'!$G513</f>
        <v>0</v>
      </c>
      <c r="F581" s="919">
        <f>'Jrnl Exp ~ Dép'!$E513</f>
        <v>0</v>
      </c>
      <c r="G581" s="920" t="str">
        <f>LEFT('Jrnl Exp ~ Dép'!$H513,4)</f>
        <v/>
      </c>
      <c r="H581" s="923"/>
      <c r="I581" s="895"/>
      <c r="J581" s="895"/>
      <c r="K581" s="895"/>
      <c r="L581" s="898"/>
      <c r="M581" s="875" t="str">
        <f t="shared" si="22"/>
        <v>0</v>
      </c>
      <c r="N581" s="26" t="str">
        <f t="shared" si="21"/>
        <v>3</v>
      </c>
      <c r="O581" s="26" t="str">
        <f t="shared" si="23"/>
        <v>0</v>
      </c>
    </row>
    <row r="582" spans="2:15" ht="23.75" hidden="1" customHeight="1" x14ac:dyDescent="0.15">
      <c r="B582" s="26">
        <f>'Jrnl Exp ~ Dép'!B514</f>
        <v>0</v>
      </c>
      <c r="C582" s="914">
        <f>'Jrnl Exp ~ Dép'!$D514</f>
        <v>0</v>
      </c>
      <c r="D582" s="912">
        <f>'Jrnl Exp ~ Dép'!$F514</f>
        <v>0</v>
      </c>
      <c r="E582" s="918">
        <f>'Jrnl Exp ~ Dép'!$G514</f>
        <v>0</v>
      </c>
      <c r="F582" s="919">
        <f>'Jrnl Exp ~ Dép'!$E514</f>
        <v>0</v>
      </c>
      <c r="G582" s="920" t="str">
        <f>LEFT('Jrnl Exp ~ Dép'!$H514,4)</f>
        <v/>
      </c>
      <c r="H582" s="923"/>
      <c r="I582" s="895"/>
      <c r="J582" s="895"/>
      <c r="K582" s="895"/>
      <c r="L582" s="898"/>
      <c r="M582" s="875" t="str">
        <f t="shared" si="22"/>
        <v>0</v>
      </c>
      <c r="N582" s="26" t="str">
        <f t="shared" si="21"/>
        <v>3</v>
      </c>
      <c r="O582" s="26" t="str">
        <f t="shared" si="23"/>
        <v>0</v>
      </c>
    </row>
    <row r="583" spans="2:15" ht="23.75" hidden="1" customHeight="1" x14ac:dyDescent="0.15">
      <c r="B583" s="26">
        <f>'Jrnl Exp ~ Dép'!B515</f>
        <v>0</v>
      </c>
      <c r="C583" s="914">
        <f>'Jrnl Exp ~ Dép'!$D515</f>
        <v>0</v>
      </c>
      <c r="D583" s="912">
        <f>'Jrnl Exp ~ Dép'!$F515</f>
        <v>0</v>
      </c>
      <c r="E583" s="918">
        <f>'Jrnl Exp ~ Dép'!$G515</f>
        <v>0</v>
      </c>
      <c r="F583" s="919">
        <f>'Jrnl Exp ~ Dép'!$E515</f>
        <v>0</v>
      </c>
      <c r="G583" s="920" t="str">
        <f>LEFT('Jrnl Exp ~ Dép'!$H515,4)</f>
        <v/>
      </c>
      <c r="H583" s="923"/>
      <c r="I583" s="895"/>
      <c r="J583" s="895"/>
      <c r="K583" s="895"/>
      <c r="L583" s="898"/>
      <c r="M583" s="875" t="str">
        <f t="shared" si="22"/>
        <v>0</v>
      </c>
      <c r="N583" s="26" t="str">
        <f t="shared" si="21"/>
        <v>3</v>
      </c>
      <c r="O583" s="26" t="str">
        <f t="shared" si="23"/>
        <v>0</v>
      </c>
    </row>
    <row r="584" spans="2:15" ht="14" thickTop="1" x14ac:dyDescent="0.15"/>
  </sheetData>
  <sheetProtection algorithmName="SHA-512" hashValue="P3XZr2uCGf1dBJwABwKFYg+IfKpaxkvYk8lWgPRI61bzbKrAk7IYQGMPI/Ve7pN1RAYXRCUABL6wr8A22I35Fw==" saltValue="kqSZGwgNVXmilxqUxic14A==" spinCount="100000" sheet="1" objects="1" scenarios="1" selectLockedCells="1" autoFilter="0" selectUnlockedCells="1"/>
  <autoFilter ref="B82:O583" xr:uid="{00000000-0001-0000-1300-000000000000}">
    <filterColumn colId="13">
      <filters>
        <filter val="4"/>
      </filters>
    </filterColumn>
  </autoFilter>
  <mergeCells count="69">
    <mergeCell ref="B57:E57"/>
    <mergeCell ref="B58:E58"/>
    <mergeCell ref="B59:E59"/>
    <mergeCell ref="B60:E60"/>
    <mergeCell ref="B38:E38"/>
    <mergeCell ref="C54:E54"/>
    <mergeCell ref="C56:E56"/>
    <mergeCell ref="B48:E48"/>
    <mergeCell ref="B49:E49"/>
    <mergeCell ref="B50:E50"/>
    <mergeCell ref="B51:E51"/>
    <mergeCell ref="B52:E52"/>
    <mergeCell ref="B53:E53"/>
    <mergeCell ref="B55:E55"/>
    <mergeCell ref="B61:E61"/>
    <mergeCell ref="B62:E62"/>
    <mergeCell ref="B63:E63"/>
    <mergeCell ref="B64:E64"/>
    <mergeCell ref="B65:E65"/>
    <mergeCell ref="B75:G75"/>
    <mergeCell ref="C67:H67"/>
    <mergeCell ref="C81:G81"/>
    <mergeCell ref="B77:G77"/>
    <mergeCell ref="B79:G79"/>
    <mergeCell ref="B69:G69"/>
    <mergeCell ref="B71:G71"/>
    <mergeCell ref="B73:G73"/>
    <mergeCell ref="B32:E32"/>
    <mergeCell ref="B43:E43"/>
    <mergeCell ref="B45:E45"/>
    <mergeCell ref="B46:E46"/>
    <mergeCell ref="B47:E47"/>
    <mergeCell ref="B33:E33"/>
    <mergeCell ref="B34:E34"/>
    <mergeCell ref="B35:E35"/>
    <mergeCell ref="B36:E36"/>
    <mergeCell ref="B37:E37"/>
    <mergeCell ref="C44:E44"/>
    <mergeCell ref="C29:E29"/>
    <mergeCell ref="C39:E39"/>
    <mergeCell ref="B13:E13"/>
    <mergeCell ref="B14:E14"/>
    <mergeCell ref="B15:E15"/>
    <mergeCell ref="B16:E16"/>
    <mergeCell ref="B17:E17"/>
    <mergeCell ref="B19:E19"/>
    <mergeCell ref="B20:E20"/>
    <mergeCell ref="B21:E21"/>
    <mergeCell ref="B22:E22"/>
    <mergeCell ref="B23:E23"/>
    <mergeCell ref="B26:E26"/>
    <mergeCell ref="B28:E28"/>
    <mergeCell ref="B30:E30"/>
    <mergeCell ref="B31:E31"/>
    <mergeCell ref="B1:H1"/>
    <mergeCell ref="C2:H2"/>
    <mergeCell ref="C8:E8"/>
    <mergeCell ref="C27:E27"/>
    <mergeCell ref="B24:E24"/>
    <mergeCell ref="B25:E25"/>
    <mergeCell ref="B18:E18"/>
    <mergeCell ref="B7:E7"/>
    <mergeCell ref="B9:E9"/>
    <mergeCell ref="B10:E10"/>
    <mergeCell ref="B11:E11"/>
    <mergeCell ref="B12:E12"/>
    <mergeCell ref="B4:H4"/>
    <mergeCell ref="C6:H6"/>
    <mergeCell ref="B3:H3"/>
  </mergeCells>
  <conditionalFormatting sqref="B4">
    <cfRule type="expression" dxfId="12" priority="5">
      <formula>J78="True"</formula>
    </cfRule>
  </conditionalFormatting>
  <conditionalFormatting sqref="B5:B6">
    <cfRule type="expression" dxfId="11" priority="86">
      <formula>#REF!="True"</formula>
    </cfRule>
  </conditionalFormatting>
  <conditionalFormatting sqref="C67:C68">
    <cfRule type="expression" dxfId="10" priority="1">
      <formula>#REF!="True"</formula>
    </cfRule>
  </conditionalFormatting>
  <conditionalFormatting sqref="F84:G583">
    <cfRule type="cellIs" dxfId="9" priority="2" operator="equal">
      <formula>0</formula>
    </cfRule>
  </conditionalFormatting>
  <dataValidations count="4">
    <dataValidation allowBlank="1" showErrorMessage="1" promptTitle="1700" prompt="Enter the amount from last year's ACC-9 line 1700 (page 4 of the ACC-9)" sqref="G70 H69" xr:uid="{019FC80A-DDF3-47B0-A899-72C6F230DB8C}">
      <formula1>0</formula1>
      <formula2>0</formula2>
    </dataValidation>
    <dataValidation allowBlank="1" showErrorMessage="1" promptTitle="3100" prompt="Enter line 3100 from last year's ACC-9 (from page 4)" sqref="H71:H72" xr:uid="{A6402095-BC23-41E3-9B8F-8EEEC51D9F28}">
      <formula1>0</formula1>
      <formula2>0</formula2>
    </dataValidation>
    <dataValidation allowBlank="1" showErrorMessage="1" promptTitle="3110" prompt="Enter the amount from line 3110 of last year's ACC-9 (page 4)" sqref="H73:H74" xr:uid="{9C7A38A5-8EBA-4BD2-ADC6-6BF0D077F613}">
      <formula1>0</formula1>
      <formula2>0</formula2>
    </dataValidation>
    <dataValidation allowBlank="1" showErrorMessage="1" sqref="H75:H76" xr:uid="{00000000-0002-0000-1300-000000000000}">
      <formula1>0</formula1>
      <formula2>0</formula2>
    </dataValidation>
  </dataValidations>
  <printOptions horizontalCentered="1"/>
  <pageMargins left="0.5" right="0.15763888888888899" top="0.35" bottom="0.31458333333333299" header="0.15763888888888899" footer="0.118055555555556"/>
  <pageSetup scale="79" fitToHeight="0" orientation="portrait" horizontalDpi="300" verticalDpi="300" r:id="rId1"/>
  <headerFooter>
    <oddHeader>&amp;C&amp;"Arial,Bold"&amp;28</oddHeader>
    <oddFooter>&amp;L&amp;D&amp;R&amp;P/&amp;N</oddFooter>
  </headerFooter>
  <rowBreaks count="1" manualBreakCount="1">
    <brk id="42" min="1"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3A12-62C9-4794-BA9E-BFA5A84019DE}">
  <sheetPr codeName="Sheet6">
    <tabColor rgb="FF0070C0"/>
    <pageSetUpPr autoPageBreaks="0" fitToPage="1"/>
  </sheetPr>
  <dimension ref="A1:Q252"/>
  <sheetViews>
    <sheetView showGridLines="0" zoomScale="85" zoomScaleNormal="85" workbookViewId="0">
      <pane ySplit="8" topLeftCell="A9" activePane="bottomLeft" state="frozen"/>
      <selection pane="bottomLeft" activeCell="K13" sqref="K13"/>
    </sheetView>
  </sheetViews>
  <sheetFormatPr baseColWidth="10" defaultColWidth="8.83203125" defaultRowHeight="13" x14ac:dyDescent="0.15"/>
  <cols>
    <col min="1" max="1" width="3.33203125" style="1" customWidth="1"/>
    <col min="2" max="2" width="6.5" style="198" customWidth="1"/>
    <col min="3" max="3" width="6.5" style="17" customWidth="1"/>
    <col min="4" max="4" width="8.83203125" style="17" customWidth="1"/>
    <col min="5" max="5" width="66.33203125" style="508" customWidth="1"/>
    <col min="6" max="6" width="37.83203125" style="573" customWidth="1"/>
    <col min="7" max="7" width="16.6640625" style="573" customWidth="1"/>
    <col min="8" max="8" width="19.1640625" style="572" customWidth="1"/>
    <col min="9" max="9" width="19.1640625" style="198" customWidth="1"/>
    <col min="10" max="10" width="35.33203125" style="572" customWidth="1"/>
    <col min="11" max="11" width="18.5" customWidth="1"/>
    <col min="12" max="12" width="3.5" style="1" customWidth="1"/>
    <col min="13" max="13" width="6" style="1" customWidth="1"/>
    <col min="14" max="14" width="10.5" style="1" customWidth="1"/>
    <col min="15" max="15" width="30.6640625" style="1" customWidth="1"/>
    <col min="16" max="16" width="2.6640625" style="1" customWidth="1"/>
    <col min="17" max="17" width="6" style="1" customWidth="1"/>
  </cols>
  <sheetData>
    <row r="1" spans="1:17" ht="28" x14ac:dyDescent="0.25">
      <c r="B1" s="1515" t="str">
        <f>IF(N7=2,"Estimé du prochain budget","Estimated Next Budget")</f>
        <v>Estimated Next Budget</v>
      </c>
      <c r="C1" s="1515"/>
      <c r="D1" s="1515"/>
      <c r="E1" s="1515"/>
      <c r="F1" s="1515"/>
      <c r="G1" s="1515"/>
      <c r="H1" s="1515"/>
      <c r="I1" s="1515"/>
      <c r="J1" s="1515"/>
      <c r="K1" s="1515"/>
      <c r="M1" s="868"/>
      <c r="N1" s="1597" t="str">
        <f>IF(N7=2,"Totaux","Total")</f>
        <v>Total</v>
      </c>
      <c r="O1" s="1597"/>
      <c r="P1" s="870"/>
    </row>
    <row r="2" spans="1:17" ht="33" customHeight="1" x14ac:dyDescent="0.15">
      <c r="B2" s="1733" t="str">
        <f>'Set up ~ Config'!B2:J2</f>
        <v xml:space="preserve">SSC </v>
      </c>
      <c r="C2" s="1733"/>
      <c r="D2" s="1733"/>
      <c r="E2" s="1733"/>
      <c r="F2" s="1733"/>
      <c r="G2" s="1733"/>
      <c r="H2" s="1733"/>
      <c r="I2" s="1733"/>
      <c r="J2" s="1733"/>
      <c r="K2" s="1733"/>
      <c r="M2" s="1599" t="str">
        <f>IF(N7=2,"Revenus","Revenues")</f>
        <v>Revenues</v>
      </c>
      <c r="N2" s="1599"/>
      <c r="O2" s="871">
        <f>K61</f>
        <v>0</v>
      </c>
      <c r="P2" s="870"/>
    </row>
    <row r="3" spans="1:17" ht="36" customHeight="1" x14ac:dyDescent="0.15">
      <c r="B3" s="1869" t="e">
        <f>IF(N7=2,"Année financière  "&amp;CONCATENATE('Set up ~ Config'!G31," - ",('Set up ~ Config'!G31)+1),"Financial Year  "&amp;CONCATENATE('Set up ~ Config'!G31," - ",('Set up ~ Config'!G31)+1))</f>
        <v>#VALUE!</v>
      </c>
      <c r="C3" s="1869"/>
      <c r="D3" s="1869"/>
      <c r="E3" s="1869"/>
      <c r="F3" s="1869"/>
      <c r="G3" s="1869"/>
      <c r="H3" s="1869"/>
      <c r="I3" s="1869"/>
      <c r="J3" s="1869"/>
      <c r="K3" s="1869"/>
      <c r="M3" s="1599" t="str">
        <f>IF(N7=2,"Dépenses","Expenses")</f>
        <v>Expenses</v>
      </c>
      <c r="N3" s="1599"/>
      <c r="O3" s="871">
        <f>K166</f>
        <v>0</v>
      </c>
      <c r="P3" s="870"/>
    </row>
    <row r="4" spans="1:17" ht="10.5" customHeight="1" x14ac:dyDescent="0.15">
      <c r="B4" s="199"/>
      <c r="F4" s="509"/>
      <c r="G4" s="510"/>
      <c r="H4" s="1866"/>
      <c r="I4" s="1866"/>
      <c r="J4" s="1866"/>
      <c r="L4" s="12"/>
      <c r="M4" s="1878" t="str">
        <f>IF(N7=2,IF(K61=K166,"BUDGET ÉQUILIBRÉ","BUDGET NON ÉQUILIBRÉ"),IF(K61=K166,"BALANCED BUDGET","UNBALANCED BUDGET"))</f>
        <v>BALANCED BUDGET</v>
      </c>
      <c r="N4" s="1878"/>
      <c r="O4" s="1878"/>
      <c r="P4" s="1878"/>
      <c r="Q4" s="12"/>
    </row>
    <row r="5" spans="1:17" ht="15.75" customHeight="1" x14ac:dyDescent="0.15">
      <c r="B5" s="1"/>
      <c r="C5" s="1"/>
      <c r="D5" s="1"/>
      <c r="E5" s="509"/>
      <c r="F5" s="509"/>
      <c r="G5" s="510"/>
      <c r="H5" s="22"/>
      <c r="J5" s="511"/>
      <c r="L5" s="12"/>
      <c r="M5" s="1878"/>
      <c r="N5" s="1878"/>
      <c r="O5" s="1878"/>
      <c r="P5" s="1878"/>
      <c r="Q5" s="12"/>
    </row>
    <row r="6" spans="1:17" ht="22" thickBot="1" x14ac:dyDescent="0.2">
      <c r="A6" s="512"/>
      <c r="B6" s="1867" t="s">
        <v>135</v>
      </c>
      <c r="C6" s="1867"/>
      <c r="D6" s="1246"/>
      <c r="E6" s="513"/>
      <c r="F6" s="937" t="str">
        <f>IF(N7=2,"Date (aaaa-mm-jj):","Date (yyyy-mm-dd):")</f>
        <v>Date (yyyy-mm-dd):</v>
      </c>
      <c r="G6" s="1870"/>
      <c r="H6" s="1870"/>
      <c r="I6" s="1868"/>
      <c r="J6" s="1868"/>
      <c r="L6" s="12"/>
      <c r="M6" s="1879"/>
      <c r="N6" s="1879"/>
      <c r="O6" s="515"/>
      <c r="P6" s="516"/>
      <c r="Q6" s="12"/>
    </row>
    <row r="7" spans="1:17" ht="36" thickTop="1" thickBot="1" x14ac:dyDescent="0.2">
      <c r="A7" s="12"/>
      <c r="B7" s="517" t="str">
        <f>IF(N7=2,"Catégories","ACC
Descr")</f>
        <v>ACC
Descr</v>
      </c>
      <c r="C7" s="518" t="s">
        <v>137</v>
      </c>
      <c r="D7" s="518"/>
      <c r="E7" s="518" t="s">
        <v>138</v>
      </c>
      <c r="F7" s="962" t="str">
        <f>IF(N7=2,"Détails (exemples)","Details (examples)")</f>
        <v>Details (examples)</v>
      </c>
      <c r="G7" s="1871" t="str">
        <f>CONCATENATE('Set up ~ Config'!F31," - ",'Set up ~ Config'!G31)</f>
        <v xml:space="preserve"> - </v>
      </c>
      <c r="H7" s="1872"/>
      <c r="I7" s="1872"/>
      <c r="J7" s="1880" t="e">
        <f>CONCATENATE('Set up ~ Config'!G31," - ",'Set up ~ Config'!G31+1)</f>
        <v>#VALUE!</v>
      </c>
      <c r="K7" s="1881"/>
      <c r="L7" s="12"/>
      <c r="M7" s="12"/>
      <c r="N7" s="504">
        <f>'Set up ~ Config'!L10</f>
        <v>1</v>
      </c>
      <c r="O7" s="23"/>
      <c r="P7" s="12"/>
      <c r="Q7" s="12"/>
    </row>
    <row r="8" spans="1:17" ht="17" x14ac:dyDescent="0.15">
      <c r="A8" s="12"/>
      <c r="B8" s="519"/>
      <c r="C8" s="520"/>
      <c r="D8" s="520"/>
      <c r="E8" s="520"/>
      <c r="F8" s="520"/>
      <c r="G8" s="1873" t="str">
        <f>IF(O7=2,"Budget ","Budget")</f>
        <v>Budget</v>
      </c>
      <c r="H8" s="1874"/>
      <c r="I8" s="960" t="str">
        <f>IF(N7=2,"Réel ","Actuals")</f>
        <v>Actuals</v>
      </c>
      <c r="J8" s="961" t="str">
        <f>IF($N$7=2,"Explications","Explanations")</f>
        <v>Explanations</v>
      </c>
      <c r="K8" s="521" t="str">
        <f>IF($N$7=2,"Budget proposé","Proposed Budget")</f>
        <v>Proposed Budget</v>
      </c>
      <c r="L8" s="12"/>
      <c r="M8" s="12"/>
      <c r="N8" s="506"/>
      <c r="O8" s="507">
        <f>IF(O2&lt;&gt;O3,0,1)</f>
        <v>1</v>
      </c>
      <c r="P8" s="12"/>
      <c r="Q8" s="12"/>
    </row>
    <row r="9" spans="1:17" ht="24" customHeight="1" thickBot="1" x14ac:dyDescent="0.2">
      <c r="A9" s="12"/>
      <c r="B9" s="1863" t="str">
        <f>IF(N7=2,"Revenus","Income Items")</f>
        <v>Income Items</v>
      </c>
      <c r="C9" s="1864"/>
      <c r="D9" s="1864"/>
      <c r="E9" s="1864"/>
      <c r="F9" s="1864"/>
      <c r="G9" s="1864"/>
      <c r="H9" s="1864"/>
      <c r="I9" s="1864"/>
      <c r="J9" s="1864"/>
      <c r="K9" s="1865"/>
      <c r="L9" s="12"/>
      <c r="M9" s="12"/>
      <c r="N9" s="506"/>
      <c r="O9" s="12"/>
      <c r="P9" s="12"/>
      <c r="Q9" s="12"/>
    </row>
    <row r="10" spans="1:17" ht="33" customHeight="1" thickTop="1" thickBot="1" x14ac:dyDescent="0.2">
      <c r="A10" s="12"/>
      <c r="B10" s="1590" t="str">
        <f>CONCATENATE('Jrnl Rev'!Q4," - ",'Jrnl Rev'!Q5)</f>
        <v>4000 - Donations, Grants &amp; Other</v>
      </c>
      <c r="C10" s="522">
        <f>'Jrnl Rev'!Q$6</f>
        <v>4010</v>
      </c>
      <c r="D10" s="1574"/>
      <c r="E10" s="523" t="str">
        <f>+'Jrnl Rev'!Q8</f>
        <v>From Official Sponsor(s)</v>
      </c>
      <c r="F10" s="524" t="str">
        <f>'Budget Tracker~Suivi'!F10</f>
        <v>From Squadron's Official Sponsor only</v>
      </c>
      <c r="G10" s="1606"/>
      <c r="H10" s="1201">
        <f>'Budget Tracker~Suivi'!H10</f>
        <v>0</v>
      </c>
      <c r="I10" s="1202">
        <f>'Budget Tracker~Suivi'!I10</f>
        <v>0</v>
      </c>
      <c r="J10" s="1195"/>
      <c r="K10" s="1193"/>
      <c r="L10" s="12"/>
      <c r="M10" s="12"/>
      <c r="N10" s="12"/>
      <c r="O10" s="12"/>
      <c r="P10" s="12"/>
      <c r="Q10" s="12"/>
    </row>
    <row r="11" spans="1:17" ht="33" customHeight="1" thickTop="1" thickBot="1" x14ac:dyDescent="0.2">
      <c r="A11" s="12"/>
      <c r="B11" s="1590"/>
      <c r="C11" s="526">
        <f>'Jrnl Rev'!R$6</f>
        <v>4020</v>
      </c>
      <c r="D11" s="1574"/>
      <c r="E11" s="527" t="str">
        <f>+'Jrnl Rev'!R8</f>
        <v>From Non-Sponsor Veterans Organizations, Auxiliaries</v>
      </c>
      <c r="F11" s="528" t="str">
        <f>'Budget Tracker~Suivi'!F11</f>
        <v>Legion, RCAF Ass</v>
      </c>
      <c r="G11" s="1606"/>
      <c r="H11" s="1203">
        <f>'Budget Tracker~Suivi'!H11</f>
        <v>0</v>
      </c>
      <c r="I11" s="1204">
        <f>'Budget Tracker~Suivi'!I11</f>
        <v>0</v>
      </c>
      <c r="J11" s="1196"/>
      <c r="K11" s="1191"/>
      <c r="L11" s="12"/>
      <c r="M11" s="12"/>
      <c r="N11" s="12"/>
      <c r="O11" s="12"/>
      <c r="P11" s="12"/>
      <c r="Q11" s="12"/>
    </row>
    <row r="12" spans="1:17" ht="33" customHeight="1" thickTop="1" thickBot="1" x14ac:dyDescent="0.2">
      <c r="A12" s="12"/>
      <c r="B12" s="1590"/>
      <c r="C12" s="1613">
        <f>'Jrnl Rev'!S$6</f>
        <v>4030</v>
      </c>
      <c r="D12" s="529"/>
      <c r="E12" s="523" t="str">
        <f>+'Jrnl Rev'!S$8</f>
        <v>From Other Service Clubs (Charities)</v>
      </c>
      <c r="F12" s="530" t="str">
        <f>IF(N7=2,"4030 TOTAL","4030 TOTAL")</f>
        <v>4030 TOTAL</v>
      </c>
      <c r="G12" s="531"/>
      <c r="H12" s="1240">
        <f>SUM(G13:G16)</f>
        <v>0</v>
      </c>
      <c r="I12" s="1224">
        <f>SUM(I13:I16)</f>
        <v>0</v>
      </c>
      <c r="J12" s="1240"/>
      <c r="K12" s="1241">
        <f>SUM(K13:K16)</f>
        <v>0</v>
      </c>
      <c r="L12" s="12"/>
      <c r="M12" s="12"/>
      <c r="N12" s="12"/>
      <c r="O12" s="12"/>
      <c r="P12" s="12"/>
      <c r="Q12" s="12"/>
    </row>
    <row r="13" spans="1:17" ht="33" customHeight="1" thickTop="1" thickBot="1" x14ac:dyDescent="0.2">
      <c r="A13" s="12"/>
      <c r="B13" s="1590"/>
      <c r="C13" s="1613"/>
      <c r="D13" s="1225">
        <f>'Jrnl Rev'!T$6</f>
        <v>4030.1</v>
      </c>
      <c r="E13" s="1226" t="str">
        <f>+'Jrnl Rev'!T$8</f>
        <v>Disponible ~ Available</v>
      </c>
      <c r="F13" s="1227"/>
      <c r="G13" s="1210">
        <f>'Budget Tracker~Suivi'!G13</f>
        <v>0</v>
      </c>
      <c r="H13" s="1614"/>
      <c r="I13" s="1205">
        <f>'Budget Tracker~Suivi'!I13</f>
        <v>0</v>
      </c>
      <c r="J13" s="1197"/>
      <c r="K13" s="1191"/>
      <c r="L13" s="12"/>
      <c r="M13" s="12"/>
      <c r="N13" s="12"/>
      <c r="O13" s="12"/>
      <c r="P13" s="12"/>
      <c r="Q13" s="12"/>
    </row>
    <row r="14" spans="1:17" ht="33" customHeight="1" thickTop="1" thickBot="1" x14ac:dyDescent="0.2">
      <c r="A14" s="12"/>
      <c r="B14" s="1590"/>
      <c r="C14" s="1613"/>
      <c r="D14" s="1225">
        <f>'Jrnl Rev'!U$6</f>
        <v>4030.2</v>
      </c>
      <c r="E14" s="1226" t="str">
        <f>+'Jrnl Rev'!U$8</f>
        <v>Disponible ~ Available</v>
      </c>
      <c r="F14" s="1227"/>
      <c r="G14" s="1210">
        <f>'Budget Tracker~Suivi'!G14</f>
        <v>0</v>
      </c>
      <c r="H14" s="1614"/>
      <c r="I14" s="1205">
        <f>'Budget Tracker~Suivi'!I14</f>
        <v>0</v>
      </c>
      <c r="J14" s="1197"/>
      <c r="K14" s="1191"/>
      <c r="L14" s="12"/>
      <c r="M14" s="12"/>
      <c r="N14" s="12"/>
      <c r="O14" s="12"/>
      <c r="P14" s="12"/>
      <c r="Q14" s="12"/>
    </row>
    <row r="15" spans="1:17" ht="33" customHeight="1" thickTop="1" thickBot="1" x14ac:dyDescent="0.2">
      <c r="A15" s="12"/>
      <c r="B15" s="1590"/>
      <c r="C15" s="1613"/>
      <c r="D15" s="1225">
        <f>'Jrnl Rev'!V$6</f>
        <v>4030.3</v>
      </c>
      <c r="E15" s="1226" t="str">
        <f>+'Jrnl Rev'!V$8</f>
        <v>Disponible ~ Available</v>
      </c>
      <c r="F15" s="1227"/>
      <c r="G15" s="1210">
        <f>'Budget Tracker~Suivi'!G15</f>
        <v>0</v>
      </c>
      <c r="H15" s="1614"/>
      <c r="I15" s="1205">
        <f>'Budget Tracker~Suivi'!I15</f>
        <v>0</v>
      </c>
      <c r="J15" s="1197"/>
      <c r="K15" s="1191"/>
      <c r="L15" s="12"/>
      <c r="M15" s="12"/>
      <c r="N15" s="12"/>
      <c r="O15" s="12"/>
      <c r="P15" s="12"/>
      <c r="Q15" s="12"/>
    </row>
    <row r="16" spans="1:17" ht="33" customHeight="1" thickTop="1" thickBot="1" x14ac:dyDescent="0.2">
      <c r="A16" s="12"/>
      <c r="B16" s="1590"/>
      <c r="C16" s="1613"/>
      <c r="D16" s="1228">
        <f>'Jrnl Rev'!W$6</f>
        <v>4030.4</v>
      </c>
      <c r="E16" s="1229" t="str">
        <f>+'Jrnl Rev'!W$8</f>
        <v>Disponible ~ Available</v>
      </c>
      <c r="F16" s="1230"/>
      <c r="G16" s="1203">
        <f>'Budget Tracker~Suivi'!G16</f>
        <v>0</v>
      </c>
      <c r="H16" s="1614"/>
      <c r="I16" s="1204">
        <f>'Budget Tracker~Suivi'!I16</f>
        <v>0</v>
      </c>
      <c r="J16" s="1196"/>
      <c r="K16" s="1192"/>
      <c r="L16" s="12"/>
      <c r="M16" s="12"/>
      <c r="N16" s="12"/>
      <c r="O16" s="12"/>
      <c r="P16" s="12"/>
      <c r="Q16" s="12"/>
    </row>
    <row r="17" spans="1:17" ht="33" customHeight="1" thickTop="1" thickBot="1" x14ac:dyDescent="0.2">
      <c r="A17" s="12"/>
      <c r="B17" s="1590"/>
      <c r="C17" s="532">
        <f>'Jrnl Rev'!X$6</f>
        <v>4040</v>
      </c>
      <c r="D17" s="1591"/>
      <c r="E17" s="533" t="str">
        <f>+'Jrnl Rev'!X8</f>
        <v>Specific Purpose Non-DND Grants</v>
      </c>
      <c r="F17" s="534" t="str">
        <f>'Budget Tracker~Suivi'!F17</f>
        <v>Special grant for a project</v>
      </c>
      <c r="G17" s="1591"/>
      <c r="H17" s="1206">
        <f>'Budget Tracker~Suivi'!H17</f>
        <v>0</v>
      </c>
      <c r="I17" s="1207">
        <f>'Budget Tracker~Suivi'!I17</f>
        <v>0</v>
      </c>
      <c r="J17" s="1198"/>
      <c r="K17" s="1194"/>
      <c r="L17" s="12"/>
      <c r="M17" s="12"/>
      <c r="N17" s="12"/>
      <c r="O17" s="12"/>
      <c r="P17" s="12"/>
      <c r="Q17" s="12"/>
    </row>
    <row r="18" spans="1:17" ht="33" customHeight="1" thickTop="1" thickBot="1" x14ac:dyDescent="0.2">
      <c r="A18" s="12"/>
      <c r="B18" s="1590"/>
      <c r="C18" s="147">
        <f>'Jrnl Rev'!Y$6</f>
        <v>4050</v>
      </c>
      <c r="D18" s="1591"/>
      <c r="E18" s="501" t="str">
        <f>+'Jrnl Rev'!Y8</f>
        <v>Bequests and Such</v>
      </c>
      <c r="F18" s="534" t="str">
        <f>'Budget Tracker~Suivi'!F18</f>
        <v>Money left in wills</v>
      </c>
      <c r="G18" s="1591"/>
      <c r="H18" s="1206">
        <f>'Budget Tracker~Suivi'!H18</f>
        <v>0</v>
      </c>
      <c r="I18" s="1205">
        <f>'Budget Tracker~Suivi'!I18</f>
        <v>0</v>
      </c>
      <c r="J18" s="1197"/>
      <c r="K18" s="1191"/>
      <c r="L18" s="12"/>
      <c r="M18" s="12"/>
      <c r="N18" s="12"/>
      <c r="O18" s="12"/>
      <c r="P18" s="12"/>
      <c r="Q18" s="12"/>
    </row>
    <row r="19" spans="1:17" ht="33" customHeight="1" thickTop="1" thickBot="1" x14ac:dyDescent="0.2">
      <c r="A19" s="12"/>
      <c r="B19" s="1590"/>
      <c r="C19" s="147">
        <f>'Jrnl Rev'!Z$6</f>
        <v>4060</v>
      </c>
      <c r="D19" s="1591"/>
      <c r="E19" s="501" t="str">
        <f>+'Jrnl Rev'!Z8</f>
        <v>Non-Tax Receipt - Other Donations</v>
      </c>
      <c r="F19" s="534">
        <f>'Budget Tracker~Suivi'!F19</f>
        <v>0</v>
      </c>
      <c r="G19" s="1591"/>
      <c r="H19" s="1206">
        <f>'Budget Tracker~Suivi'!H19</f>
        <v>0</v>
      </c>
      <c r="I19" s="1205">
        <f>'Budget Tracker~Suivi'!I19</f>
        <v>0</v>
      </c>
      <c r="J19" s="1197"/>
      <c r="K19" s="1191"/>
      <c r="L19" s="12"/>
      <c r="M19" s="12"/>
      <c r="N19" s="12"/>
      <c r="O19" s="12"/>
      <c r="P19" s="12"/>
      <c r="Q19" s="12"/>
    </row>
    <row r="20" spans="1:17" ht="33" customHeight="1" thickTop="1" thickBot="1" x14ac:dyDescent="0.2">
      <c r="A20" s="12"/>
      <c r="B20" s="1590"/>
      <c r="C20" s="147">
        <f>'Jrnl Rev'!AA$6</f>
        <v>4070</v>
      </c>
      <c r="D20" s="1591"/>
      <c r="E20" s="501" t="str">
        <f>+'Jrnl Rev'!AA8</f>
        <v>Tax Receipt - Other Donations</v>
      </c>
      <c r="F20" s="534">
        <f>'Budget Tracker~Suivi'!F20</f>
        <v>0</v>
      </c>
      <c r="G20" s="1591"/>
      <c r="H20" s="1206">
        <f>'Budget Tracker~Suivi'!H20</f>
        <v>0</v>
      </c>
      <c r="I20" s="1205">
        <f>'Budget Tracker~Suivi'!I20</f>
        <v>0</v>
      </c>
      <c r="J20" s="1197"/>
      <c r="K20" s="1191"/>
      <c r="L20" s="12"/>
      <c r="M20" s="12"/>
      <c r="N20" s="12"/>
      <c r="O20" s="12"/>
      <c r="P20" s="12"/>
      <c r="Q20" s="12"/>
    </row>
    <row r="21" spans="1:17" ht="33" customHeight="1" thickTop="1" thickBot="1" x14ac:dyDescent="0.2">
      <c r="A21" s="12"/>
      <c r="B21" s="1590"/>
      <c r="C21" s="147">
        <f>'Jrnl Rev'!AB$6</f>
        <v>4080</v>
      </c>
      <c r="D21" s="1591"/>
      <c r="E21" s="501" t="str">
        <f>+'Jrnl Rev'!AB8</f>
        <v>Disponible ~ Available</v>
      </c>
      <c r="F21" s="534">
        <f>'Budget Tracker~Suivi'!F21</f>
        <v>0</v>
      </c>
      <c r="G21" s="1591"/>
      <c r="H21" s="1206">
        <f>'Budget Tracker~Suivi'!H21</f>
        <v>0</v>
      </c>
      <c r="I21" s="1205">
        <f>'Budget Tracker~Suivi'!I21</f>
        <v>0</v>
      </c>
      <c r="J21" s="1197"/>
      <c r="K21" s="1191"/>
      <c r="L21" s="12"/>
      <c r="M21" s="12"/>
      <c r="N21" s="12"/>
      <c r="O21" s="12"/>
      <c r="P21" s="12"/>
      <c r="Q21" s="12"/>
    </row>
    <row r="22" spans="1:17" ht="33" customHeight="1" thickTop="1" thickBot="1" x14ac:dyDescent="0.2">
      <c r="A22" s="12"/>
      <c r="B22" s="1590"/>
      <c r="C22" s="536">
        <f>'Jrnl Rev'!AC$6</f>
        <v>4090</v>
      </c>
      <c r="D22" s="1591"/>
      <c r="E22" s="537" t="str">
        <f>+'Jrnl Rev'!AC8</f>
        <v>Disponible ~ Available</v>
      </c>
      <c r="F22" s="534">
        <f>'Budget Tracker~Suivi'!F22</f>
        <v>0</v>
      </c>
      <c r="G22" s="1591"/>
      <c r="H22" s="1208">
        <f>'Budget Tracker~Suivi'!H22</f>
        <v>0</v>
      </c>
      <c r="I22" s="1209">
        <f>'Budget Tracker~Suivi'!I22</f>
        <v>0</v>
      </c>
      <c r="J22" s="1199"/>
      <c r="K22" s="1192"/>
      <c r="L22" s="12"/>
      <c r="M22" s="12"/>
      <c r="N22" s="12"/>
      <c r="O22" s="12"/>
      <c r="P22" s="12"/>
      <c r="Q22" s="12"/>
    </row>
    <row r="23" spans="1:17" ht="33" customHeight="1" thickTop="1" thickBot="1" x14ac:dyDescent="0.2">
      <c r="A23" s="12"/>
      <c r="B23" s="1590" t="str">
        <f>CONCATENATE('Jrnl Rev'!AD4," - ",'Jrnl Rev'!AD5)</f>
        <v>4200 - Gaming &amp; Lotteries Fundraising</v>
      </c>
      <c r="C23" s="522">
        <f>'Jrnl Rev'!AD$6</f>
        <v>4210</v>
      </c>
      <c r="D23" s="1574"/>
      <c r="E23" s="523" t="str">
        <f>+'Jrnl Rev'!AD8</f>
        <v>Disponible ~ Available</v>
      </c>
      <c r="F23" s="524">
        <f>'Budget Tracker~Suivi'!F23</f>
        <v>0</v>
      </c>
      <c r="G23" s="1574"/>
      <c r="H23" s="1201">
        <f>'Budget Tracker~Suivi'!H23</f>
        <v>0</v>
      </c>
      <c r="I23" s="1202">
        <f>'Budget Tracker~Suivi'!I23</f>
        <v>0</v>
      </c>
      <c r="J23" s="1195"/>
      <c r="K23" s="1193"/>
      <c r="L23" s="12"/>
      <c r="M23" s="12"/>
      <c r="N23" s="12"/>
      <c r="O23" s="12"/>
      <c r="P23" s="12"/>
      <c r="Q23" s="12"/>
    </row>
    <row r="24" spans="1:17" ht="33" customHeight="1" thickTop="1" thickBot="1" x14ac:dyDescent="0.2">
      <c r="A24" s="539"/>
      <c r="B24" s="1590"/>
      <c r="C24" s="147">
        <f>'Jrnl Rev'!AE$6</f>
        <v>4220</v>
      </c>
      <c r="D24" s="1574"/>
      <c r="E24" s="501" t="str">
        <f>+'Jrnl Rev'!AE8</f>
        <v>Disponible ~ Available</v>
      </c>
      <c r="F24" s="540">
        <f>'Budget Tracker~Suivi'!F24</f>
        <v>0</v>
      </c>
      <c r="G24" s="1574"/>
      <c r="H24" s="1206">
        <f>'Budget Tracker~Suivi'!H24</f>
        <v>0</v>
      </c>
      <c r="I24" s="1205">
        <f>'Budget Tracker~Suivi'!I24</f>
        <v>0</v>
      </c>
      <c r="J24" s="1197"/>
      <c r="K24" s="1191"/>
      <c r="L24" s="12"/>
      <c r="M24" s="12"/>
      <c r="N24" s="12"/>
      <c r="O24" s="12"/>
      <c r="P24" s="12"/>
      <c r="Q24" s="12"/>
    </row>
    <row r="25" spans="1:17" ht="33" customHeight="1" thickTop="1" thickBot="1" x14ac:dyDescent="0.2">
      <c r="A25" s="539"/>
      <c r="B25" s="1590"/>
      <c r="C25" s="147">
        <f>'Jrnl Rev'!AF$6</f>
        <v>4230</v>
      </c>
      <c r="D25" s="1574"/>
      <c r="E25" s="501" t="str">
        <f>+'Jrnl Rev'!AF8</f>
        <v>Disponible ~ Available</v>
      </c>
      <c r="F25" s="540">
        <f>'Budget Tracker~Suivi'!F25</f>
        <v>0</v>
      </c>
      <c r="G25" s="1574"/>
      <c r="H25" s="1206">
        <f>'Budget Tracker~Suivi'!H25</f>
        <v>0</v>
      </c>
      <c r="I25" s="1205">
        <f>'Budget Tracker~Suivi'!I25</f>
        <v>0</v>
      </c>
      <c r="J25" s="1197"/>
      <c r="K25" s="1191"/>
      <c r="L25" s="12"/>
      <c r="M25" s="12"/>
      <c r="N25" s="12"/>
      <c r="O25" s="12"/>
      <c r="P25" s="12"/>
      <c r="Q25" s="12"/>
    </row>
    <row r="26" spans="1:17" ht="33" customHeight="1" thickTop="1" thickBot="1" x14ac:dyDescent="0.2">
      <c r="A26" s="539"/>
      <c r="B26" s="1590"/>
      <c r="C26" s="147">
        <f>'Jrnl Rev'!AG$6</f>
        <v>4240</v>
      </c>
      <c r="D26" s="1574"/>
      <c r="E26" s="501" t="str">
        <f>+'Jrnl Rev'!AG8</f>
        <v>Disponible ~ Available</v>
      </c>
      <c r="F26" s="540">
        <f>'Budget Tracker~Suivi'!F26</f>
        <v>0</v>
      </c>
      <c r="G26" s="1574"/>
      <c r="H26" s="1206">
        <f>'Budget Tracker~Suivi'!H26</f>
        <v>0</v>
      </c>
      <c r="I26" s="1205">
        <f>'Budget Tracker~Suivi'!I26</f>
        <v>0</v>
      </c>
      <c r="J26" s="1197"/>
      <c r="K26" s="1191"/>
      <c r="L26" s="12"/>
      <c r="M26" s="12"/>
      <c r="N26" s="12"/>
      <c r="O26" s="12"/>
      <c r="P26" s="12"/>
      <c r="Q26" s="12"/>
    </row>
    <row r="27" spans="1:17" ht="33" customHeight="1" thickTop="1" thickBot="1" x14ac:dyDescent="0.2">
      <c r="A27" s="539"/>
      <c r="B27" s="1590"/>
      <c r="C27" s="147">
        <f>'Jrnl Rev'!AH$6</f>
        <v>4250</v>
      </c>
      <c r="D27" s="1574"/>
      <c r="E27" s="501" t="str">
        <f>+'Jrnl Rev'!AH8</f>
        <v>Disponible ~ Available</v>
      </c>
      <c r="F27" s="540">
        <f>'Budget Tracker~Suivi'!F27</f>
        <v>0</v>
      </c>
      <c r="G27" s="1574"/>
      <c r="H27" s="1206">
        <f>'Budget Tracker~Suivi'!H27</f>
        <v>0</v>
      </c>
      <c r="I27" s="1205">
        <f>'Budget Tracker~Suivi'!I27</f>
        <v>0</v>
      </c>
      <c r="J27" s="1197"/>
      <c r="K27" s="1191"/>
      <c r="L27" s="12"/>
      <c r="M27" s="12"/>
      <c r="N27" s="12"/>
      <c r="O27" s="12"/>
      <c r="P27" s="12"/>
      <c r="Q27" s="12"/>
    </row>
    <row r="28" spans="1:17" ht="33" customHeight="1" thickTop="1" thickBot="1" x14ac:dyDescent="0.2">
      <c r="A28" s="539"/>
      <c r="B28" s="1590"/>
      <c r="C28" s="147">
        <f>'Jrnl Rev'!AI$6</f>
        <v>4260</v>
      </c>
      <c r="D28" s="1574"/>
      <c r="E28" s="501" t="str">
        <f>+'Jrnl Rev'!AI8</f>
        <v>Disponible ~ Available</v>
      </c>
      <c r="F28" s="540">
        <f>'Budget Tracker~Suivi'!F28</f>
        <v>0</v>
      </c>
      <c r="G28" s="1574"/>
      <c r="H28" s="1206">
        <f>'Budget Tracker~Suivi'!H28</f>
        <v>0</v>
      </c>
      <c r="I28" s="1205">
        <f>'Budget Tracker~Suivi'!I28</f>
        <v>0</v>
      </c>
      <c r="J28" s="1197"/>
      <c r="K28" s="1191"/>
      <c r="L28" s="12"/>
      <c r="M28" s="12"/>
      <c r="N28" s="12"/>
      <c r="O28" s="12"/>
      <c r="P28" s="12"/>
      <c r="Q28" s="12"/>
    </row>
    <row r="29" spans="1:17" ht="33" customHeight="1" thickTop="1" thickBot="1" x14ac:dyDescent="0.2">
      <c r="A29" s="539"/>
      <c r="B29" s="1590"/>
      <c r="C29" s="147">
        <f>'Jrnl Rev'!AJ$6</f>
        <v>4270</v>
      </c>
      <c r="D29" s="1574"/>
      <c r="E29" s="501" t="str">
        <f>+'Jrnl Rev'!AJ8</f>
        <v>Disponible ~ Available</v>
      </c>
      <c r="F29" s="540">
        <f>'Budget Tracker~Suivi'!F29</f>
        <v>0</v>
      </c>
      <c r="G29" s="1574"/>
      <c r="H29" s="1206">
        <f>'Budget Tracker~Suivi'!H29</f>
        <v>0</v>
      </c>
      <c r="I29" s="1205">
        <f>'Budget Tracker~Suivi'!I29</f>
        <v>0</v>
      </c>
      <c r="J29" s="1197"/>
      <c r="K29" s="1191"/>
      <c r="L29" s="12"/>
      <c r="M29" s="12"/>
      <c r="N29" s="12"/>
      <c r="O29" s="12"/>
      <c r="P29" s="12"/>
      <c r="Q29" s="12"/>
    </row>
    <row r="30" spans="1:17" ht="33" customHeight="1" thickTop="1" thickBot="1" x14ac:dyDescent="0.2">
      <c r="A30" s="539"/>
      <c r="B30" s="1590"/>
      <c r="C30" s="147">
        <f>'Jrnl Rev'!AK$6</f>
        <v>4280</v>
      </c>
      <c r="D30" s="1574"/>
      <c r="E30" s="501" t="str">
        <f>+'Jrnl Rev'!AK8</f>
        <v>Disponible ~ Available</v>
      </c>
      <c r="F30" s="540">
        <f>'Budget Tracker~Suivi'!F30</f>
        <v>0</v>
      </c>
      <c r="G30" s="1574"/>
      <c r="H30" s="1206">
        <f>'Budget Tracker~Suivi'!H30</f>
        <v>0</v>
      </c>
      <c r="I30" s="1205">
        <f>'Budget Tracker~Suivi'!I30</f>
        <v>0</v>
      </c>
      <c r="J30" s="1197"/>
      <c r="K30" s="1191"/>
      <c r="L30" s="12"/>
      <c r="M30" s="12"/>
      <c r="N30" s="12"/>
      <c r="O30" s="12"/>
      <c r="P30" s="12"/>
      <c r="Q30" s="12"/>
    </row>
    <row r="31" spans="1:17" ht="33" customHeight="1" thickTop="1" thickBot="1" x14ac:dyDescent="0.2">
      <c r="A31" s="539"/>
      <c r="B31" s="1590"/>
      <c r="C31" s="536">
        <f>'Jrnl Rev'!AL$6</f>
        <v>4290</v>
      </c>
      <c r="D31" s="1574"/>
      <c r="E31" s="537" t="str">
        <f>+'Jrnl Rev'!AL8</f>
        <v>Disponible ~ Available</v>
      </c>
      <c r="F31" s="538">
        <f>'Budget Tracker~Suivi'!F31</f>
        <v>0</v>
      </c>
      <c r="G31" s="1574"/>
      <c r="H31" s="1208">
        <f>'Budget Tracker~Suivi'!H31</f>
        <v>0</v>
      </c>
      <c r="I31" s="1209">
        <f>'Budget Tracker~Suivi'!I31</f>
        <v>0</v>
      </c>
      <c r="J31" s="1199"/>
      <c r="K31" s="1192"/>
      <c r="L31" s="12"/>
      <c r="M31" s="12"/>
      <c r="N31" s="12"/>
      <c r="O31" s="12"/>
      <c r="P31" s="12"/>
      <c r="Q31" s="12"/>
    </row>
    <row r="32" spans="1:17" ht="33" customHeight="1" thickTop="1" thickBot="1" x14ac:dyDescent="0.2">
      <c r="A32" s="12"/>
      <c r="B32" s="1590" t="str">
        <f>CONCATENATE('Jrnl Rev'!AM4," - ",'Jrnl Rev'!AM5)</f>
        <v>4400 - Other Fundraising</v>
      </c>
      <c r="C32" s="522">
        <f>'Jrnl Rev'!AM$6</f>
        <v>4410</v>
      </c>
      <c r="D32" s="1574"/>
      <c r="E32" s="523" t="str">
        <f>+'Jrnl Rev'!AM8</f>
        <v>Disponible ~ Available</v>
      </c>
      <c r="F32" s="524">
        <f>'Budget Tracker~Suivi'!F32</f>
        <v>0</v>
      </c>
      <c r="G32" s="1574"/>
      <c r="H32" s="1201">
        <f>'Budget Tracker~Suivi'!H32</f>
        <v>0</v>
      </c>
      <c r="I32" s="1202">
        <f>'Budget Tracker~Suivi'!I32</f>
        <v>0</v>
      </c>
      <c r="J32" s="1195"/>
      <c r="K32" s="1193"/>
      <c r="L32" s="12"/>
      <c r="M32" s="12"/>
      <c r="N32" s="12"/>
      <c r="O32" s="12"/>
      <c r="P32" s="12"/>
      <c r="Q32" s="12"/>
    </row>
    <row r="33" spans="1:17" ht="33" customHeight="1" thickTop="1" thickBot="1" x14ac:dyDescent="0.2">
      <c r="A33" s="12"/>
      <c r="B33" s="1590"/>
      <c r="C33" s="147">
        <f>'Jrnl Rev'!AN$6</f>
        <v>4420</v>
      </c>
      <c r="D33" s="1574"/>
      <c r="E33" s="501" t="str">
        <f>+'Jrnl Rev'!AN8</f>
        <v>Disponible ~ Available</v>
      </c>
      <c r="F33" s="540">
        <f>'Budget Tracker~Suivi'!F33</f>
        <v>0</v>
      </c>
      <c r="G33" s="1574"/>
      <c r="H33" s="1206">
        <f>'Budget Tracker~Suivi'!H33</f>
        <v>0</v>
      </c>
      <c r="I33" s="1205">
        <f>'Budget Tracker~Suivi'!I33</f>
        <v>0</v>
      </c>
      <c r="J33" s="1197"/>
      <c r="K33" s="1191"/>
      <c r="L33" s="12"/>
      <c r="M33" s="12"/>
      <c r="N33" s="12"/>
      <c r="O33" s="12"/>
      <c r="P33" s="12"/>
      <c r="Q33" s="12"/>
    </row>
    <row r="34" spans="1:17" ht="33" customHeight="1" thickTop="1" thickBot="1" x14ac:dyDescent="0.2">
      <c r="A34" s="12"/>
      <c r="B34" s="1590"/>
      <c r="C34" s="147">
        <f>'Jrnl Rev'!AO$6</f>
        <v>4430</v>
      </c>
      <c r="D34" s="1574"/>
      <c r="E34" s="501" t="str">
        <f>+'Jrnl Rev'!AO8</f>
        <v>Disponible ~ Available</v>
      </c>
      <c r="F34" s="540">
        <f>'Budget Tracker~Suivi'!F34</f>
        <v>0</v>
      </c>
      <c r="G34" s="1574"/>
      <c r="H34" s="1206">
        <f>'Budget Tracker~Suivi'!H34</f>
        <v>0</v>
      </c>
      <c r="I34" s="1205">
        <f>'Budget Tracker~Suivi'!I34</f>
        <v>0</v>
      </c>
      <c r="J34" s="1197"/>
      <c r="K34" s="1191"/>
      <c r="L34" s="12"/>
      <c r="M34" s="12"/>
      <c r="N34" s="12"/>
      <c r="O34" s="12"/>
      <c r="P34" s="12"/>
      <c r="Q34" s="12"/>
    </row>
    <row r="35" spans="1:17" ht="33" customHeight="1" thickTop="1" thickBot="1" x14ac:dyDescent="0.2">
      <c r="A35" s="12"/>
      <c r="B35" s="1590"/>
      <c r="C35" s="147">
        <f>'Jrnl Rev'!AP$6</f>
        <v>4440</v>
      </c>
      <c r="D35" s="1574"/>
      <c r="E35" s="501" t="str">
        <f>+'Jrnl Rev'!AP8</f>
        <v>Disponible ~ Available</v>
      </c>
      <c r="F35" s="540">
        <f>'Budget Tracker~Suivi'!F35</f>
        <v>0</v>
      </c>
      <c r="G35" s="1574"/>
      <c r="H35" s="1206">
        <f>'Budget Tracker~Suivi'!H35</f>
        <v>0</v>
      </c>
      <c r="I35" s="1205">
        <f>'Budget Tracker~Suivi'!I35</f>
        <v>0</v>
      </c>
      <c r="J35" s="1197"/>
      <c r="K35" s="1191"/>
      <c r="L35" s="12"/>
      <c r="M35" s="12"/>
      <c r="N35" s="12"/>
      <c r="O35" s="12"/>
      <c r="P35" s="12"/>
      <c r="Q35" s="12"/>
    </row>
    <row r="36" spans="1:17" ht="33" customHeight="1" thickTop="1" thickBot="1" x14ac:dyDescent="0.2">
      <c r="A36" s="12"/>
      <c r="B36" s="1590"/>
      <c r="C36" s="147">
        <f>'Jrnl Rev'!AQ$6</f>
        <v>4450</v>
      </c>
      <c r="D36" s="1574"/>
      <c r="E36" s="501" t="str">
        <f>+'Jrnl Rev'!AQ8</f>
        <v>Disponible ~ Available</v>
      </c>
      <c r="F36" s="540">
        <f>'Budget Tracker~Suivi'!F36</f>
        <v>0</v>
      </c>
      <c r="G36" s="1574"/>
      <c r="H36" s="1206">
        <f>'Budget Tracker~Suivi'!H36</f>
        <v>0</v>
      </c>
      <c r="I36" s="1205">
        <f>'Budget Tracker~Suivi'!I36</f>
        <v>0</v>
      </c>
      <c r="J36" s="1197"/>
      <c r="K36" s="1191"/>
      <c r="L36" s="12"/>
      <c r="M36" s="12"/>
      <c r="N36" s="12"/>
      <c r="O36" s="12"/>
      <c r="P36" s="12"/>
      <c r="Q36" s="12"/>
    </row>
    <row r="37" spans="1:17" ht="33" customHeight="1" thickTop="1" thickBot="1" x14ac:dyDescent="0.2">
      <c r="A37" s="12"/>
      <c r="B37" s="1590"/>
      <c r="C37" s="147">
        <f>'Jrnl Rev'!AR$6</f>
        <v>4460</v>
      </c>
      <c r="D37" s="1574"/>
      <c r="E37" s="501" t="str">
        <f>+'Jrnl Rev'!AR8</f>
        <v>Disponible ~ Available</v>
      </c>
      <c r="F37" s="540">
        <f>'Budget Tracker~Suivi'!F37</f>
        <v>0</v>
      </c>
      <c r="G37" s="1574"/>
      <c r="H37" s="1206">
        <f>'Budget Tracker~Suivi'!H37</f>
        <v>0</v>
      </c>
      <c r="I37" s="1205">
        <f>'Budget Tracker~Suivi'!I37</f>
        <v>0</v>
      </c>
      <c r="J37" s="1197"/>
      <c r="K37" s="1191"/>
      <c r="L37" s="12"/>
      <c r="M37" s="12"/>
      <c r="N37" s="12"/>
      <c r="O37" s="12"/>
      <c r="P37" s="12"/>
      <c r="Q37" s="12"/>
    </row>
    <row r="38" spans="1:17" ht="33" customHeight="1" thickTop="1" thickBot="1" x14ac:dyDescent="0.2">
      <c r="A38" s="12"/>
      <c r="B38" s="1590"/>
      <c r="C38" s="147">
        <f>'Jrnl Rev'!AS$6</f>
        <v>4470</v>
      </c>
      <c r="D38" s="1574"/>
      <c r="E38" s="501" t="str">
        <f>+'Jrnl Rev'!AS$8</f>
        <v>Disponible ~ Available</v>
      </c>
      <c r="F38" s="540">
        <f>'Budget Tracker~Suivi'!F38</f>
        <v>0</v>
      </c>
      <c r="G38" s="1574"/>
      <c r="H38" s="1206">
        <f>'Budget Tracker~Suivi'!H38</f>
        <v>0</v>
      </c>
      <c r="I38" s="1205">
        <f>'Budget Tracker~Suivi'!I38</f>
        <v>0</v>
      </c>
      <c r="J38" s="1197"/>
      <c r="K38" s="1191"/>
      <c r="L38" s="12"/>
      <c r="M38" s="12"/>
      <c r="N38" s="12"/>
      <c r="O38" s="12"/>
      <c r="P38" s="12"/>
      <c r="Q38" s="12"/>
    </row>
    <row r="39" spans="1:17" ht="33" customHeight="1" thickTop="1" thickBot="1" x14ac:dyDescent="0.2">
      <c r="A39" s="12"/>
      <c r="B39" s="1590"/>
      <c r="C39" s="147">
        <f>'Jrnl Rev'!AT$6</f>
        <v>4480</v>
      </c>
      <c r="D39" s="1574"/>
      <c r="E39" s="501" t="str">
        <f>+'Jrnl Rev'!AT$8</f>
        <v>Disponible ~ Available</v>
      </c>
      <c r="F39" s="540">
        <f>'Budget Tracker~Suivi'!F39</f>
        <v>0</v>
      </c>
      <c r="G39" s="1574"/>
      <c r="H39" s="1206">
        <f>'Budget Tracker~Suivi'!H39</f>
        <v>0</v>
      </c>
      <c r="I39" s="1205">
        <f>'Budget Tracker~Suivi'!I39</f>
        <v>0</v>
      </c>
      <c r="J39" s="1197"/>
      <c r="K39" s="1191"/>
      <c r="L39" s="12"/>
      <c r="M39" s="12"/>
      <c r="N39" s="12"/>
      <c r="O39" s="12"/>
      <c r="P39" s="12"/>
      <c r="Q39" s="12"/>
    </row>
    <row r="40" spans="1:17" ht="33" customHeight="1" thickTop="1" thickBot="1" x14ac:dyDescent="0.2">
      <c r="A40" s="12"/>
      <c r="B40" s="1590"/>
      <c r="C40" s="541">
        <f>'Jrnl Rev'!AU$6</f>
        <v>4490</v>
      </c>
      <c r="D40" s="1574"/>
      <c r="E40" s="542" t="str">
        <f>+'Jrnl Rev'!AU$8</f>
        <v>Disponible ~ Available</v>
      </c>
      <c r="F40" s="538">
        <f>'Budget Tracker~Suivi'!F40</f>
        <v>0</v>
      </c>
      <c r="G40" s="1574"/>
      <c r="H40" s="1208">
        <f>'Budget Tracker~Suivi'!H40</f>
        <v>0</v>
      </c>
      <c r="I40" s="1209">
        <f>'Budget Tracker~Suivi'!I40</f>
        <v>0</v>
      </c>
      <c r="J40" s="1199"/>
      <c r="K40" s="1192"/>
      <c r="L40" s="12"/>
      <c r="M40" s="12"/>
      <c r="N40" s="12"/>
      <c r="O40" s="12"/>
      <c r="P40" s="12"/>
      <c r="Q40" s="12"/>
    </row>
    <row r="41" spans="1:17" ht="33" customHeight="1" thickTop="1" thickBot="1" x14ac:dyDescent="0.2">
      <c r="A41" s="12"/>
      <c r="B41" s="1590" t="str">
        <f>CONCATENATE('Jrnl Rev'!AV4," - ",'Jrnl Rev'!AV5)</f>
        <v>4600 - Misc Revenues (Other than Gov't)</v>
      </c>
      <c r="C41" s="522">
        <f>'Jrnl Rev'!AV$6</f>
        <v>4610</v>
      </c>
      <c r="D41" s="1574"/>
      <c r="E41" s="523" t="str">
        <f>+'Jrnl Rev'!AV8</f>
        <v>Money Collected for Activities</v>
      </c>
      <c r="F41" s="524" t="str">
        <f>'Budget Tracker~Suivi'!F41</f>
        <v>Received from cadets for a specific activity</v>
      </c>
      <c r="G41" s="1574"/>
      <c r="H41" s="1201">
        <f>'Budget Tracker~Suivi'!H41</f>
        <v>0</v>
      </c>
      <c r="I41" s="1202">
        <f>'Budget Tracker~Suivi'!I41</f>
        <v>0</v>
      </c>
      <c r="J41" s="1195"/>
      <c r="K41" s="1193"/>
      <c r="L41" s="12"/>
      <c r="M41" s="12"/>
      <c r="N41" s="12"/>
      <c r="O41" s="12"/>
      <c r="P41" s="12"/>
      <c r="Q41" s="12"/>
    </row>
    <row r="42" spans="1:17" ht="33" customHeight="1" thickTop="1" thickBot="1" x14ac:dyDescent="0.2">
      <c r="A42" s="12"/>
      <c r="B42" s="1590"/>
      <c r="C42" s="147">
        <f>'Jrnl Rev'!AW$6</f>
        <v>4620</v>
      </c>
      <c r="D42" s="1574"/>
      <c r="E42" s="501" t="str">
        <f>+'Jrnl Rev'!AW8</f>
        <v>Refunds</v>
      </c>
      <c r="F42" s="540" t="str">
        <f>'Budget Tracker~Suivi'!F42</f>
        <v>If the reimbursement is not related to a specific activity</v>
      </c>
      <c r="G42" s="1574"/>
      <c r="H42" s="1206">
        <f>'Budget Tracker~Suivi'!H42</f>
        <v>0</v>
      </c>
      <c r="I42" s="1205">
        <f>'Budget Tracker~Suivi'!I42</f>
        <v>0</v>
      </c>
      <c r="J42" s="1197"/>
      <c r="K42" s="1191"/>
      <c r="L42" s="12"/>
      <c r="M42" s="12"/>
      <c r="N42" s="12"/>
      <c r="O42" s="12"/>
      <c r="P42" s="12"/>
      <c r="Q42" s="12"/>
    </row>
    <row r="43" spans="1:17" ht="33" customHeight="1" thickTop="1" thickBot="1" x14ac:dyDescent="0.2">
      <c r="A43" s="12"/>
      <c r="B43" s="1590"/>
      <c r="C43" s="147">
        <f>'Jrnl Rev'!AX$6</f>
        <v>4630</v>
      </c>
      <c r="D43" s="1574"/>
      <c r="E43" s="501" t="str">
        <f>+'Jrnl Rev'!AX8</f>
        <v>Canteen Proceeds</v>
      </c>
      <c r="F43" s="540">
        <f>'Budget Tracker~Suivi'!F43</f>
        <v>0</v>
      </c>
      <c r="G43" s="1574"/>
      <c r="H43" s="1206">
        <f>'Budget Tracker~Suivi'!H43</f>
        <v>0</v>
      </c>
      <c r="I43" s="1205">
        <f>'Budget Tracker~Suivi'!I43</f>
        <v>0</v>
      </c>
      <c r="J43" s="1197"/>
      <c r="K43" s="1191"/>
      <c r="L43" s="12"/>
      <c r="M43" s="12"/>
      <c r="N43" s="12"/>
      <c r="O43" s="12"/>
      <c r="P43" s="12"/>
      <c r="Q43" s="12"/>
    </row>
    <row r="44" spans="1:17" ht="33" customHeight="1" thickTop="1" thickBot="1" x14ac:dyDescent="0.2">
      <c r="A44" s="12"/>
      <c r="B44" s="1590"/>
      <c r="C44" s="147">
        <f>'Jrnl Rev'!AY$6</f>
        <v>4640</v>
      </c>
      <c r="D44" s="1574"/>
      <c r="E44" s="501" t="str">
        <f>+'Jrnl Rev'!AY8</f>
        <v>Bank &amp; Investments Interest/Income</v>
      </c>
      <c r="F44" s="540">
        <f>'Budget Tracker~Suivi'!F44</f>
        <v>0</v>
      </c>
      <c r="G44" s="1574"/>
      <c r="H44" s="1206">
        <f>'Budget Tracker~Suivi'!H44</f>
        <v>0</v>
      </c>
      <c r="I44" s="1205">
        <f>'Budget Tracker~Suivi'!I44</f>
        <v>0</v>
      </c>
      <c r="J44" s="1197"/>
      <c r="K44" s="1191"/>
      <c r="L44" s="12"/>
      <c r="M44" s="12"/>
      <c r="N44" s="12"/>
      <c r="O44" s="12"/>
      <c r="P44" s="12"/>
      <c r="Q44" s="12"/>
    </row>
    <row r="45" spans="1:17" ht="33" customHeight="1" thickTop="1" thickBot="1" x14ac:dyDescent="0.2">
      <c r="A45" s="12"/>
      <c r="B45" s="1590"/>
      <c r="C45" s="147">
        <f>'Jrnl Rev'!AZ$6</f>
        <v>4650</v>
      </c>
      <c r="D45" s="1574"/>
      <c r="E45" s="501" t="str">
        <f>+'Jrnl Rev'!AZ8</f>
        <v>Misc Revenue</v>
      </c>
      <c r="F45" s="540">
        <f>'Budget Tracker~Suivi'!F45</f>
        <v>0</v>
      </c>
      <c r="G45" s="1574"/>
      <c r="H45" s="1206">
        <f>'Budget Tracker~Suivi'!H45</f>
        <v>0</v>
      </c>
      <c r="I45" s="1205">
        <f>'Budget Tracker~Suivi'!I45</f>
        <v>0</v>
      </c>
      <c r="J45" s="1197"/>
      <c r="K45" s="1191"/>
      <c r="L45" s="12"/>
      <c r="M45" s="12"/>
      <c r="N45" s="12"/>
      <c r="O45" s="12"/>
      <c r="P45" s="12"/>
      <c r="Q45" s="12"/>
    </row>
    <row r="46" spans="1:17" ht="33" customHeight="1" thickTop="1" thickBot="1" x14ac:dyDescent="0.2">
      <c r="A46" s="12"/>
      <c r="B46" s="1590"/>
      <c r="C46" s="147">
        <f>'Jrnl Rev'!BA$6</f>
        <v>4660</v>
      </c>
      <c r="D46" s="1574"/>
      <c r="E46" s="501" t="str">
        <f>+'Jrnl Rev'!BA8</f>
        <v>Disponible ~ Available</v>
      </c>
      <c r="F46" s="540">
        <f>'Budget Tracker~Suivi'!F46</f>
        <v>0</v>
      </c>
      <c r="G46" s="1574"/>
      <c r="H46" s="1206">
        <f>'Budget Tracker~Suivi'!H46</f>
        <v>0</v>
      </c>
      <c r="I46" s="1205">
        <f>'Budget Tracker~Suivi'!I46</f>
        <v>0</v>
      </c>
      <c r="J46" s="1197"/>
      <c r="K46" s="1191"/>
      <c r="L46" s="12"/>
      <c r="M46" s="12"/>
      <c r="N46" s="12"/>
      <c r="O46" s="12"/>
      <c r="P46" s="12"/>
      <c r="Q46" s="12"/>
    </row>
    <row r="47" spans="1:17" ht="33" customHeight="1" thickTop="1" thickBot="1" x14ac:dyDescent="0.2">
      <c r="A47" s="12"/>
      <c r="B47" s="1590"/>
      <c r="C47" s="147">
        <f>'Jrnl Rev'!BB$6</f>
        <v>4670</v>
      </c>
      <c r="D47" s="1574"/>
      <c r="E47" s="501" t="str">
        <f>+'Jrnl Rev'!BB8</f>
        <v>Disponible ~ Available</v>
      </c>
      <c r="F47" s="540">
        <f>'Budget Tracker~Suivi'!F47</f>
        <v>0</v>
      </c>
      <c r="G47" s="1574"/>
      <c r="H47" s="1206">
        <f>'Budget Tracker~Suivi'!H47</f>
        <v>0</v>
      </c>
      <c r="I47" s="1205">
        <f>'Budget Tracker~Suivi'!I47</f>
        <v>0</v>
      </c>
      <c r="J47" s="1197"/>
      <c r="K47" s="1191"/>
      <c r="L47" s="12"/>
      <c r="M47" s="12"/>
      <c r="N47" s="12"/>
      <c r="O47" s="12"/>
      <c r="P47" s="12"/>
      <c r="Q47" s="12"/>
    </row>
    <row r="48" spans="1:17" ht="33" customHeight="1" thickTop="1" thickBot="1" x14ac:dyDescent="0.2">
      <c r="A48" s="12"/>
      <c r="B48" s="1590"/>
      <c r="C48" s="147">
        <f>'Jrnl Rev'!BC$6</f>
        <v>4680</v>
      </c>
      <c r="D48" s="1574"/>
      <c r="E48" s="501" t="str">
        <f>+'Jrnl Rev'!BC8</f>
        <v>Disponible ~ Available</v>
      </c>
      <c r="F48" s="540">
        <f>'Budget Tracker~Suivi'!F48</f>
        <v>0</v>
      </c>
      <c r="G48" s="1574"/>
      <c r="H48" s="1206">
        <f>'Budget Tracker~Suivi'!H48</f>
        <v>0</v>
      </c>
      <c r="I48" s="1205">
        <f>'Budget Tracker~Suivi'!I48</f>
        <v>0</v>
      </c>
      <c r="J48" s="1197"/>
      <c r="K48" s="1191"/>
      <c r="L48" s="12"/>
      <c r="M48" s="12"/>
      <c r="N48" s="12"/>
      <c r="O48" s="12"/>
      <c r="P48" s="12"/>
      <c r="Q48" s="12"/>
    </row>
    <row r="49" spans="1:17" ht="33" customHeight="1" thickTop="1" thickBot="1" x14ac:dyDescent="0.2">
      <c r="A49" s="12"/>
      <c r="B49" s="1590"/>
      <c r="C49" s="541">
        <f>'Jrnl Rev'!BD$6</f>
        <v>4690</v>
      </c>
      <c r="D49" s="1574"/>
      <c r="E49" s="542" t="str">
        <f>+'Jrnl Rev'!BD8</f>
        <v>Disponible ~ Available</v>
      </c>
      <c r="F49" s="538">
        <f>'Budget Tracker~Suivi'!F49</f>
        <v>0</v>
      </c>
      <c r="G49" s="1574"/>
      <c r="H49" s="1208">
        <f>'Budget Tracker~Suivi'!H49</f>
        <v>0</v>
      </c>
      <c r="I49" s="1209">
        <f>'Budget Tracker~Suivi'!I49</f>
        <v>0</v>
      </c>
      <c r="J49" s="1199"/>
      <c r="K49" s="1192"/>
      <c r="L49" s="12"/>
      <c r="M49" s="12"/>
      <c r="N49" s="12"/>
      <c r="O49" s="12"/>
      <c r="P49" s="12"/>
      <c r="Q49" s="12"/>
    </row>
    <row r="50" spans="1:17" ht="33" customHeight="1" thickTop="1" thickBot="1" x14ac:dyDescent="0.2">
      <c r="A50" s="12"/>
      <c r="B50" s="1590" t="str">
        <f>CONCATENATE('Jrnl Rev'!BE4," - ",'Jrnl Rev'!BE5)</f>
        <v>4800 - Funding &amp; Recoveries (Gov't)</v>
      </c>
      <c r="C50" s="522">
        <f>'Jrnl Rev'!BE$6</f>
        <v>4810</v>
      </c>
      <c r="D50" s="1574"/>
      <c r="E50" s="523" t="str">
        <f>+'Jrnl Rev'!BE$8</f>
        <v>DND Local Support Allocation (LSA)</v>
      </c>
      <c r="F50" s="524">
        <f>'Budget Tracker~Suivi'!F50</f>
        <v>0</v>
      </c>
      <c r="G50" s="1574"/>
      <c r="H50" s="1201">
        <f>'Budget Tracker~Suivi'!H50</f>
        <v>0</v>
      </c>
      <c r="I50" s="1202">
        <f>'Budget Tracker~Suivi'!I50</f>
        <v>0</v>
      </c>
      <c r="J50" s="1195"/>
      <c r="K50" s="1193"/>
      <c r="L50" s="12"/>
      <c r="M50" s="12"/>
      <c r="N50" s="12"/>
      <c r="O50" s="12"/>
      <c r="P50" s="12"/>
      <c r="Q50" s="12"/>
    </row>
    <row r="51" spans="1:17" ht="33" customHeight="1" thickTop="1" thickBot="1" x14ac:dyDescent="0.2">
      <c r="A51" s="12"/>
      <c r="B51" s="1590"/>
      <c r="C51" s="147">
        <f>'Jrnl Rev'!BF$6</f>
        <v>4820</v>
      </c>
      <c r="D51" s="1574"/>
      <c r="E51" s="501" t="str">
        <f>+'Jrnl Rev'!BF$8</f>
        <v>DND Allocation - Mandatory and Complementary Pgm (MCP)</v>
      </c>
      <c r="F51" s="540">
        <f>'Budget Tracker~Suivi'!F51</f>
        <v>0</v>
      </c>
      <c r="G51" s="1574"/>
      <c r="H51" s="1206">
        <f>'Budget Tracker~Suivi'!H51</f>
        <v>0</v>
      </c>
      <c r="I51" s="1205">
        <f>'Budget Tracker~Suivi'!I51</f>
        <v>0</v>
      </c>
      <c r="J51" s="1197"/>
      <c r="K51" s="1191"/>
      <c r="L51" s="12"/>
      <c r="M51" s="12"/>
      <c r="N51" s="12"/>
      <c r="O51" s="12"/>
      <c r="P51" s="12"/>
      <c r="Q51" s="12"/>
    </row>
    <row r="52" spans="1:17" ht="33" customHeight="1" thickTop="1" thickBot="1" x14ac:dyDescent="0.2">
      <c r="A52" s="12"/>
      <c r="B52" s="1590"/>
      <c r="C52" s="147">
        <f>'Jrnl Rev'!BG$6</f>
        <v>4830</v>
      </c>
      <c r="D52" s="1574"/>
      <c r="E52" s="501" t="str">
        <f>+'Jrnl Rev'!BG$8</f>
        <v>Federal Portion - Tax Rebate</v>
      </c>
      <c r="F52" s="540" t="str">
        <f>'Budget Tracker~Suivi'!F52</f>
        <v>Only for squadrons with a Charity status</v>
      </c>
      <c r="G52" s="1574"/>
      <c r="H52" s="1206">
        <f>'Budget Tracker~Suivi'!H52</f>
        <v>0</v>
      </c>
      <c r="I52" s="1205">
        <f>'Budget Tracker~Suivi'!I52</f>
        <v>0</v>
      </c>
      <c r="J52" s="1197"/>
      <c r="K52" s="1191"/>
      <c r="L52" s="12"/>
      <c r="M52" s="12"/>
      <c r="N52" s="12"/>
      <c r="O52" s="12"/>
      <c r="P52" s="12"/>
      <c r="Q52" s="12"/>
    </row>
    <row r="53" spans="1:17" ht="33" customHeight="1" thickTop="1" thickBot="1" x14ac:dyDescent="0.2">
      <c r="A53" s="12"/>
      <c r="B53" s="1590"/>
      <c r="C53" s="147">
        <f>'Jrnl Rev'!BH$6</f>
        <v>4835</v>
      </c>
      <c r="D53" s="1574"/>
      <c r="E53" s="501" t="str">
        <f>+'Jrnl Rev'!BH$8</f>
        <v>Disponible ~ Available</v>
      </c>
      <c r="F53" s="540">
        <f>'Budget Tracker~Suivi'!F53</f>
        <v>0</v>
      </c>
      <c r="G53" s="1574"/>
      <c r="H53" s="1206">
        <f>'Budget Tracker~Suivi'!H53</f>
        <v>0</v>
      </c>
      <c r="I53" s="1205">
        <f>'Budget Tracker~Suivi'!I53</f>
        <v>0</v>
      </c>
      <c r="J53" s="1197"/>
      <c r="K53" s="1191"/>
      <c r="L53" s="12"/>
      <c r="M53" s="12"/>
      <c r="N53" s="12"/>
      <c r="O53" s="12"/>
      <c r="P53" s="12"/>
      <c r="Q53" s="12"/>
    </row>
    <row r="54" spans="1:17" ht="33" customHeight="1" thickTop="1" thickBot="1" x14ac:dyDescent="0.2">
      <c r="A54" s="12"/>
      <c r="B54" s="1590"/>
      <c r="C54" s="147">
        <f>'Jrnl Rev'!BI$6</f>
        <v>4840</v>
      </c>
      <c r="D54" s="1574"/>
      <c r="E54" s="501" t="str">
        <f>+'Jrnl Rev'!BI8</f>
        <v>Governmental Grants - Provincial</v>
      </c>
      <c r="F54" s="540">
        <f>'Budget Tracker~Suivi'!F54</f>
        <v>0</v>
      </c>
      <c r="G54" s="1574"/>
      <c r="H54" s="1206">
        <f>'Budget Tracker~Suivi'!H54</f>
        <v>0</v>
      </c>
      <c r="I54" s="1205">
        <f>'Budget Tracker~Suivi'!I54</f>
        <v>0</v>
      </c>
      <c r="J54" s="1197"/>
      <c r="K54" s="1191"/>
      <c r="L54" s="12"/>
      <c r="M54" s="12"/>
      <c r="N54" s="12"/>
      <c r="O54" s="12"/>
      <c r="P54" s="12"/>
      <c r="Q54" s="12"/>
    </row>
    <row r="55" spans="1:17" ht="33" customHeight="1" thickTop="1" thickBot="1" x14ac:dyDescent="0.2">
      <c r="A55" s="12"/>
      <c r="B55" s="1590"/>
      <c r="C55" s="147">
        <f>'Jrnl Rev'!BJ6</f>
        <v>4850</v>
      </c>
      <c r="D55" s="1574"/>
      <c r="E55" s="501" t="str">
        <f>+'Jrnl Rev'!BJ8</f>
        <v>Provincial Portion - Tax Rebate</v>
      </c>
      <c r="F55" s="540" t="str">
        <f>'Budget Tracker~Suivi'!F55</f>
        <v>Only for squadrons with a Charity status</v>
      </c>
      <c r="G55" s="1574"/>
      <c r="H55" s="1206">
        <f>'Budget Tracker~Suivi'!H55</f>
        <v>0</v>
      </c>
      <c r="I55" s="1205">
        <f>'Budget Tracker~Suivi'!I55</f>
        <v>0</v>
      </c>
      <c r="J55" s="1197"/>
      <c r="K55" s="1191"/>
      <c r="L55" s="12"/>
      <c r="M55" s="12"/>
      <c r="N55" s="12"/>
      <c r="O55" s="12"/>
      <c r="P55" s="12"/>
      <c r="Q55" s="12"/>
    </row>
    <row r="56" spans="1:17" ht="33" customHeight="1" thickTop="1" thickBot="1" x14ac:dyDescent="0.2">
      <c r="A56" s="12"/>
      <c r="B56" s="1590"/>
      <c r="C56" s="147">
        <f>'Jrnl Rev'!BK6</f>
        <v>4860</v>
      </c>
      <c r="D56" s="1574"/>
      <c r="E56" s="501" t="str">
        <f>+'Jrnl Rev'!BK8</f>
        <v>Disponible ~ Available</v>
      </c>
      <c r="F56" s="540">
        <f>'Budget Tracker~Suivi'!F56</f>
        <v>0</v>
      </c>
      <c r="G56" s="1574"/>
      <c r="H56" s="1206">
        <f>'Budget Tracker~Suivi'!H56</f>
        <v>0</v>
      </c>
      <c r="I56" s="1205">
        <f>'Budget Tracker~Suivi'!I56</f>
        <v>0</v>
      </c>
      <c r="J56" s="1197"/>
      <c r="K56" s="1191"/>
      <c r="L56" s="12"/>
      <c r="M56" s="12"/>
      <c r="N56" s="12"/>
      <c r="O56" s="12"/>
      <c r="P56" s="12"/>
      <c r="Q56" s="12"/>
    </row>
    <row r="57" spans="1:17" ht="33" customHeight="1" thickTop="1" thickBot="1" x14ac:dyDescent="0.2">
      <c r="A57" s="12"/>
      <c r="B57" s="1590"/>
      <c r="C57" s="147">
        <f>'Jrnl Rev'!BL6</f>
        <v>4870</v>
      </c>
      <c r="D57" s="1574"/>
      <c r="E57" s="501" t="str">
        <f>+'Jrnl Rev'!BL8</f>
        <v>Governmental Grants - Regional/
Municipal</v>
      </c>
      <c r="F57" s="540">
        <f>'Budget Tracker~Suivi'!F57</f>
        <v>0</v>
      </c>
      <c r="G57" s="1574"/>
      <c r="H57" s="1206">
        <f>'Budget Tracker~Suivi'!H57</f>
        <v>0</v>
      </c>
      <c r="I57" s="1205">
        <f>'Budget Tracker~Suivi'!I57</f>
        <v>0</v>
      </c>
      <c r="J57" s="1197"/>
      <c r="K57" s="1191"/>
      <c r="L57" s="12"/>
      <c r="M57" s="12"/>
      <c r="N57" s="12"/>
      <c r="O57" s="12"/>
      <c r="P57" s="12"/>
      <c r="Q57" s="12"/>
    </row>
    <row r="58" spans="1:17" ht="33" customHeight="1" thickTop="1" thickBot="1" x14ac:dyDescent="0.2">
      <c r="A58" s="12"/>
      <c r="B58" s="1590"/>
      <c r="C58" s="147">
        <f>'Jrnl Rev'!BM$6</f>
        <v>4880</v>
      </c>
      <c r="D58" s="1574"/>
      <c r="E58" s="501" t="str">
        <f>+'Jrnl Rev'!BM8</f>
        <v>Disponible ~ Available</v>
      </c>
      <c r="F58" s="540">
        <f>'Budget Tracker~Suivi'!F58</f>
        <v>0</v>
      </c>
      <c r="G58" s="1574"/>
      <c r="H58" s="1206">
        <f>'Budget Tracker~Suivi'!H58</f>
        <v>0</v>
      </c>
      <c r="I58" s="1205">
        <f>'Budget Tracker~Suivi'!I58</f>
        <v>0</v>
      </c>
      <c r="J58" s="1197"/>
      <c r="K58" s="1191"/>
      <c r="L58" s="12"/>
      <c r="M58" s="12"/>
      <c r="N58" s="12"/>
      <c r="O58" s="12"/>
      <c r="P58" s="12"/>
      <c r="Q58" s="12"/>
    </row>
    <row r="59" spans="1:17" ht="33" customHeight="1" thickTop="1" thickBot="1" x14ac:dyDescent="0.2">
      <c r="A59" s="12"/>
      <c r="B59" s="1590"/>
      <c r="C59" s="541">
        <f>'Jrnl Rev'!BN$6</f>
        <v>4890</v>
      </c>
      <c r="D59" s="1574"/>
      <c r="E59" s="542" t="str">
        <f>+'Jrnl Rev'!BN8</f>
        <v>Disponible ~ Available</v>
      </c>
      <c r="F59" s="538">
        <f>'Budget Tracker~Suivi'!F59</f>
        <v>0</v>
      </c>
      <c r="G59" s="1574"/>
      <c r="H59" s="1203">
        <f>'Budget Tracker~Suivi'!H59</f>
        <v>0</v>
      </c>
      <c r="I59" s="1204">
        <f>'Budget Tracker~Suivi'!I59</f>
        <v>0</v>
      </c>
      <c r="J59" s="1196"/>
      <c r="K59" s="1191"/>
      <c r="L59" s="12"/>
      <c r="M59" s="12"/>
      <c r="N59" s="12"/>
      <c r="O59" s="12"/>
      <c r="P59" s="12"/>
      <c r="Q59" s="12"/>
    </row>
    <row r="60" spans="1:17" ht="16.5" customHeight="1" thickTop="1" x14ac:dyDescent="0.15">
      <c r="A60" s="12"/>
      <c r="B60" s="12"/>
      <c r="C60" s="12"/>
      <c r="D60" s="12"/>
      <c r="E60" s="12"/>
      <c r="F60" s="12"/>
      <c r="G60" s="12"/>
      <c r="H60" s="543"/>
      <c r="I60" s="543"/>
      <c r="J60" s="543"/>
      <c r="K60" s="543"/>
      <c r="L60" s="12"/>
      <c r="M60" s="12"/>
      <c r="N60" s="12"/>
      <c r="O60" s="12"/>
      <c r="P60" s="12"/>
      <c r="Q60" s="12"/>
    </row>
    <row r="61" spans="1:17" ht="33" customHeight="1" thickBot="1" x14ac:dyDescent="0.2">
      <c r="A61" s="12"/>
      <c r="B61" s="544"/>
      <c r="C61" s="545"/>
      <c r="D61" s="545"/>
      <c r="E61" s="1587" t="str">
        <f>IF(N7=2,"Sous-Total","Sub-Total")</f>
        <v>Sub-Total</v>
      </c>
      <c r="F61" s="1587"/>
      <c r="G61" s="1587"/>
      <c r="H61" s="546">
        <f>SUM(H10:H12,H17:H59)</f>
        <v>0</v>
      </c>
      <c r="I61" s="546">
        <f>SUM(I10:I12,I17:I59)</f>
        <v>0</v>
      </c>
      <c r="J61" s="547"/>
      <c r="K61" s="547">
        <f>SUM(K10:K12,K17:K59)</f>
        <v>0</v>
      </c>
      <c r="L61" s="12"/>
      <c r="M61" s="12"/>
      <c r="N61" s="12"/>
      <c r="O61" s="12"/>
      <c r="P61" s="12"/>
      <c r="Q61" s="12"/>
    </row>
    <row r="62" spans="1:17" ht="15" customHeight="1" x14ac:dyDescent="0.15">
      <c r="A62" s="12"/>
      <c r="B62" s="25"/>
      <c r="C62" s="19"/>
      <c r="D62" s="19"/>
      <c r="E62" s="548"/>
      <c r="F62" s="548"/>
      <c r="G62" s="548"/>
      <c r="H62" s="549"/>
      <c r="I62" s="549"/>
      <c r="J62" s="549"/>
      <c r="K62" s="549"/>
      <c r="L62" s="12"/>
      <c r="M62" s="12"/>
      <c r="N62" s="12"/>
      <c r="O62" s="12"/>
      <c r="P62" s="12"/>
      <c r="Q62" s="12"/>
    </row>
    <row r="63" spans="1:17" ht="33" customHeight="1" thickBot="1" x14ac:dyDescent="0.2">
      <c r="A63" s="12"/>
      <c r="B63" s="1863" t="str">
        <f>IF(N7=2,"Dépenses","Expense Items")</f>
        <v>Expense Items</v>
      </c>
      <c r="C63" s="1864"/>
      <c r="D63" s="1864"/>
      <c r="E63" s="1864"/>
      <c r="F63" s="1864"/>
      <c r="G63" s="1864"/>
      <c r="H63" s="1864"/>
      <c r="I63" s="1864"/>
      <c r="J63" s="1864"/>
      <c r="K63" s="1865"/>
      <c r="L63" s="12"/>
      <c r="M63" s="12"/>
      <c r="N63" s="12"/>
      <c r="O63" s="12"/>
      <c r="P63" s="12"/>
      <c r="Q63" s="12"/>
    </row>
    <row r="64" spans="1:17" ht="33" customHeight="1" thickTop="1" thickBot="1" x14ac:dyDescent="0.2">
      <c r="A64" s="12"/>
      <c r="B64" s="1572" t="str">
        <f>CONCATENATE('Jrnl Exp ~ Dép'!P4," - ",'Jrnl Exp ~ Dép'!P5)</f>
        <v>5000 - Administrative &amp; Operating Expenses</v>
      </c>
      <c r="C64" s="522">
        <f>'Jrnl Exp ~ Dép'!P$6</f>
        <v>5010</v>
      </c>
      <c r="D64" s="1574"/>
      <c r="E64" s="523" t="str">
        <f>+'Jrnl Exp ~ Dép'!P8</f>
        <v>Admin. &amp; Office supplies</v>
      </c>
      <c r="F64" s="524" t="str">
        <f>'Budget Tracker~Suivi'!F64</f>
        <v>Photocopies, Paper, Toner, Stationary</v>
      </c>
      <c r="G64" s="1574"/>
      <c r="H64" s="1201">
        <f>'Budget Tracker~Suivi'!H64</f>
        <v>0</v>
      </c>
      <c r="I64" s="1202">
        <f>'Budget Tracker~Suivi'!I64</f>
        <v>0</v>
      </c>
      <c r="J64" s="1195"/>
      <c r="K64" s="1191"/>
      <c r="L64" s="12"/>
      <c r="M64" s="12"/>
      <c r="N64" s="12"/>
      <c r="O64" s="12"/>
      <c r="P64" s="12"/>
      <c r="Q64" s="12"/>
    </row>
    <row r="65" spans="1:17" ht="33" customHeight="1" thickTop="1" thickBot="1" x14ac:dyDescent="0.2">
      <c r="A65" s="12"/>
      <c r="B65" s="1573"/>
      <c r="C65" s="147">
        <f>'Jrnl Exp ~ Dép'!Q$6</f>
        <v>5020</v>
      </c>
      <c r="D65" s="1574"/>
      <c r="E65" s="501" t="str">
        <f>+'Jrnl Exp ~ Dép'!Q8</f>
        <v>Office Equipment</v>
      </c>
      <c r="F65" s="540" t="str">
        <f>'Budget Tracker~Suivi'!F65</f>
        <v>Laptops, Printers, Software, Filing Cabinets, Desk, chairs</v>
      </c>
      <c r="G65" s="1574"/>
      <c r="H65" s="1210">
        <f>'Budget Tracker~Suivi'!H65</f>
        <v>0</v>
      </c>
      <c r="I65" s="1205">
        <f>'Budget Tracker~Suivi'!I65</f>
        <v>0</v>
      </c>
      <c r="J65" s="1197"/>
      <c r="K65" s="1191"/>
      <c r="L65" s="12"/>
      <c r="M65" s="12"/>
      <c r="N65" s="12"/>
      <c r="O65" s="12"/>
      <c r="P65" s="12"/>
      <c r="Q65" s="12"/>
    </row>
    <row r="66" spans="1:17" ht="33" customHeight="1" thickTop="1" thickBot="1" x14ac:dyDescent="0.2">
      <c r="A66" s="12"/>
      <c r="B66" s="1573"/>
      <c r="C66" s="147">
        <f>'Jrnl Exp ~ Dép'!R$6</f>
        <v>5030</v>
      </c>
      <c r="D66" s="1574"/>
      <c r="E66" s="501" t="str">
        <f>+'Jrnl Exp ~ Dép'!R8</f>
        <v>Sqn Quarters Rental</v>
      </c>
      <c r="F66" s="540" t="str">
        <f>'Budget Tracker~Suivi'!F66</f>
        <v>Annual Costs: school rental, storage</v>
      </c>
      <c r="G66" s="1574"/>
      <c r="H66" s="1210">
        <f>'Budget Tracker~Suivi'!H66</f>
        <v>0</v>
      </c>
      <c r="I66" s="1205">
        <f>'Budget Tracker~Suivi'!I66</f>
        <v>0</v>
      </c>
      <c r="J66" s="1197"/>
      <c r="K66" s="1191"/>
      <c r="L66" s="12"/>
      <c r="M66" s="12"/>
      <c r="N66" s="12"/>
      <c r="O66" s="12"/>
      <c r="P66" s="12"/>
      <c r="Q66" s="12"/>
    </row>
    <row r="67" spans="1:17" ht="33" customHeight="1" thickTop="1" thickBot="1" x14ac:dyDescent="0.2">
      <c r="A67" s="12"/>
      <c r="B67" s="1573"/>
      <c r="C67" s="147">
        <f>'Jrnl Exp ~ Dép'!S$6</f>
        <v>5040</v>
      </c>
      <c r="D67" s="1574"/>
      <c r="E67" s="501" t="str">
        <f>+'Jrnl Exp ~ Dép'!S8</f>
        <v>Maintenance, repairs, expansion</v>
      </c>
      <c r="F67" s="540" t="str">
        <f>'Budget Tracker~Suivi'!F67</f>
        <v>Maintenance, Expansion, Repairs</v>
      </c>
      <c r="G67" s="1574"/>
      <c r="H67" s="1210">
        <f>'Budget Tracker~Suivi'!H67</f>
        <v>0</v>
      </c>
      <c r="I67" s="1205">
        <f>'Budget Tracker~Suivi'!I67</f>
        <v>0</v>
      </c>
      <c r="J67" s="1197"/>
      <c r="K67" s="1191"/>
      <c r="L67" s="12"/>
      <c r="M67" s="12"/>
      <c r="N67" s="12"/>
      <c r="O67" s="12"/>
      <c r="P67" s="12"/>
      <c r="Q67" s="12"/>
    </row>
    <row r="68" spans="1:17" ht="33" customHeight="1" thickTop="1" thickBot="1" x14ac:dyDescent="0.2">
      <c r="A68" s="12"/>
      <c r="B68" s="1573"/>
      <c r="C68" s="147">
        <f>'Jrnl Exp ~ Dép'!T$6</f>
        <v>5050</v>
      </c>
      <c r="D68" s="1574"/>
      <c r="E68" s="501" t="str">
        <f>+'Jrnl Exp ~ Dép'!T$8</f>
        <v>Utilities,PO Box</v>
      </c>
      <c r="F68" s="540" t="str">
        <f>'Budget Tracker~Suivi'!F68</f>
        <v>PO Box, Internet, Website, Cell</v>
      </c>
      <c r="G68" s="1574"/>
      <c r="H68" s="1210">
        <f>'Budget Tracker~Suivi'!H68</f>
        <v>0</v>
      </c>
      <c r="I68" s="1205">
        <f>'Budget Tracker~Suivi'!I68</f>
        <v>0</v>
      </c>
      <c r="J68" s="1197"/>
      <c r="K68" s="1191"/>
      <c r="L68" s="12"/>
      <c r="M68" s="12"/>
      <c r="N68" s="12"/>
      <c r="O68" s="12"/>
      <c r="P68" s="12"/>
      <c r="Q68" s="12"/>
    </row>
    <row r="69" spans="1:17" ht="33" customHeight="1" thickTop="1" thickBot="1" x14ac:dyDescent="0.2">
      <c r="A69" s="12"/>
      <c r="B69" s="1573"/>
      <c r="C69" s="147">
        <f>'Jrnl Exp ~ Dép'!U$6</f>
        <v>5060</v>
      </c>
      <c r="D69" s="1574"/>
      <c r="E69" s="501" t="str">
        <f>+'Jrnl Exp ~ Dép'!U$8</f>
        <v>Meeting costs</v>
      </c>
      <c r="F69" s="540" t="str">
        <f>'Budget Tracker~Suivi'!F69</f>
        <v>Chair, Treasurer, CO and Cdt Comdr (or representatives)</v>
      </c>
      <c r="G69" s="1574"/>
      <c r="H69" s="1210">
        <f>'Budget Tracker~Suivi'!H69</f>
        <v>0</v>
      </c>
      <c r="I69" s="1205">
        <f>'Budget Tracker~Suivi'!I69</f>
        <v>0</v>
      </c>
      <c r="J69" s="1197"/>
      <c r="K69" s="1191"/>
      <c r="L69" s="12"/>
      <c r="M69" s="12"/>
      <c r="N69" s="12"/>
      <c r="O69" s="12"/>
      <c r="P69" s="12"/>
      <c r="Q69" s="12"/>
    </row>
    <row r="70" spans="1:17" ht="33" customHeight="1" thickTop="1" thickBot="1" x14ac:dyDescent="0.2">
      <c r="A70" s="12"/>
      <c r="B70" s="1573"/>
      <c r="C70" s="147">
        <f>'Jrnl Exp ~ Dép'!V$6</f>
        <v>5070</v>
      </c>
      <c r="D70" s="1574"/>
      <c r="E70" s="501" t="str">
        <f>+'Jrnl Exp ~ Dép'!V$8</f>
        <v>Committee staff Accoutrement and such</v>
      </c>
      <c r="F70" s="540">
        <f>'Budget Tracker~Suivi'!F70</f>
        <v>0</v>
      </c>
      <c r="G70" s="1574"/>
      <c r="H70" s="1210">
        <f>'Budget Tracker~Suivi'!H70</f>
        <v>0</v>
      </c>
      <c r="I70" s="1205">
        <f>'Budget Tracker~Suivi'!I70</f>
        <v>0</v>
      </c>
      <c r="J70" s="1197"/>
      <c r="K70" s="1191"/>
      <c r="L70" s="12"/>
      <c r="M70" s="12"/>
      <c r="N70" s="12"/>
      <c r="O70" s="12"/>
      <c r="P70" s="12"/>
      <c r="Q70" s="12"/>
    </row>
    <row r="71" spans="1:17" ht="33" customHeight="1" thickTop="1" thickBot="1" x14ac:dyDescent="0.2">
      <c r="A71" s="12"/>
      <c r="B71" s="1573"/>
      <c r="C71" s="147">
        <f>'Jrnl Exp ~ Dép'!W$6</f>
        <v>5080</v>
      </c>
      <c r="D71" s="1574"/>
      <c r="E71" s="501" t="str">
        <f>+'Jrnl Exp ~ Dép'!W$8</f>
        <v>Advertising &amp; Recruiting</v>
      </c>
      <c r="F71" s="540" t="str">
        <f>'Budget Tracker~Suivi'!F71</f>
        <v>P.R., Image, Handbook, Advertising,  Newspaper Ads, Open door, awards, etc.</v>
      </c>
      <c r="G71" s="1574"/>
      <c r="H71" s="1210">
        <f>'Budget Tracker~Suivi'!H71</f>
        <v>0</v>
      </c>
      <c r="I71" s="1205">
        <f>'Budget Tracker~Suivi'!I71</f>
        <v>0</v>
      </c>
      <c r="J71" s="1197"/>
      <c r="K71" s="1191"/>
      <c r="L71" s="12"/>
      <c r="M71" s="12"/>
      <c r="N71" s="12"/>
      <c r="O71" s="12"/>
      <c r="P71" s="12"/>
      <c r="Q71" s="12"/>
    </row>
    <row r="72" spans="1:17" ht="33" customHeight="1" thickTop="1" thickBot="1" x14ac:dyDescent="0.2">
      <c r="A72" s="12"/>
      <c r="B72" s="1573"/>
      <c r="C72" s="147">
        <f>'Jrnl Exp ~ Dép'!X$6</f>
        <v>5090</v>
      </c>
      <c r="D72" s="1574"/>
      <c r="E72" s="501" t="str">
        <f>+'Jrnl Exp ~ Dép'!X$8</f>
        <v>Annual Provincial Committee Assessment</v>
      </c>
      <c r="F72" s="540" t="str">
        <f>'Budget Tracker~Suivi'!F72</f>
        <v>Based on the quota as of 31 March of previous FY</v>
      </c>
      <c r="G72" s="1574"/>
      <c r="H72" s="1210">
        <f>'Budget Tracker~Suivi'!H72</f>
        <v>0</v>
      </c>
      <c r="I72" s="1205">
        <f>'Budget Tracker~Suivi'!I72</f>
        <v>0</v>
      </c>
      <c r="J72" s="1197"/>
      <c r="K72" s="1191"/>
      <c r="L72" s="12"/>
      <c r="M72" s="12"/>
      <c r="N72" s="12"/>
      <c r="O72" s="12"/>
      <c r="P72" s="12"/>
      <c r="Q72" s="12"/>
    </row>
    <row r="73" spans="1:17" ht="33" customHeight="1" thickTop="1" thickBot="1" x14ac:dyDescent="0.2">
      <c r="A73" s="12"/>
      <c r="B73" s="1573"/>
      <c r="C73" s="147">
        <f>'Jrnl Exp ~ Dép'!Y$6</f>
        <v>5100</v>
      </c>
      <c r="D73" s="1574"/>
      <c r="E73" s="501" t="str">
        <f>+'Jrnl Exp ~ Dép'!Y$8</f>
        <v>Air Group, Air Wing Dues and such</v>
      </c>
      <c r="F73" s="540" t="str">
        <f>'Budget Tracker~Suivi'!F73</f>
        <v>Regional Assessment</v>
      </c>
      <c r="G73" s="1574"/>
      <c r="H73" s="1210">
        <f>'Budget Tracker~Suivi'!H73</f>
        <v>0</v>
      </c>
      <c r="I73" s="1205">
        <f>'Budget Tracker~Suivi'!I73</f>
        <v>0</v>
      </c>
      <c r="J73" s="1197"/>
      <c r="K73" s="1191"/>
      <c r="L73" s="12"/>
      <c r="M73" s="12"/>
      <c r="N73" s="12"/>
      <c r="O73" s="12"/>
      <c r="P73" s="12"/>
      <c r="Q73" s="12"/>
    </row>
    <row r="74" spans="1:17" ht="33" customHeight="1" thickTop="1" thickBot="1" x14ac:dyDescent="0.2">
      <c r="A74" s="12"/>
      <c r="B74" s="1573"/>
      <c r="C74" s="147">
        <f>'Jrnl Exp ~ Dép'!Z$6</f>
        <v>5110</v>
      </c>
      <c r="D74" s="1574"/>
      <c r="E74" s="501" t="str">
        <f>+'Jrnl Exp ~ Dép'!Z$8</f>
        <v>Financial &amp; Bank Charges</v>
      </c>
      <c r="F74" s="540" t="str">
        <f>'Budget Tracker~Suivi'!F74</f>
        <v>Monthly Bank Fees, Cheques Printing, Investment Charges, Returned cheque fees</v>
      </c>
      <c r="G74" s="1574"/>
      <c r="H74" s="1210">
        <f>'Budget Tracker~Suivi'!H74</f>
        <v>0</v>
      </c>
      <c r="I74" s="1205">
        <f>'Budget Tracker~Suivi'!I74</f>
        <v>0</v>
      </c>
      <c r="J74" s="1197"/>
      <c r="K74" s="1191"/>
      <c r="L74" s="12"/>
      <c r="M74" s="12"/>
      <c r="N74" s="12"/>
      <c r="O74" s="12"/>
      <c r="P74" s="12"/>
      <c r="Q74" s="12"/>
    </row>
    <row r="75" spans="1:17" ht="33" customHeight="1" thickTop="1" thickBot="1" x14ac:dyDescent="0.2">
      <c r="A75" s="12"/>
      <c r="B75" s="1573"/>
      <c r="C75" s="147">
        <f>'Jrnl Exp ~ Dép'!AA$6</f>
        <v>5120</v>
      </c>
      <c r="D75" s="1574"/>
      <c r="E75" s="501" t="str">
        <f>+'Jrnl Exp ~ Dép'!AA$8</f>
        <v>Professional Services</v>
      </c>
      <c r="F75" s="540">
        <f>'Budget Tracker~Suivi'!F75</f>
        <v>0</v>
      </c>
      <c r="G75" s="1574"/>
      <c r="H75" s="1210">
        <f>'Budget Tracker~Suivi'!H75</f>
        <v>0</v>
      </c>
      <c r="I75" s="1205">
        <f>'Budget Tracker~Suivi'!I75</f>
        <v>0</v>
      </c>
      <c r="J75" s="1197"/>
      <c r="K75" s="1191"/>
      <c r="L75" s="12"/>
      <c r="M75" s="12"/>
      <c r="N75" s="12"/>
      <c r="O75" s="12"/>
      <c r="P75" s="12"/>
      <c r="Q75" s="12"/>
    </row>
    <row r="76" spans="1:17" ht="33" customHeight="1" thickTop="1" thickBot="1" x14ac:dyDescent="0.2">
      <c r="A76" s="12"/>
      <c r="B76" s="1573"/>
      <c r="C76" s="147">
        <f>'Jrnl Exp ~ Dép'!AB$6</f>
        <v>5130</v>
      </c>
      <c r="D76" s="1574"/>
      <c r="E76" s="501" t="str">
        <f>+'Jrnl Exp ~ Dép'!AB$8</f>
        <v>Compensation for employees</v>
      </c>
      <c r="F76" s="540">
        <f>'Budget Tracker~Suivi'!F76</f>
        <v>0</v>
      </c>
      <c r="G76" s="1574"/>
      <c r="H76" s="1210">
        <f>'Budget Tracker~Suivi'!H76</f>
        <v>0</v>
      </c>
      <c r="I76" s="1205">
        <f>'Budget Tracker~Suivi'!I76</f>
        <v>0</v>
      </c>
      <c r="J76" s="1197"/>
      <c r="K76" s="1191"/>
      <c r="L76" s="12"/>
      <c r="M76" s="12"/>
      <c r="N76" s="12"/>
      <c r="O76" s="12"/>
      <c r="P76" s="12"/>
      <c r="Q76" s="12"/>
    </row>
    <row r="77" spans="1:17" ht="33" customHeight="1" thickTop="1" thickBot="1" x14ac:dyDescent="0.2">
      <c r="A77" s="12"/>
      <c r="B77" s="1573"/>
      <c r="C77" s="147">
        <f>'Jrnl Exp ~ Dép'!AC$6</f>
        <v>5140</v>
      </c>
      <c r="D77" s="1574"/>
      <c r="E77" s="501" t="str">
        <f>+'Jrnl Exp ~ Dép'!AC$8</f>
        <v>Insurance for material and properties</v>
      </c>
      <c r="F77" s="540" t="str">
        <f>'Budget Tracker~Suivi'!F77</f>
        <v>Insurance for SSC Material (through League or not)</v>
      </c>
      <c r="G77" s="1574"/>
      <c r="H77" s="1210">
        <f>'Budget Tracker~Suivi'!H77</f>
        <v>0</v>
      </c>
      <c r="I77" s="1205">
        <f>'Budget Tracker~Suivi'!I77</f>
        <v>0</v>
      </c>
      <c r="J77" s="1197"/>
      <c r="K77" s="1191"/>
      <c r="L77" s="12"/>
      <c r="M77" s="12"/>
      <c r="N77" s="12"/>
      <c r="O77" s="12"/>
      <c r="P77" s="12"/>
      <c r="Q77" s="12"/>
    </row>
    <row r="78" spans="1:17" ht="33" customHeight="1" thickTop="1" thickBot="1" x14ac:dyDescent="0.2">
      <c r="A78" s="12"/>
      <c r="B78" s="1573"/>
      <c r="C78" s="147">
        <f>'Jrnl Exp ~ Dép'!AD$6</f>
        <v>5150</v>
      </c>
      <c r="D78" s="1574"/>
      <c r="E78" s="501" t="str">
        <f>+'Jrnl Exp ~ Dép'!AD$8</f>
        <v>Travel Expenses</v>
      </c>
      <c r="F78" s="540">
        <f>'Budget Tracker~Suivi'!F78</f>
        <v>0</v>
      </c>
      <c r="G78" s="1574"/>
      <c r="H78" s="1210">
        <f>'Budget Tracker~Suivi'!H78</f>
        <v>0</v>
      </c>
      <c r="I78" s="1205">
        <f>'Budget Tracker~Suivi'!I78</f>
        <v>0</v>
      </c>
      <c r="J78" s="1197"/>
      <c r="K78" s="1191"/>
      <c r="L78" s="12"/>
      <c r="M78" s="12"/>
      <c r="N78" s="12"/>
      <c r="O78" s="12"/>
      <c r="P78" s="12"/>
      <c r="Q78" s="12"/>
    </row>
    <row r="79" spans="1:17" ht="33" customHeight="1" thickTop="1" thickBot="1" x14ac:dyDescent="0.2">
      <c r="A79" s="12"/>
      <c r="B79" s="1573"/>
      <c r="C79" s="147">
        <f>'Jrnl Exp ~ Dép'!AE$6</f>
        <v>5160</v>
      </c>
      <c r="D79" s="1574"/>
      <c r="E79" s="501" t="str">
        <f>+'Jrnl Exp ~ Dép'!AE$8</f>
        <v>Postage/Shipping Costs</v>
      </c>
      <c r="F79" s="540">
        <f>'Budget Tracker~Suivi'!F79</f>
        <v>0</v>
      </c>
      <c r="G79" s="1574"/>
      <c r="H79" s="1210">
        <f>'Budget Tracker~Suivi'!H79</f>
        <v>0</v>
      </c>
      <c r="I79" s="1205">
        <f>'Budget Tracker~Suivi'!I79</f>
        <v>0</v>
      </c>
      <c r="J79" s="1197"/>
      <c r="K79" s="1191"/>
      <c r="L79" s="12"/>
      <c r="M79" s="12"/>
      <c r="N79" s="12"/>
      <c r="O79" s="12"/>
      <c r="P79" s="12"/>
      <c r="Q79" s="12"/>
    </row>
    <row r="80" spans="1:17" ht="33" customHeight="1" thickTop="1" thickBot="1" x14ac:dyDescent="0.2">
      <c r="A80" s="12"/>
      <c r="B80" s="1573"/>
      <c r="C80" s="147">
        <f>'Jrnl Exp ~ Dép'!AF$6</f>
        <v>5170</v>
      </c>
      <c r="D80" s="1574"/>
      <c r="E80" s="501" t="str">
        <f>+'Jrnl Exp ~ Dép'!AF$8</f>
        <v>Facility Rental others than 5030</v>
      </c>
      <c r="F80" s="540">
        <f>'Budget Tracker~Suivi'!F80</f>
        <v>0</v>
      </c>
      <c r="G80" s="1574"/>
      <c r="H80" s="1210">
        <f>'Budget Tracker~Suivi'!H80</f>
        <v>0</v>
      </c>
      <c r="I80" s="1205">
        <f>'Budget Tracker~Suivi'!I80</f>
        <v>0</v>
      </c>
      <c r="J80" s="1197"/>
      <c r="K80" s="1191"/>
      <c r="L80" s="12"/>
      <c r="M80" s="12"/>
      <c r="N80" s="12"/>
      <c r="O80" s="12"/>
      <c r="P80" s="12"/>
      <c r="Q80" s="12"/>
    </row>
    <row r="81" spans="1:17" ht="33" customHeight="1" thickTop="1" thickBot="1" x14ac:dyDescent="0.2">
      <c r="A81" s="12"/>
      <c r="B81" s="1573"/>
      <c r="C81" s="147">
        <f>'Jrnl Exp ~ Dép'!AG$6</f>
        <v>5180</v>
      </c>
      <c r="D81" s="1574"/>
      <c r="E81" s="501" t="str">
        <f>+'Jrnl Exp ~ Dép'!AG$8</f>
        <v>Disponible ~ Available</v>
      </c>
      <c r="F81" s="540">
        <f>'Budget Tracker~Suivi'!F81</f>
        <v>0</v>
      </c>
      <c r="G81" s="1574"/>
      <c r="H81" s="1210">
        <f>'Budget Tracker~Suivi'!H81</f>
        <v>0</v>
      </c>
      <c r="I81" s="1205">
        <f>'Budget Tracker~Suivi'!I81</f>
        <v>0</v>
      </c>
      <c r="J81" s="1197"/>
      <c r="K81" s="1191"/>
      <c r="L81" s="12"/>
      <c r="M81" s="12"/>
      <c r="N81" s="12"/>
      <c r="O81" s="12"/>
      <c r="P81" s="12"/>
      <c r="Q81" s="12"/>
    </row>
    <row r="82" spans="1:17" ht="33" customHeight="1" thickTop="1" thickBot="1" x14ac:dyDescent="0.2">
      <c r="A82" s="12"/>
      <c r="B82" s="1573"/>
      <c r="C82" s="147">
        <f>'Jrnl Exp ~ Dép'!AH$6</f>
        <v>5185</v>
      </c>
      <c r="D82" s="1574"/>
      <c r="E82" s="501" t="str">
        <f>+'Jrnl Exp ~ Dép'!AH$8</f>
        <v>Disponible ~ Available</v>
      </c>
      <c r="F82" s="540">
        <f>'Budget Tracker~Suivi'!F82</f>
        <v>0</v>
      </c>
      <c r="G82" s="1574"/>
      <c r="H82" s="1210">
        <f>'Budget Tracker~Suivi'!H82</f>
        <v>0</v>
      </c>
      <c r="I82" s="1205">
        <f>'Budget Tracker~Suivi'!I82</f>
        <v>0</v>
      </c>
      <c r="J82" s="1199"/>
      <c r="K82" s="1191"/>
      <c r="L82" s="12"/>
      <c r="M82" s="12"/>
      <c r="N82" s="12"/>
      <c r="O82" s="12"/>
      <c r="P82" s="12"/>
      <c r="Q82" s="12"/>
    </row>
    <row r="83" spans="1:17" ht="33" customHeight="1" thickTop="1" thickBot="1" x14ac:dyDescent="0.2">
      <c r="A83" s="12"/>
      <c r="B83" s="1573"/>
      <c r="C83" s="147">
        <f>'Jrnl Exp ~ Dép'!AI$6</f>
        <v>5190</v>
      </c>
      <c r="D83" s="1574"/>
      <c r="E83" s="501" t="str">
        <f>+'Jrnl Exp ~ Dép'!AI$8</f>
        <v>Disponible ~ Available</v>
      </c>
      <c r="F83" s="540">
        <f>'Budget Tracker~Suivi'!F83</f>
        <v>0</v>
      </c>
      <c r="G83" s="1574"/>
      <c r="H83" s="1210">
        <f>'Budget Tracker~Suivi'!H83</f>
        <v>0</v>
      </c>
      <c r="I83" s="1205">
        <f>'Budget Tracker~Suivi'!I83</f>
        <v>0</v>
      </c>
      <c r="J83" s="1199"/>
      <c r="K83" s="1191"/>
      <c r="L83" s="12"/>
      <c r="M83" s="12"/>
      <c r="N83" s="12"/>
      <c r="O83" s="12"/>
      <c r="P83" s="12"/>
      <c r="Q83" s="12"/>
    </row>
    <row r="84" spans="1:17" ht="33" customHeight="1" thickTop="1" thickBot="1" x14ac:dyDescent="0.2">
      <c r="A84" s="12"/>
      <c r="B84" s="1573"/>
      <c r="C84" s="147">
        <f>'Jrnl Exp ~ Dép'!AJ$6</f>
        <v>5195</v>
      </c>
      <c r="D84" s="1574"/>
      <c r="E84" s="501" t="str">
        <f>+'Jrnl Exp ~ Dép'!AJ$8</f>
        <v>Disponible ~ Available</v>
      </c>
      <c r="F84" s="540">
        <f>'Budget Tracker~Suivi'!F84</f>
        <v>0</v>
      </c>
      <c r="G84" s="1574"/>
      <c r="H84" s="1210">
        <f>'Budget Tracker~Suivi'!H84</f>
        <v>0</v>
      </c>
      <c r="I84" s="1205">
        <f>'Budget Tracker~Suivi'!I84</f>
        <v>0</v>
      </c>
      <c r="J84" s="1199"/>
      <c r="K84" s="1191"/>
      <c r="L84" s="12"/>
      <c r="M84" s="12"/>
      <c r="N84" s="12"/>
      <c r="O84" s="12"/>
      <c r="P84" s="12"/>
      <c r="Q84" s="12"/>
    </row>
    <row r="85" spans="1:17" ht="33" customHeight="1" thickTop="1" thickBot="1" x14ac:dyDescent="0.2">
      <c r="A85" s="12"/>
      <c r="B85" s="1573"/>
      <c r="C85" s="147">
        <f>'Jrnl Exp ~ Dép'!AK$6</f>
        <v>5200</v>
      </c>
      <c r="D85" s="1574"/>
      <c r="E85" s="501" t="str">
        <f>+'Jrnl Exp ~ Dép'!AK$8</f>
        <v>Disponible ~ Available</v>
      </c>
      <c r="F85" s="540">
        <f>'Budget Tracker~Suivi'!F85</f>
        <v>0</v>
      </c>
      <c r="G85" s="1574"/>
      <c r="H85" s="1210">
        <f>'Budget Tracker~Suivi'!H85</f>
        <v>0</v>
      </c>
      <c r="I85" s="1205">
        <f>'Budget Tracker~Suivi'!I85</f>
        <v>0</v>
      </c>
      <c r="J85" s="1199"/>
      <c r="K85" s="1191"/>
      <c r="L85" s="12"/>
      <c r="M85" s="12"/>
      <c r="N85" s="12"/>
      <c r="O85" s="12"/>
      <c r="P85" s="12"/>
      <c r="Q85" s="12"/>
    </row>
    <row r="86" spans="1:17" ht="33" customHeight="1" thickTop="1" thickBot="1" x14ac:dyDescent="0.2">
      <c r="A86" s="12"/>
      <c r="B86" s="1573"/>
      <c r="C86" s="147">
        <f>'Jrnl Exp ~ Dép'!AL$6</f>
        <v>5205</v>
      </c>
      <c r="D86" s="1574"/>
      <c r="E86" s="501" t="str">
        <f>+'Jrnl Exp ~ Dép'!AL$8</f>
        <v>Disponible ~ Available</v>
      </c>
      <c r="F86" s="540">
        <f>'Budget Tracker~Suivi'!F86</f>
        <v>0</v>
      </c>
      <c r="G86" s="1574"/>
      <c r="H86" s="1210">
        <f>'Budget Tracker~Suivi'!H86</f>
        <v>0</v>
      </c>
      <c r="I86" s="1205">
        <f>'Budget Tracker~Suivi'!I86</f>
        <v>0</v>
      </c>
      <c r="J86" s="1199"/>
      <c r="K86" s="1191"/>
      <c r="L86" s="12"/>
      <c r="M86" s="12"/>
      <c r="N86" s="12"/>
      <c r="O86" s="12"/>
      <c r="P86" s="12"/>
      <c r="Q86" s="12"/>
    </row>
    <row r="87" spans="1:17" ht="33" customHeight="1" thickTop="1" thickBot="1" x14ac:dyDescent="0.2">
      <c r="A87" s="12"/>
      <c r="B87" s="1573"/>
      <c r="C87" s="147">
        <f>'Jrnl Exp ~ Dép'!AM$6</f>
        <v>5210</v>
      </c>
      <c r="D87" s="1574"/>
      <c r="E87" s="501" t="str">
        <f>+'Jrnl Exp ~ Dép'!AM$8</f>
        <v>Disponible ~ Available</v>
      </c>
      <c r="F87" s="540">
        <f>'Budget Tracker~Suivi'!F87</f>
        <v>0</v>
      </c>
      <c r="G87" s="1574"/>
      <c r="H87" s="1210">
        <f>'Budget Tracker~Suivi'!H87</f>
        <v>0</v>
      </c>
      <c r="I87" s="1205">
        <f>'Budget Tracker~Suivi'!I87</f>
        <v>0</v>
      </c>
      <c r="J87" s="1199"/>
      <c r="K87" s="1191"/>
      <c r="L87" s="12"/>
      <c r="M87" s="12"/>
      <c r="N87" s="12"/>
      <c r="O87" s="12"/>
      <c r="P87" s="12"/>
      <c r="Q87" s="12"/>
    </row>
    <row r="88" spans="1:17" ht="33" customHeight="1" thickTop="1" thickBot="1" x14ac:dyDescent="0.2">
      <c r="A88" s="12"/>
      <c r="B88" s="1573"/>
      <c r="C88" s="147">
        <f>'Jrnl Exp ~ Dép'!AN$6</f>
        <v>5215</v>
      </c>
      <c r="D88" s="1574"/>
      <c r="E88" s="501" t="str">
        <f>+'Jrnl Exp ~ Dép'!AN$8</f>
        <v>Disponible ~ Available</v>
      </c>
      <c r="F88" s="540">
        <f>'Budget Tracker~Suivi'!F88</f>
        <v>0</v>
      </c>
      <c r="G88" s="1574"/>
      <c r="H88" s="1210">
        <f>'Budget Tracker~Suivi'!H88</f>
        <v>0</v>
      </c>
      <c r="I88" s="1205">
        <f>'Budget Tracker~Suivi'!I88</f>
        <v>0</v>
      </c>
      <c r="J88" s="1199"/>
      <c r="K88" s="1191"/>
      <c r="L88" s="12"/>
      <c r="M88" s="12"/>
      <c r="N88" s="12"/>
      <c r="O88" s="12"/>
      <c r="P88" s="12"/>
      <c r="Q88" s="12"/>
    </row>
    <row r="89" spans="1:17" ht="33" customHeight="1" thickTop="1" thickBot="1" x14ac:dyDescent="0.2">
      <c r="A89" s="12"/>
      <c r="B89" s="1579"/>
      <c r="C89" s="541">
        <f>'Jrnl Exp ~ Dép'!AO$6</f>
        <v>5220</v>
      </c>
      <c r="D89" s="1574"/>
      <c r="E89" s="542" t="str">
        <f>+'Jrnl Exp ~ Dép'!AO$8</f>
        <v>Disponible ~ Available</v>
      </c>
      <c r="F89" s="538">
        <f>'Budget Tracker~Suivi'!F89</f>
        <v>0</v>
      </c>
      <c r="G89" s="1574"/>
      <c r="H89" s="1210">
        <f>'Budget Tracker~Suivi'!H89</f>
        <v>0</v>
      </c>
      <c r="I89" s="1204">
        <f>'Budget Tracker~Suivi'!I89</f>
        <v>0</v>
      </c>
      <c r="J89" s="1196"/>
      <c r="K89" s="1191"/>
      <c r="L89" s="12"/>
      <c r="M89" s="12"/>
      <c r="N89" s="12"/>
      <c r="O89" s="12"/>
      <c r="P89" s="12"/>
      <c r="Q89" s="12"/>
    </row>
    <row r="90" spans="1:17" ht="33" customHeight="1" thickTop="1" x14ac:dyDescent="0.15">
      <c r="A90" s="12"/>
      <c r="B90" s="1572" t="str">
        <f>CONCATENATE('Jrnl Exp ~ Dép'!AP4," - ",'Jrnl Exp ~ Dép'!AP5)</f>
        <v>5300 - DND Supported Mandatory Trg/Activities Expenses</v>
      </c>
      <c r="C90" s="1875">
        <f>'Jrnl Exp ~ Dép'!AP$6</f>
        <v>5310</v>
      </c>
      <c r="D90" s="550"/>
      <c r="E90" s="551" t="str">
        <f>+'Jrnl Exp ~ Dép'!AP$8</f>
        <v>Field Trg Ex (FTX)</v>
      </c>
      <c r="F90" s="530" t="s">
        <v>469</v>
      </c>
      <c r="G90" s="531"/>
      <c r="H90" s="1240">
        <f>SUM(G91:G94)</f>
        <v>0</v>
      </c>
      <c r="I90" s="1224">
        <f>SUM(I91:I94)</f>
        <v>0</v>
      </c>
      <c r="J90" s="1240"/>
      <c r="K90" s="1241">
        <f>SUM(K91:K94)</f>
        <v>0</v>
      </c>
      <c r="L90" s="12"/>
      <c r="M90" s="12"/>
      <c r="N90" s="12"/>
      <c r="O90" s="12"/>
      <c r="P90" s="12"/>
      <c r="Q90" s="12"/>
    </row>
    <row r="91" spans="1:17" ht="33" customHeight="1" x14ac:dyDescent="0.15">
      <c r="A91" s="12"/>
      <c r="B91" s="1573"/>
      <c r="C91" s="1876"/>
      <c r="D91" s="1225">
        <f>'Jrnl Exp ~ Dép'!AQ$6</f>
        <v>5310.1</v>
      </c>
      <c r="E91" s="1226" t="str">
        <f>+'Jrnl Exp ~ Dép'!AQ$8</f>
        <v>Disponible ~ Available</v>
      </c>
      <c r="F91" s="1227"/>
      <c r="G91" s="1210">
        <f>'Budget Tracker~Suivi'!G91</f>
        <v>0</v>
      </c>
      <c r="H91" s="1607"/>
      <c r="I91" s="1205">
        <f>'Budget Tracker~Suivi'!I91</f>
        <v>0</v>
      </c>
      <c r="J91" s="1197"/>
      <c r="K91" s="1191"/>
      <c r="L91" s="12"/>
      <c r="M91" s="12"/>
      <c r="N91" s="12"/>
      <c r="O91" s="12"/>
      <c r="P91" s="12"/>
      <c r="Q91" s="12"/>
    </row>
    <row r="92" spans="1:17" ht="33" customHeight="1" x14ac:dyDescent="0.15">
      <c r="A92" s="12"/>
      <c r="B92" s="1573"/>
      <c r="C92" s="1876"/>
      <c r="D92" s="1225">
        <f>'Jrnl Exp ~ Dép'!AR$6</f>
        <v>5310.2</v>
      </c>
      <c r="E92" s="1226" t="str">
        <f>+'Jrnl Exp ~ Dép'!AR$8</f>
        <v>Disponible ~ Available</v>
      </c>
      <c r="F92" s="1227"/>
      <c r="G92" s="1210">
        <f>'Budget Tracker~Suivi'!G92</f>
        <v>0</v>
      </c>
      <c r="H92" s="1608"/>
      <c r="I92" s="1205">
        <f>'Budget Tracker~Suivi'!I92</f>
        <v>0</v>
      </c>
      <c r="J92" s="1197"/>
      <c r="K92" s="1191"/>
      <c r="L92" s="12"/>
      <c r="M92" s="12"/>
      <c r="N92" s="12"/>
      <c r="O92" s="12"/>
      <c r="P92" s="12"/>
      <c r="Q92" s="12"/>
    </row>
    <row r="93" spans="1:17" ht="33" customHeight="1" x14ac:dyDescent="0.15">
      <c r="A93" s="12"/>
      <c r="B93" s="1573"/>
      <c r="C93" s="1876"/>
      <c r="D93" s="1225">
        <f>'Jrnl Exp ~ Dép'!AS$6</f>
        <v>5310.3</v>
      </c>
      <c r="E93" s="1226" t="str">
        <f>+'Jrnl Exp ~ Dép'!AS$8</f>
        <v>Disponible ~ Available</v>
      </c>
      <c r="F93" s="1227"/>
      <c r="G93" s="1210">
        <f>'Budget Tracker~Suivi'!G93</f>
        <v>0</v>
      </c>
      <c r="H93" s="1608"/>
      <c r="I93" s="1205">
        <f>'Budget Tracker~Suivi'!I93</f>
        <v>0</v>
      </c>
      <c r="J93" s="1197"/>
      <c r="K93" s="1191"/>
      <c r="L93" s="12"/>
      <c r="M93" s="12"/>
      <c r="N93" s="12"/>
      <c r="O93" s="12"/>
      <c r="P93" s="12"/>
      <c r="Q93" s="12"/>
    </row>
    <row r="94" spans="1:17" ht="33" customHeight="1" thickBot="1" x14ac:dyDescent="0.2">
      <c r="A94" s="12"/>
      <c r="B94" s="1573"/>
      <c r="C94" s="1877"/>
      <c r="D94" s="1228">
        <f>'Jrnl Exp ~ Dép'!AT$6</f>
        <v>5310.4</v>
      </c>
      <c r="E94" s="1229" t="str">
        <f>+'Jrnl Exp ~ Dép'!AT$8</f>
        <v>Disponible ~ Available</v>
      </c>
      <c r="F94" s="1227"/>
      <c r="G94" s="1203">
        <f>'Budget Tracker~Suivi'!G94</f>
        <v>0</v>
      </c>
      <c r="H94" s="1883"/>
      <c r="I94" s="1204">
        <f>'Budget Tracker~Suivi'!I94</f>
        <v>0</v>
      </c>
      <c r="J94" s="1196"/>
      <c r="K94" s="1191"/>
      <c r="L94" s="12"/>
      <c r="M94" s="12"/>
      <c r="N94" s="12"/>
      <c r="O94" s="12"/>
      <c r="P94" s="12"/>
      <c r="Q94" s="12"/>
    </row>
    <row r="95" spans="1:17" ht="33" customHeight="1" thickTop="1" x14ac:dyDescent="0.15">
      <c r="A95" s="12"/>
      <c r="B95" s="1573"/>
      <c r="C95" s="1875">
        <f>'Jrnl Exp ~ Dép'!AU$6</f>
        <v>5315</v>
      </c>
      <c r="D95" s="552"/>
      <c r="E95" s="553" t="str">
        <f>+'Jrnl Exp ~ Dép'!AU$8</f>
        <v>Other training</v>
      </c>
      <c r="F95" s="554" t="s">
        <v>470</v>
      </c>
      <c r="G95" s="525"/>
      <c r="H95" s="1240">
        <f>SUM(G96:G99)</f>
        <v>0</v>
      </c>
      <c r="I95" s="1224">
        <f>SUM(I96:I99)</f>
        <v>0</v>
      </c>
      <c r="J95" s="1240"/>
      <c r="K95" s="1241">
        <f>SUM(K96:K99)</f>
        <v>0</v>
      </c>
      <c r="L95" s="12"/>
      <c r="M95" s="12"/>
      <c r="N95" s="12"/>
      <c r="O95" s="12"/>
      <c r="P95" s="12"/>
      <c r="Q95" s="12"/>
    </row>
    <row r="96" spans="1:17" ht="33" customHeight="1" x14ac:dyDescent="0.15">
      <c r="A96" s="12"/>
      <c r="B96" s="1573"/>
      <c r="C96" s="1876"/>
      <c r="D96" s="1225">
        <f>'Jrnl Exp ~ Dép'!AV$6</f>
        <v>5315.1</v>
      </c>
      <c r="E96" s="1226" t="str">
        <f>+'Jrnl Exp ~ Dép'!AV$8</f>
        <v>Disponible ~ Available</v>
      </c>
      <c r="F96" s="1235"/>
      <c r="G96" s="1210">
        <f>'Budget Tracker~Suivi'!G96</f>
        <v>0</v>
      </c>
      <c r="H96" s="1607"/>
      <c r="I96" s="1205">
        <f>'Budget Tracker~Suivi'!I96</f>
        <v>0</v>
      </c>
      <c r="J96" s="1197"/>
      <c r="K96" s="1191"/>
      <c r="L96" s="12"/>
      <c r="M96" s="12"/>
      <c r="N96" s="12"/>
      <c r="O96" s="12"/>
      <c r="P96" s="12"/>
      <c r="Q96" s="12"/>
    </row>
    <row r="97" spans="1:17" ht="33" customHeight="1" x14ac:dyDescent="0.15">
      <c r="A97" s="12"/>
      <c r="B97" s="1573"/>
      <c r="C97" s="1876"/>
      <c r="D97" s="1225">
        <f>'Jrnl Exp ~ Dép'!AW$6</f>
        <v>5315.2</v>
      </c>
      <c r="E97" s="1226" t="str">
        <f>+'Jrnl Exp ~ Dép'!AW$8</f>
        <v>Disponible ~ Available</v>
      </c>
      <c r="F97" s="1235"/>
      <c r="G97" s="1210">
        <f>'Budget Tracker~Suivi'!G97</f>
        <v>0</v>
      </c>
      <c r="H97" s="1608"/>
      <c r="I97" s="1205">
        <f>'Budget Tracker~Suivi'!I97</f>
        <v>0</v>
      </c>
      <c r="J97" s="1197"/>
      <c r="K97" s="1191"/>
      <c r="L97" s="12"/>
      <c r="M97" s="12"/>
      <c r="N97" s="12"/>
      <c r="O97" s="12"/>
      <c r="P97" s="12"/>
      <c r="Q97" s="12"/>
    </row>
    <row r="98" spans="1:17" ht="33" customHeight="1" x14ac:dyDescent="0.15">
      <c r="A98" s="12"/>
      <c r="B98" s="1573"/>
      <c r="C98" s="1876"/>
      <c r="D98" s="1225">
        <f>'Jrnl Exp ~ Dép'!AX$6</f>
        <v>5315.3</v>
      </c>
      <c r="E98" s="1226" t="str">
        <f>+'Jrnl Exp ~ Dép'!AX$8</f>
        <v>Disponible ~ Available</v>
      </c>
      <c r="F98" s="1235"/>
      <c r="G98" s="1210">
        <f>'Budget Tracker~Suivi'!G98</f>
        <v>0</v>
      </c>
      <c r="H98" s="1608"/>
      <c r="I98" s="1205">
        <f>'Budget Tracker~Suivi'!I98</f>
        <v>0</v>
      </c>
      <c r="J98" s="1197"/>
      <c r="K98" s="1191"/>
      <c r="L98" s="12"/>
      <c r="M98" s="12"/>
      <c r="N98" s="12"/>
      <c r="O98" s="12"/>
      <c r="P98" s="12"/>
      <c r="Q98" s="12"/>
    </row>
    <row r="99" spans="1:17" ht="33" customHeight="1" thickBot="1" x14ac:dyDescent="0.2">
      <c r="A99" s="12"/>
      <c r="B99" s="1573"/>
      <c r="C99" s="1877"/>
      <c r="D99" s="1228">
        <f>'Jrnl Exp ~ Dép'!AY$6</f>
        <v>5315.4</v>
      </c>
      <c r="E99" s="1229" t="str">
        <f>+'Jrnl Exp ~ Dép'!AY$8</f>
        <v>Disponible ~ Available</v>
      </c>
      <c r="F99" s="1245"/>
      <c r="G99" s="1203">
        <f>'Budget Tracker~Suivi'!G99</f>
        <v>0</v>
      </c>
      <c r="H99" s="1883"/>
      <c r="I99" s="1204">
        <f>'Budget Tracker~Suivi'!I99</f>
        <v>0</v>
      </c>
      <c r="J99" s="1196"/>
      <c r="K99" s="1192"/>
      <c r="L99" s="12"/>
      <c r="M99" s="12"/>
      <c r="N99" s="12"/>
      <c r="O99" s="12"/>
      <c r="P99" s="12"/>
      <c r="Q99" s="12"/>
    </row>
    <row r="100" spans="1:17" ht="33" customHeight="1" thickTop="1" x14ac:dyDescent="0.15">
      <c r="A100" s="12"/>
      <c r="B100" s="1573"/>
      <c r="C100" s="532">
        <f>'Jrnl Exp ~ Dép'!AZ$6</f>
        <v>5320</v>
      </c>
      <c r="D100" s="1605"/>
      <c r="E100" s="533" t="str">
        <f>+'Jrnl Exp ~ Dép'!AZ$8</f>
        <v>Training Equipment</v>
      </c>
      <c r="F100" s="555">
        <f>'Budget Tracker~Suivi'!F100</f>
        <v>0</v>
      </c>
      <c r="G100" s="1605"/>
      <c r="H100" s="1206">
        <f>'Budget Tracker~Suivi'!H100</f>
        <v>0</v>
      </c>
      <c r="I100" s="1207">
        <f>'Budget Tracker~Suivi'!I100</f>
        <v>0</v>
      </c>
      <c r="J100" s="1198"/>
      <c r="K100" s="1193"/>
      <c r="L100" s="12"/>
      <c r="M100" s="12"/>
      <c r="N100" s="12"/>
      <c r="O100" s="12"/>
      <c r="P100" s="12"/>
      <c r="Q100" s="12"/>
    </row>
    <row r="101" spans="1:17" ht="28" x14ac:dyDescent="0.15">
      <c r="A101" s="12"/>
      <c r="B101" s="1573"/>
      <c r="C101" s="147">
        <f>'Jrnl Exp ~ Dép'!BA$6</f>
        <v>5325</v>
      </c>
      <c r="D101" s="1605"/>
      <c r="E101" s="501" t="str">
        <f>+'Jrnl Exp ~ Dép'!BA$8</f>
        <v>Sports &amp; Phys Ed Related Activities</v>
      </c>
      <c r="F101" s="555" t="str">
        <f>'Budget Tracker~Suivi'!F101</f>
        <v>Including Laser tag, Absailing, Bowling and other commercial activities</v>
      </c>
      <c r="G101" s="1605"/>
      <c r="H101" s="1206">
        <f>'Budget Tracker~Suivi'!H101</f>
        <v>0</v>
      </c>
      <c r="I101" s="1205">
        <f>'Budget Tracker~Suivi'!I101</f>
        <v>0</v>
      </c>
      <c r="J101" s="1197"/>
      <c r="K101" s="1191"/>
      <c r="L101" s="12"/>
      <c r="M101" s="12"/>
      <c r="N101" s="12"/>
      <c r="O101" s="12"/>
      <c r="P101" s="12"/>
      <c r="Q101" s="12"/>
    </row>
    <row r="102" spans="1:17" ht="42" x14ac:dyDescent="0.15">
      <c r="A102" s="12"/>
      <c r="B102" s="1573"/>
      <c r="C102" s="147">
        <f>'Jrnl Exp ~ Dép'!BB$6</f>
        <v>5330</v>
      </c>
      <c r="D102" s="1605"/>
      <c r="E102" s="207" t="str">
        <f>+'Jrnl Exp ~ Dép'!BB$8</f>
        <v>Flying and Gliding related outlays</v>
      </c>
      <c r="F102" s="555" t="str">
        <f>'Budget Tracker~Suivi'!F102</f>
        <v>Familiarization: Meals, Trsp - Specialization: Med Certificate, Licence, Exams, Selection, Etc.</v>
      </c>
      <c r="G102" s="1605"/>
      <c r="H102" s="1206">
        <f>'Budget Tracker~Suivi'!H102</f>
        <v>0</v>
      </c>
      <c r="I102" s="1205">
        <f>'Budget Tracker~Suivi'!I102</f>
        <v>0</v>
      </c>
      <c r="J102" s="1197"/>
      <c r="K102" s="1191"/>
      <c r="L102" s="12"/>
      <c r="M102" s="12"/>
      <c r="N102" s="12"/>
      <c r="O102" s="12"/>
      <c r="P102" s="12"/>
      <c r="Q102" s="12"/>
    </row>
    <row r="103" spans="1:17" ht="33" customHeight="1" x14ac:dyDescent="0.15">
      <c r="A103" s="12"/>
      <c r="B103" s="1573"/>
      <c r="C103" s="147">
        <f>'Jrnl Exp ~ Dép'!BC$6</f>
        <v>5335</v>
      </c>
      <c r="D103" s="1605"/>
      <c r="E103" s="207" t="str">
        <f>+'Jrnl Exp ~ Dép'!BC$8</f>
        <v>Community Service</v>
      </c>
      <c r="F103" s="555">
        <f>'Budget Tracker~Suivi'!F103</f>
        <v>0</v>
      </c>
      <c r="G103" s="1605"/>
      <c r="H103" s="1206">
        <f>'Budget Tracker~Suivi'!H103</f>
        <v>0</v>
      </c>
      <c r="I103" s="1205">
        <f>'Budget Tracker~Suivi'!I103</f>
        <v>0</v>
      </c>
      <c r="J103" s="1197"/>
      <c r="K103" s="1191"/>
      <c r="L103" s="12"/>
      <c r="M103" s="12"/>
      <c r="N103" s="12"/>
      <c r="O103" s="12"/>
      <c r="P103" s="12"/>
      <c r="Q103" s="12"/>
    </row>
    <row r="104" spans="1:17" ht="33" customHeight="1" x14ac:dyDescent="0.15">
      <c r="A104" s="12"/>
      <c r="B104" s="1573"/>
      <c r="C104" s="147">
        <f>'Jrnl Exp ~ Dép'!BD$6</f>
        <v>5340</v>
      </c>
      <c r="D104" s="1605"/>
      <c r="E104" s="207" t="str">
        <f>+'Jrnl Exp ~ Dép'!BD$8</f>
        <v>Shooting Pgm</v>
      </c>
      <c r="F104" s="555" t="str">
        <f>'Budget Tracker~Suivi'!F104</f>
        <v>Familiarization only</v>
      </c>
      <c r="G104" s="1605"/>
      <c r="H104" s="1206">
        <f>'Budget Tracker~Suivi'!H104</f>
        <v>0</v>
      </c>
      <c r="I104" s="1205">
        <f>'Budget Tracker~Suivi'!I104</f>
        <v>0</v>
      </c>
      <c r="J104" s="1197"/>
      <c r="K104" s="1191"/>
      <c r="L104" s="12"/>
      <c r="M104" s="12"/>
      <c r="N104" s="12"/>
      <c r="O104" s="12"/>
      <c r="P104" s="12"/>
      <c r="Q104" s="12"/>
    </row>
    <row r="105" spans="1:17" ht="33" customHeight="1" x14ac:dyDescent="0.15">
      <c r="A105" s="12"/>
      <c r="B105" s="1573"/>
      <c r="C105" s="147">
        <f>'Jrnl Exp ~ Dép'!BE$6</f>
        <v>5345</v>
      </c>
      <c r="D105" s="1605"/>
      <c r="E105" s="207" t="str">
        <f>+'Jrnl Exp ~ Dép'!BE$8</f>
        <v>Aviation Day</v>
      </c>
      <c r="F105" s="555">
        <f>'Budget Tracker~Suivi'!F105</f>
        <v>0</v>
      </c>
      <c r="G105" s="1605"/>
      <c r="H105" s="1206">
        <f>'Budget Tracker~Suivi'!H105</f>
        <v>0</v>
      </c>
      <c r="I105" s="1205">
        <f>'Budget Tracker~Suivi'!I105</f>
        <v>0</v>
      </c>
      <c r="J105" s="1197"/>
      <c r="K105" s="1191"/>
      <c r="L105" s="12"/>
      <c r="M105" s="12"/>
      <c r="N105" s="12"/>
      <c r="O105" s="12"/>
      <c r="P105" s="12"/>
      <c r="Q105" s="12"/>
    </row>
    <row r="106" spans="1:17" ht="33" customHeight="1" x14ac:dyDescent="0.15">
      <c r="A106" s="12"/>
      <c r="B106" s="1573"/>
      <c r="C106" s="147">
        <f>'Jrnl Exp ~ Dép'!BF$6</f>
        <v>5350</v>
      </c>
      <c r="D106" s="1605"/>
      <c r="E106" s="501" t="str">
        <f>+'Jrnl Exp ~ Dép'!BF$8</f>
        <v>Mess Dinner</v>
      </c>
      <c r="F106" s="555">
        <f>'Budget Tracker~Suivi'!F106</f>
        <v>0</v>
      </c>
      <c r="G106" s="1605"/>
      <c r="H106" s="1206">
        <f>'Budget Tracker~Suivi'!H106</f>
        <v>0</v>
      </c>
      <c r="I106" s="1205">
        <f>'Budget Tracker~Suivi'!I106</f>
        <v>0</v>
      </c>
      <c r="J106" s="1197"/>
      <c r="K106" s="1191"/>
      <c r="L106" s="12"/>
      <c r="M106" s="12"/>
      <c r="N106" s="12"/>
      <c r="O106" s="12"/>
      <c r="P106" s="12"/>
      <c r="Q106" s="12"/>
    </row>
    <row r="107" spans="1:17" ht="33" customHeight="1" x14ac:dyDescent="0.15">
      <c r="A107" s="12"/>
      <c r="B107" s="1573"/>
      <c r="C107" s="147">
        <f>'Jrnl Exp ~ Dép'!BG$6</f>
        <v>5355</v>
      </c>
      <c r="D107" s="1605"/>
      <c r="E107" s="501" t="str">
        <f>+'Jrnl Exp ~ Dép'!BG$8</f>
        <v>Ground School</v>
      </c>
      <c r="F107" s="555">
        <f>'Budget Tracker~Suivi'!F107</f>
        <v>0</v>
      </c>
      <c r="G107" s="1605"/>
      <c r="H107" s="1206">
        <f>'Budget Tracker~Suivi'!H107</f>
        <v>0</v>
      </c>
      <c r="I107" s="1205">
        <f>'Budget Tracker~Suivi'!I107</f>
        <v>0</v>
      </c>
      <c r="J107" s="1197"/>
      <c r="K107" s="1191"/>
      <c r="L107" s="12"/>
      <c r="M107" s="12"/>
      <c r="N107" s="12"/>
      <c r="O107" s="12"/>
      <c r="P107" s="12"/>
      <c r="Q107" s="12"/>
    </row>
    <row r="108" spans="1:17" ht="33" customHeight="1" x14ac:dyDescent="0.15">
      <c r="A108" s="12"/>
      <c r="B108" s="1573"/>
      <c r="C108" s="526">
        <f>'Jrnl Exp ~ Dép'!BH$6</f>
        <v>5360</v>
      </c>
      <c r="D108" s="1605"/>
      <c r="E108" s="527" t="str">
        <f>+'Jrnl Exp ~ Dép'!BH$8</f>
        <v>Disponible ~ Available</v>
      </c>
      <c r="F108" s="555">
        <f>'Budget Tracker~Suivi'!F108</f>
        <v>0</v>
      </c>
      <c r="G108" s="1605"/>
      <c r="H108" s="1206">
        <f>'Budget Tracker~Suivi'!H108</f>
        <v>0</v>
      </c>
      <c r="I108" s="1205">
        <f>'Budget Tracker~Suivi'!I108</f>
        <v>0</v>
      </c>
      <c r="J108" s="1199"/>
      <c r="K108" s="1191"/>
      <c r="L108" s="12"/>
      <c r="M108" s="12"/>
      <c r="N108" s="12"/>
      <c r="O108" s="12"/>
      <c r="P108" s="12"/>
      <c r="Q108" s="12"/>
    </row>
    <row r="109" spans="1:17" ht="33" customHeight="1" x14ac:dyDescent="0.15">
      <c r="A109" s="12"/>
      <c r="B109" s="1573"/>
      <c r="C109" s="526">
        <f>'Jrnl Exp ~ Dép'!BI$6</f>
        <v>5365</v>
      </c>
      <c r="D109" s="1605"/>
      <c r="E109" s="527" t="str">
        <f>+'Jrnl Exp ~ Dép'!BI$8</f>
        <v>Disponible ~ Available</v>
      </c>
      <c r="F109" s="555">
        <f>'Budget Tracker~Suivi'!F109</f>
        <v>0</v>
      </c>
      <c r="G109" s="1605"/>
      <c r="H109" s="1206">
        <f>'Budget Tracker~Suivi'!H109</f>
        <v>0</v>
      </c>
      <c r="I109" s="1205">
        <f>'Budget Tracker~Suivi'!I109</f>
        <v>0</v>
      </c>
      <c r="J109" s="1199"/>
      <c r="K109" s="1191"/>
      <c r="L109" s="12"/>
      <c r="M109" s="12"/>
      <c r="N109" s="12"/>
      <c r="O109" s="12"/>
      <c r="P109" s="12"/>
      <c r="Q109" s="12"/>
    </row>
    <row r="110" spans="1:17" ht="33" customHeight="1" x14ac:dyDescent="0.15">
      <c r="A110" s="12"/>
      <c r="B110" s="1573"/>
      <c r="C110" s="526">
        <f>'Jrnl Exp ~ Dép'!BJ$6</f>
        <v>5370</v>
      </c>
      <c r="D110" s="1605"/>
      <c r="E110" s="527" t="str">
        <f>+'Jrnl Exp ~ Dép'!BJ$8</f>
        <v>Disponible ~ Available</v>
      </c>
      <c r="F110" s="555">
        <f>'Budget Tracker~Suivi'!F110</f>
        <v>0</v>
      </c>
      <c r="G110" s="1605"/>
      <c r="H110" s="1206">
        <f>'Budget Tracker~Suivi'!H110</f>
        <v>0</v>
      </c>
      <c r="I110" s="1205">
        <f>'Budget Tracker~Suivi'!I110</f>
        <v>0</v>
      </c>
      <c r="J110" s="1199"/>
      <c r="K110" s="1191"/>
      <c r="L110" s="12"/>
      <c r="M110" s="12"/>
      <c r="N110" s="12"/>
      <c r="O110" s="12"/>
      <c r="P110" s="12"/>
      <c r="Q110" s="12"/>
    </row>
    <row r="111" spans="1:17" ht="33" customHeight="1" x14ac:dyDescent="0.15">
      <c r="A111" s="12"/>
      <c r="B111" s="1573"/>
      <c r="C111" s="526">
        <f>'Jrnl Exp ~ Dép'!BK$6</f>
        <v>5375</v>
      </c>
      <c r="D111" s="1605"/>
      <c r="E111" s="527" t="str">
        <f>+'Jrnl Exp ~ Dép'!BK$8</f>
        <v>Disponible ~ Available</v>
      </c>
      <c r="F111" s="555">
        <f>'Budget Tracker~Suivi'!F111</f>
        <v>0</v>
      </c>
      <c r="G111" s="1605"/>
      <c r="H111" s="1206">
        <f>'Budget Tracker~Suivi'!H111</f>
        <v>0</v>
      </c>
      <c r="I111" s="1205">
        <f>'Budget Tracker~Suivi'!I111</f>
        <v>0</v>
      </c>
      <c r="J111" s="1199"/>
      <c r="K111" s="1191"/>
      <c r="L111" s="12"/>
      <c r="M111" s="12"/>
      <c r="N111" s="12"/>
      <c r="O111" s="12"/>
      <c r="P111" s="12"/>
      <c r="Q111" s="12"/>
    </row>
    <row r="112" spans="1:17" ht="33" customHeight="1" thickBot="1" x14ac:dyDescent="0.2">
      <c r="A112" s="12"/>
      <c r="B112" s="1573"/>
      <c r="C112" s="526">
        <f>'Jrnl Exp ~ Dép'!BL$6</f>
        <v>5380</v>
      </c>
      <c r="D112" s="1605"/>
      <c r="E112" s="527" t="str">
        <f>+'Jrnl Exp ~ Dép'!BL$8</f>
        <v>Disponible ~ Available</v>
      </c>
      <c r="F112" s="555">
        <f>'Budget Tracker~Suivi'!F112</f>
        <v>0</v>
      </c>
      <c r="G112" s="1605"/>
      <c r="H112" s="1203">
        <f>'Budget Tracker~Suivi'!H112</f>
        <v>0</v>
      </c>
      <c r="I112" s="1204">
        <f>'Budget Tracker~Suivi'!I112</f>
        <v>0</v>
      </c>
      <c r="J112" s="1199"/>
      <c r="K112" s="1192"/>
      <c r="L112" s="12"/>
      <c r="M112" s="12"/>
      <c r="N112" s="12"/>
      <c r="O112" s="12"/>
      <c r="P112" s="12"/>
      <c r="Q112" s="12"/>
    </row>
    <row r="113" spans="1:17" ht="29" thickTop="1" x14ac:dyDescent="0.15">
      <c r="A113" s="12"/>
      <c r="B113" s="1576" t="str">
        <f>CONCATENATE('Jrnl Exp ~ Dép'!BM4," - ",'Jrnl Exp ~ Dép'!BM5)</f>
        <v>5400 - DND Supported Optional Trg/Activities Expenses</v>
      </c>
      <c r="C113" s="558">
        <f>'Jrnl Exp ~ Dép'!BM$6</f>
        <v>5410</v>
      </c>
      <c r="D113" s="1606"/>
      <c r="E113" s="559" t="str">
        <f>+'Jrnl Exp ~ Dép'!BM$8</f>
        <v>Band</v>
      </c>
      <c r="F113" s="560" t="str">
        <f>'Budget Tracker~Suivi'!F113</f>
        <v>Instruments, Accessories, Competitions, Meals, Trsp, Instructors, Rental, etc.</v>
      </c>
      <c r="G113" s="561"/>
      <c r="H113" s="1206">
        <f>'Budget Tracker~Suivi'!H113</f>
        <v>0</v>
      </c>
      <c r="I113" s="1207">
        <f>'Budget Tracker~Suivi'!I113</f>
        <v>0</v>
      </c>
      <c r="J113" s="1195"/>
      <c r="K113" s="1193"/>
      <c r="L113" s="12"/>
      <c r="M113" s="12"/>
      <c r="N113" s="12"/>
      <c r="O113" s="12"/>
      <c r="P113" s="12"/>
      <c r="Q113" s="12"/>
    </row>
    <row r="114" spans="1:17" ht="33" customHeight="1" x14ac:dyDescent="0.15">
      <c r="A114" s="12"/>
      <c r="B114" s="1577"/>
      <c r="C114" s="526">
        <f>'Jrnl Exp ~ Dép'!BN$6</f>
        <v>5415</v>
      </c>
      <c r="D114" s="1605"/>
      <c r="E114" s="527" t="str">
        <f>+'Jrnl Exp ~ Dép'!BN$8</f>
        <v>Drill Team</v>
      </c>
      <c r="F114" s="556" t="str">
        <f>'Budget Tracker~Suivi'!F114</f>
        <v>Rental, Meals, Trsp, Competitions, Clothing, etc.</v>
      </c>
      <c r="G114" s="562"/>
      <c r="H114" s="1206">
        <f>'Budget Tracker~Suivi'!H114</f>
        <v>0</v>
      </c>
      <c r="I114" s="1205">
        <f>'Budget Tracker~Suivi'!I114</f>
        <v>0</v>
      </c>
      <c r="J114" s="1197"/>
      <c r="K114" s="1191"/>
      <c r="L114" s="12"/>
      <c r="M114" s="12"/>
      <c r="N114" s="12"/>
      <c r="O114" s="12"/>
      <c r="P114" s="12"/>
      <c r="Q114" s="12"/>
    </row>
    <row r="115" spans="1:17" ht="33" customHeight="1" x14ac:dyDescent="0.15">
      <c r="A115" s="12"/>
      <c r="B115" s="1577"/>
      <c r="C115" s="526">
        <f>'Jrnl Exp ~ Dép'!BO$6</f>
        <v>5420</v>
      </c>
      <c r="D115" s="1605"/>
      <c r="E115" s="527" t="str">
        <f>+'Jrnl Exp ~ Dép'!BO$8</f>
        <v>Marksmanship</v>
      </c>
      <c r="F115" s="556" t="str">
        <f>'Budget Tracker~Suivi'!F115</f>
        <v>Rental, Meals, Trsp, Equipments, Competitions, etc.</v>
      </c>
      <c r="G115" s="562"/>
      <c r="H115" s="1206">
        <f>'Budget Tracker~Suivi'!H115</f>
        <v>0</v>
      </c>
      <c r="I115" s="1205">
        <f>'Budget Tracker~Suivi'!I115</f>
        <v>0</v>
      </c>
      <c r="J115" s="1197"/>
      <c r="K115" s="1191"/>
      <c r="L115" s="12"/>
      <c r="M115" s="12"/>
      <c r="N115" s="12"/>
      <c r="O115" s="12"/>
      <c r="P115" s="12"/>
      <c r="Q115" s="12"/>
    </row>
    <row r="116" spans="1:17" ht="33" customHeight="1" x14ac:dyDescent="0.15">
      <c r="A116" s="12"/>
      <c r="B116" s="1577"/>
      <c r="C116" s="526">
        <f>'Jrnl Exp ~ Dép'!BP$6</f>
        <v>5425</v>
      </c>
      <c r="D116" s="1605"/>
      <c r="E116" s="527" t="str">
        <f>+'Jrnl Exp ~ Dép'!BP$8</f>
        <v>Biathlon</v>
      </c>
      <c r="F116" s="556" t="str">
        <f>'Budget Tracker~Suivi'!F116</f>
        <v>Rental, Meals, Trsp, Equipments, Competitions, etc.</v>
      </c>
      <c r="G116" s="562"/>
      <c r="H116" s="1206">
        <f>'Budget Tracker~Suivi'!H116</f>
        <v>0</v>
      </c>
      <c r="I116" s="1205">
        <f>'Budget Tracker~Suivi'!I116</f>
        <v>0</v>
      </c>
      <c r="J116" s="1197"/>
      <c r="K116" s="1191"/>
      <c r="L116" s="12"/>
      <c r="M116" s="12"/>
      <c r="N116" s="12"/>
      <c r="O116" s="12"/>
      <c r="P116" s="12"/>
      <c r="Q116" s="12"/>
    </row>
    <row r="117" spans="1:17" ht="33" customHeight="1" x14ac:dyDescent="0.15">
      <c r="A117" s="12"/>
      <c r="B117" s="1577"/>
      <c r="C117" s="526">
        <f>'Jrnl Exp ~ Dép'!BQ$6</f>
        <v>5430</v>
      </c>
      <c r="D117" s="1605"/>
      <c r="E117" s="527" t="str">
        <f>+'Jrnl Exp ~ Dép'!BQ$8</f>
        <v>Effective Speaking</v>
      </c>
      <c r="F117" s="556" t="str">
        <f>'Budget Tracker~Suivi'!F117</f>
        <v>Rental, Meals, Trsp, Supplies, Competitions etc.</v>
      </c>
      <c r="G117" s="562"/>
      <c r="H117" s="1206">
        <f>'Budget Tracker~Suivi'!H117</f>
        <v>0</v>
      </c>
      <c r="I117" s="1205">
        <f>'Budget Tracker~Suivi'!I117</f>
        <v>0</v>
      </c>
      <c r="J117" s="1197"/>
      <c r="K117" s="1191"/>
      <c r="L117" s="12"/>
      <c r="M117" s="12"/>
      <c r="N117" s="12"/>
      <c r="O117" s="12"/>
      <c r="P117" s="12"/>
      <c r="Q117" s="12"/>
    </row>
    <row r="118" spans="1:17" ht="33" customHeight="1" x14ac:dyDescent="0.15">
      <c r="A118" s="12"/>
      <c r="B118" s="1577"/>
      <c r="C118" s="526">
        <f>'Jrnl Exp ~ Dép'!BR$6</f>
        <v>5435</v>
      </c>
      <c r="D118" s="1605"/>
      <c r="E118" s="527" t="str">
        <f>+'Jrnl Exp ~ Dép'!BR$8</f>
        <v>Disponible ~ Available</v>
      </c>
      <c r="F118" s="556">
        <f>'Budget Tracker~Suivi'!F118</f>
        <v>0</v>
      </c>
      <c r="G118" s="562"/>
      <c r="H118" s="1206">
        <f>'Budget Tracker~Suivi'!H118</f>
        <v>0</v>
      </c>
      <c r="I118" s="1205">
        <f>'Budget Tracker~Suivi'!I118</f>
        <v>0</v>
      </c>
      <c r="J118" s="1197"/>
      <c r="K118" s="1191"/>
      <c r="L118" s="12"/>
      <c r="M118" s="12"/>
      <c r="N118" s="12"/>
      <c r="O118" s="12"/>
      <c r="P118" s="12"/>
      <c r="Q118" s="12"/>
    </row>
    <row r="119" spans="1:17" ht="33" customHeight="1" x14ac:dyDescent="0.15">
      <c r="A119" s="12"/>
      <c r="B119" s="1577"/>
      <c r="C119" s="526">
        <f>'Jrnl Exp ~ Dép'!BS$6</f>
        <v>5440</v>
      </c>
      <c r="D119" s="1605"/>
      <c r="E119" s="527" t="str">
        <f>+'Jrnl Exp ~ Dép'!BS$8</f>
        <v>Disponible ~ Available</v>
      </c>
      <c r="F119" s="556">
        <f>'Budget Tracker~Suivi'!F119</f>
        <v>0</v>
      </c>
      <c r="G119" s="562"/>
      <c r="H119" s="1206">
        <f>'Budget Tracker~Suivi'!H119</f>
        <v>0</v>
      </c>
      <c r="I119" s="1205">
        <f>'Budget Tracker~Suivi'!I119</f>
        <v>0</v>
      </c>
      <c r="J119" s="1197"/>
      <c r="K119" s="1191"/>
      <c r="L119" s="12"/>
      <c r="M119" s="12"/>
      <c r="N119" s="12"/>
      <c r="O119" s="12"/>
      <c r="P119" s="12"/>
      <c r="Q119" s="12"/>
    </row>
    <row r="120" spans="1:17" ht="33" customHeight="1" x14ac:dyDescent="0.15">
      <c r="A120" s="12"/>
      <c r="B120" s="1577"/>
      <c r="C120" s="526">
        <f>'Jrnl Exp ~ Dép'!BT$6</f>
        <v>5445</v>
      </c>
      <c r="D120" s="1605"/>
      <c r="E120" s="527" t="str">
        <f>+'Jrnl Exp ~ Dép'!BT$8</f>
        <v>Disponible ~ Available</v>
      </c>
      <c r="F120" s="556">
        <f>'Budget Tracker~Suivi'!F120</f>
        <v>0</v>
      </c>
      <c r="G120" s="562"/>
      <c r="H120" s="1206">
        <f>'Budget Tracker~Suivi'!H120</f>
        <v>0</v>
      </c>
      <c r="I120" s="1205">
        <f>'Budget Tracker~Suivi'!I120</f>
        <v>0</v>
      </c>
      <c r="J120" s="1197"/>
      <c r="K120" s="1191"/>
      <c r="L120" s="12"/>
      <c r="M120" s="12"/>
      <c r="N120" s="12"/>
      <c r="O120" s="12"/>
      <c r="P120" s="12"/>
      <c r="Q120" s="12"/>
    </row>
    <row r="121" spans="1:17" ht="33" customHeight="1" x14ac:dyDescent="0.15">
      <c r="A121" s="12"/>
      <c r="B121" s="1577"/>
      <c r="C121" s="526">
        <f>'Jrnl Exp ~ Dép'!BU$6</f>
        <v>5450</v>
      </c>
      <c r="D121" s="1605"/>
      <c r="E121" s="527" t="str">
        <f>+'Jrnl Exp ~ Dép'!BU$8</f>
        <v>Disponible ~ Available</v>
      </c>
      <c r="F121" s="556">
        <f>'Budget Tracker~Suivi'!F121</f>
        <v>0</v>
      </c>
      <c r="G121" s="562"/>
      <c r="H121" s="1206">
        <f>'Budget Tracker~Suivi'!H121</f>
        <v>0</v>
      </c>
      <c r="I121" s="1205">
        <f>'Budget Tracker~Suivi'!I121</f>
        <v>0</v>
      </c>
      <c r="J121" s="1197"/>
      <c r="K121" s="1191"/>
      <c r="L121" s="12"/>
      <c r="M121" s="12"/>
      <c r="N121" s="12"/>
      <c r="O121" s="12"/>
      <c r="P121" s="12"/>
      <c r="Q121" s="12"/>
    </row>
    <row r="122" spans="1:17" ht="33" customHeight="1" thickBot="1" x14ac:dyDescent="0.2">
      <c r="A122" s="12"/>
      <c r="B122" s="1578"/>
      <c r="C122" s="541">
        <f>'Jrnl Exp ~ Dép'!BV$6</f>
        <v>5455</v>
      </c>
      <c r="D122" s="1591"/>
      <c r="E122" s="542" t="str">
        <f>+'Jrnl Exp ~ Dép'!BV$8</f>
        <v>Disponible ~ Available</v>
      </c>
      <c r="F122" s="563">
        <f>'Budget Tracker~Suivi'!F122</f>
        <v>0</v>
      </c>
      <c r="G122" s="564"/>
      <c r="H122" s="1206">
        <f>'Budget Tracker~Suivi'!H122</f>
        <v>0</v>
      </c>
      <c r="I122" s="1205">
        <f>'Budget Tracker~Suivi'!I122</f>
        <v>0</v>
      </c>
      <c r="J122" s="1196"/>
      <c r="K122" s="1191"/>
      <c r="L122" s="12"/>
      <c r="M122" s="12"/>
      <c r="N122" s="12"/>
      <c r="O122" s="12"/>
      <c r="P122" s="12"/>
      <c r="Q122" s="12"/>
    </row>
    <row r="123" spans="1:17" ht="33" customHeight="1" thickTop="1" x14ac:dyDescent="0.15">
      <c r="A123" s="12"/>
      <c r="B123" s="1572" t="str">
        <f>CONCATENATE('Jrnl Exp ~ Dép'!BW4," - ",'Jrnl Exp ~ Dép'!BW5)</f>
        <v>5500 - DND Non-Supported Trg/Activities Expenses</v>
      </c>
      <c r="C123" s="1875">
        <f>'Jrnl Exp ~ Dép'!BW$6</f>
        <v>5510</v>
      </c>
      <c r="D123" s="565"/>
      <c r="E123" s="559" t="str">
        <f>+'Jrnl Exp ~ Dép'!BW$8</f>
        <v>Cadet Banquets and Special Events</v>
      </c>
      <c r="F123" s="554" t="str">
        <f>IF(K29=2,"5510 TOTAL","5510 TOTAL")</f>
        <v>5510 TOTAL</v>
      </c>
      <c r="G123" s="561"/>
      <c r="H123" s="1242">
        <f>SUM(G124:G130)</f>
        <v>0</v>
      </c>
      <c r="I123" s="1243">
        <f>SUM(I124:I130)</f>
        <v>0</v>
      </c>
      <c r="J123" s="1242"/>
      <c r="K123" s="1244">
        <f>SUM(K124:K130)</f>
        <v>0</v>
      </c>
      <c r="L123" s="12"/>
      <c r="M123" s="12"/>
      <c r="N123" s="12"/>
      <c r="O123" s="12"/>
      <c r="P123" s="12"/>
      <c r="Q123" s="12"/>
    </row>
    <row r="124" spans="1:17" ht="33" customHeight="1" x14ac:dyDescent="0.15">
      <c r="A124" s="12"/>
      <c r="B124" s="1573"/>
      <c r="C124" s="1876"/>
      <c r="D124" s="1225">
        <f>'Jrnl Exp ~ Dép'!BX$6</f>
        <v>5510.1</v>
      </c>
      <c r="E124" s="1226" t="str">
        <f>'Jrnl Exp ~ Dép'!BX$8</f>
        <v>Disponible ~ Available</v>
      </c>
      <c r="F124" s="1227"/>
      <c r="G124" s="1210">
        <f>'Budget Tracker~Suivi'!G124</f>
        <v>0</v>
      </c>
      <c r="H124" s="1610"/>
      <c r="I124" s="1205">
        <f>'Budget Tracker~Suivi'!I124</f>
        <v>0</v>
      </c>
      <c r="J124" s="1197"/>
      <c r="K124" s="1191"/>
      <c r="L124" s="12"/>
      <c r="M124" s="12"/>
      <c r="N124" s="12"/>
      <c r="O124" s="12"/>
      <c r="P124" s="12"/>
      <c r="Q124" s="12"/>
    </row>
    <row r="125" spans="1:17" ht="33" customHeight="1" x14ac:dyDescent="0.15">
      <c r="A125" s="12"/>
      <c r="B125" s="1573"/>
      <c r="C125" s="1876"/>
      <c r="D125" s="1225">
        <f>'Jrnl Exp ~ Dép'!BY$6</f>
        <v>5510.2</v>
      </c>
      <c r="E125" s="1226" t="str">
        <f>'Jrnl Exp ~ Dép'!BY$8</f>
        <v>Disponible ~ Available</v>
      </c>
      <c r="F125" s="1227"/>
      <c r="G125" s="1210">
        <f>'Budget Tracker~Suivi'!G125</f>
        <v>0</v>
      </c>
      <c r="H125" s="1611"/>
      <c r="I125" s="1205">
        <f>'Budget Tracker~Suivi'!I125</f>
        <v>0</v>
      </c>
      <c r="J125" s="1197"/>
      <c r="K125" s="1191"/>
      <c r="L125" s="12"/>
      <c r="M125" s="12"/>
      <c r="N125" s="12"/>
      <c r="O125" s="12"/>
      <c r="P125" s="12"/>
      <c r="Q125" s="12"/>
    </row>
    <row r="126" spans="1:17" ht="33" customHeight="1" x14ac:dyDescent="0.15">
      <c r="A126" s="12"/>
      <c r="B126" s="1573"/>
      <c r="C126" s="1876"/>
      <c r="D126" s="1225">
        <f>'Jrnl Exp ~ Dép'!BZ$6</f>
        <v>5510.3</v>
      </c>
      <c r="E126" s="1226" t="str">
        <f>'Jrnl Exp ~ Dép'!BZ$8</f>
        <v>Disponible ~ Available</v>
      </c>
      <c r="F126" s="1227"/>
      <c r="G126" s="1210">
        <f>'Budget Tracker~Suivi'!G126</f>
        <v>0</v>
      </c>
      <c r="H126" s="1611"/>
      <c r="I126" s="1205">
        <f>'Budget Tracker~Suivi'!I126</f>
        <v>0</v>
      </c>
      <c r="J126" s="1197"/>
      <c r="K126" s="1191"/>
      <c r="L126" s="12"/>
      <c r="M126" s="12"/>
      <c r="N126" s="12"/>
      <c r="O126" s="12"/>
      <c r="P126" s="12"/>
      <c r="Q126" s="12"/>
    </row>
    <row r="127" spans="1:17" ht="33" customHeight="1" x14ac:dyDescent="0.15">
      <c r="A127" s="12"/>
      <c r="B127" s="1573"/>
      <c r="C127" s="1876"/>
      <c r="D127" s="1225">
        <f>'Jrnl Exp ~ Dép'!CA$6</f>
        <v>5510.4</v>
      </c>
      <c r="E127" s="1226" t="str">
        <f>'Jrnl Exp ~ Dép'!CA$8</f>
        <v>Disponible ~ Available</v>
      </c>
      <c r="F127" s="1227"/>
      <c r="G127" s="1210">
        <f>'Budget Tracker~Suivi'!G127</f>
        <v>0</v>
      </c>
      <c r="H127" s="1611"/>
      <c r="I127" s="1205">
        <f>'Budget Tracker~Suivi'!I127</f>
        <v>0</v>
      </c>
      <c r="J127" s="1197"/>
      <c r="K127" s="1191"/>
      <c r="L127" s="12"/>
      <c r="M127" s="12"/>
      <c r="N127" s="12"/>
      <c r="O127" s="12"/>
      <c r="P127" s="12"/>
      <c r="Q127" s="12"/>
    </row>
    <row r="128" spans="1:17" ht="33" customHeight="1" x14ac:dyDescent="0.15">
      <c r="A128" s="12"/>
      <c r="B128" s="1573"/>
      <c r="C128" s="1876"/>
      <c r="D128" s="1225">
        <f>'Jrnl Exp ~ Dép'!CB$6</f>
        <v>5510.5</v>
      </c>
      <c r="E128" s="1226" t="str">
        <f>'Jrnl Exp ~ Dép'!CB$8</f>
        <v>Disponible ~ Available</v>
      </c>
      <c r="F128" s="1227"/>
      <c r="G128" s="1210">
        <f>'Budget Tracker~Suivi'!G128</f>
        <v>0</v>
      </c>
      <c r="H128" s="1611"/>
      <c r="I128" s="1205">
        <f>'Budget Tracker~Suivi'!I128</f>
        <v>0</v>
      </c>
      <c r="J128" s="1197"/>
      <c r="K128" s="1191"/>
      <c r="L128" s="12"/>
      <c r="M128" s="12"/>
      <c r="N128" s="12"/>
      <c r="O128" s="12"/>
      <c r="P128" s="12"/>
      <c r="Q128" s="12"/>
    </row>
    <row r="129" spans="1:17" ht="33" customHeight="1" x14ac:dyDescent="0.15">
      <c r="A129" s="12"/>
      <c r="B129" s="1573"/>
      <c r="C129" s="1876"/>
      <c r="D129" s="1225">
        <f>'Jrnl Exp ~ Dép'!CC$6</f>
        <v>5510.6</v>
      </c>
      <c r="E129" s="1226" t="str">
        <f>'Jrnl Exp ~ Dép'!CC$8</f>
        <v>Disponible ~ Available</v>
      </c>
      <c r="F129" s="1227"/>
      <c r="G129" s="1210">
        <f>'Budget Tracker~Suivi'!G129</f>
        <v>0</v>
      </c>
      <c r="H129" s="1611"/>
      <c r="I129" s="1205">
        <f>'Budget Tracker~Suivi'!I129</f>
        <v>0</v>
      </c>
      <c r="J129" s="1197"/>
      <c r="K129" s="1191"/>
      <c r="L129" s="12"/>
      <c r="M129" s="12"/>
      <c r="N129" s="12"/>
      <c r="O129" s="12"/>
      <c r="P129" s="12"/>
      <c r="Q129" s="12"/>
    </row>
    <row r="130" spans="1:17" ht="33" customHeight="1" thickBot="1" x14ac:dyDescent="0.2">
      <c r="A130" s="12"/>
      <c r="B130" s="1573"/>
      <c r="C130" s="1877"/>
      <c r="D130" s="1228">
        <f>'Jrnl Exp ~ Dép'!CD$6</f>
        <v>5510.7</v>
      </c>
      <c r="E130" s="1229" t="str">
        <f>'Jrnl Exp ~ Dép'!CD$8</f>
        <v>Disponible ~ Available</v>
      </c>
      <c r="F130" s="1245"/>
      <c r="G130" s="1203">
        <f>'Budget Tracker~Suivi'!G130</f>
        <v>0</v>
      </c>
      <c r="H130" s="1882"/>
      <c r="I130" s="1204">
        <f>'Budget Tracker~Suivi'!I130</f>
        <v>0</v>
      </c>
      <c r="J130" s="1196"/>
      <c r="K130" s="1192"/>
      <c r="L130" s="12"/>
      <c r="M130" s="12"/>
      <c r="N130" s="12"/>
      <c r="O130" s="12"/>
      <c r="P130" s="12"/>
      <c r="Q130" s="12"/>
    </row>
    <row r="131" spans="1:17" ht="33" customHeight="1" thickTop="1" x14ac:dyDescent="0.15">
      <c r="A131" s="12"/>
      <c r="B131" s="1573"/>
      <c r="C131" s="532">
        <f>'Jrnl Exp ~ Dép'!CE$6</f>
        <v>5515</v>
      </c>
      <c r="D131" s="1581"/>
      <c r="E131" s="533" t="str">
        <f>+'Jrnl Exp ~ Dép'!CE$8</f>
        <v>Annual Ceremonial Review</v>
      </c>
      <c r="F131" s="503" t="str">
        <f>'Budget Tracker~Suivi'!F131</f>
        <v>Rental, Food, Trsp, etc.</v>
      </c>
      <c r="G131" s="1601"/>
      <c r="H131" s="1201">
        <f>'Budget Tracker~Suivi'!H131</f>
        <v>0</v>
      </c>
      <c r="I131" s="1207">
        <f>'Budget Tracker~Suivi'!I131</f>
        <v>0</v>
      </c>
      <c r="J131" s="1198"/>
      <c r="K131" s="1193"/>
      <c r="L131" s="12"/>
      <c r="M131" s="12"/>
      <c r="N131" s="12"/>
      <c r="O131" s="12"/>
      <c r="P131" s="12"/>
      <c r="Q131" s="12"/>
    </row>
    <row r="132" spans="1:17" ht="33" customHeight="1" x14ac:dyDescent="0.15">
      <c r="A132" s="12"/>
      <c r="B132" s="1573"/>
      <c r="C132" s="147">
        <f>'Jrnl Exp ~ Dép'!CF$6</f>
        <v>5520</v>
      </c>
      <c r="D132" s="1581"/>
      <c r="E132" s="501" t="str">
        <f>+'Jrnl Exp ~ Dép'!CF$8</f>
        <v>Honours &amp; Award</v>
      </c>
      <c r="F132" s="503" t="str">
        <f>'Budget Tracker~Suivi'!F132</f>
        <v>Trophies, Plaques, Gifts for guests, etc.</v>
      </c>
      <c r="G132" s="1601"/>
      <c r="H132" s="1210">
        <f>'Budget Tracker~Suivi'!H132</f>
        <v>0</v>
      </c>
      <c r="I132" s="1205">
        <f>'Budget Tracker~Suivi'!I132</f>
        <v>0</v>
      </c>
      <c r="J132" s="1197"/>
      <c r="K132" s="1191"/>
      <c r="L132" s="12"/>
      <c r="M132" s="12"/>
      <c r="N132" s="12"/>
      <c r="O132" s="12"/>
      <c r="P132" s="12"/>
      <c r="Q132" s="12"/>
    </row>
    <row r="133" spans="1:17" ht="33" customHeight="1" x14ac:dyDescent="0.15">
      <c r="A133" s="12"/>
      <c r="B133" s="1573"/>
      <c r="C133" s="147">
        <f>'Jrnl Exp ~ Dép'!CG$6</f>
        <v>5525</v>
      </c>
      <c r="D133" s="1581"/>
      <c r="E133" s="501" t="str">
        <f>+'Jrnl Exp ~ Dép'!CG$8</f>
        <v>Cadet &amp; Ceremonial Accoutrements</v>
      </c>
      <c r="F133" s="503" t="str">
        <f>'Budget Tracker~Suivi'!F133</f>
        <v>White Belt, Name Tag, Medal Mounting, Etc.</v>
      </c>
      <c r="G133" s="1601"/>
      <c r="H133" s="1210">
        <f>'Budget Tracker~Suivi'!H133</f>
        <v>0</v>
      </c>
      <c r="I133" s="1205">
        <f>'Budget Tracker~Suivi'!I133</f>
        <v>0</v>
      </c>
      <c r="J133" s="1197"/>
      <c r="K133" s="1191"/>
      <c r="L133" s="12"/>
      <c r="M133" s="12"/>
      <c r="N133" s="12"/>
      <c r="O133" s="12"/>
      <c r="P133" s="12"/>
      <c r="Q133" s="12"/>
    </row>
    <row r="134" spans="1:17" ht="33" customHeight="1" x14ac:dyDescent="0.15">
      <c r="A134" s="12"/>
      <c r="B134" s="1573"/>
      <c r="C134" s="147">
        <f>'Jrnl Exp ~ Dép'!CH$6</f>
        <v>5530</v>
      </c>
      <c r="D134" s="1581"/>
      <c r="E134" s="501" t="str">
        <f>+'Jrnl Exp ~ Dép'!CH$8</f>
        <v>Scholarship &amp; Bursaries</v>
      </c>
      <c r="F134" s="503">
        <f>'Budget Tracker~Suivi'!F134</f>
        <v>0</v>
      </c>
      <c r="G134" s="1601"/>
      <c r="H134" s="1210">
        <f>'Budget Tracker~Suivi'!H134</f>
        <v>0</v>
      </c>
      <c r="I134" s="1205">
        <f>'Budget Tracker~Suivi'!I134</f>
        <v>0</v>
      </c>
      <c r="J134" s="1197"/>
      <c r="K134" s="1191"/>
      <c r="L134" s="12"/>
      <c r="M134" s="12"/>
      <c r="N134" s="12"/>
      <c r="O134" s="12"/>
      <c r="P134" s="12"/>
      <c r="Q134" s="12"/>
    </row>
    <row r="135" spans="1:17" ht="33" customHeight="1" x14ac:dyDescent="0.15">
      <c r="A135" s="12"/>
      <c r="B135" s="1573"/>
      <c r="C135" s="147">
        <f>'Jrnl Exp ~ Dép'!CI$6</f>
        <v>5535</v>
      </c>
      <c r="D135" s="1581"/>
      <c r="E135" s="501" t="str">
        <f>+'Jrnl Exp ~ Dép'!CI$8</f>
        <v>Disponible ~ Available</v>
      </c>
      <c r="F135" s="503">
        <f>'Budget Tracker~Suivi'!F135</f>
        <v>0</v>
      </c>
      <c r="G135" s="1601"/>
      <c r="H135" s="1210">
        <f>'Budget Tracker~Suivi'!H135</f>
        <v>0</v>
      </c>
      <c r="I135" s="1205">
        <f>'Budget Tracker~Suivi'!I135</f>
        <v>0</v>
      </c>
      <c r="J135" s="1197"/>
      <c r="K135" s="1191"/>
      <c r="L135" s="12"/>
      <c r="M135" s="12"/>
      <c r="N135" s="12"/>
      <c r="O135" s="12"/>
      <c r="P135" s="12"/>
      <c r="Q135" s="12"/>
    </row>
    <row r="136" spans="1:17" ht="33" customHeight="1" x14ac:dyDescent="0.15">
      <c r="A136" s="12"/>
      <c r="B136" s="1573"/>
      <c r="C136" s="532">
        <f>'Jrnl Exp ~ Dép'!CJ$6</f>
        <v>5540</v>
      </c>
      <c r="D136" s="1581"/>
      <c r="E136" s="533" t="str">
        <f>+'Jrnl Exp ~ Dép'!CJ$8</f>
        <v>Disponible ~ Available</v>
      </c>
      <c r="F136" s="503">
        <f>'Budget Tracker~Suivi'!F136</f>
        <v>0</v>
      </c>
      <c r="G136" s="1601"/>
      <c r="H136" s="1210">
        <f>'Budget Tracker~Suivi'!H136</f>
        <v>0</v>
      </c>
      <c r="I136" s="1205">
        <f>'Budget Tracker~Suivi'!I136</f>
        <v>0</v>
      </c>
      <c r="J136" s="1197"/>
      <c r="K136" s="1191"/>
      <c r="L136" s="12"/>
      <c r="M136" s="12"/>
      <c r="N136" s="12"/>
      <c r="O136" s="12"/>
      <c r="P136" s="12"/>
      <c r="Q136" s="12"/>
    </row>
    <row r="137" spans="1:17" ht="33" customHeight="1" x14ac:dyDescent="0.15">
      <c r="A137" s="12"/>
      <c r="B137" s="1573"/>
      <c r="C137" s="532">
        <f>'Jrnl Exp ~ Dép'!CK$6</f>
        <v>5545</v>
      </c>
      <c r="D137" s="1581"/>
      <c r="E137" s="501" t="str">
        <f>+'Jrnl Exp ~ Dép'!CK$8</f>
        <v>Disponible ~ Available</v>
      </c>
      <c r="F137" s="503">
        <f>'Budget Tracker~Suivi'!F137</f>
        <v>0</v>
      </c>
      <c r="G137" s="1601"/>
      <c r="H137" s="1210">
        <f>'Budget Tracker~Suivi'!H137</f>
        <v>0</v>
      </c>
      <c r="I137" s="1205">
        <f>'Budget Tracker~Suivi'!I137</f>
        <v>0</v>
      </c>
      <c r="J137" s="1197"/>
      <c r="K137" s="1191"/>
      <c r="L137" s="12"/>
      <c r="M137" s="12"/>
      <c r="N137" s="12"/>
      <c r="O137" s="12"/>
      <c r="P137" s="12"/>
      <c r="Q137" s="12"/>
    </row>
    <row r="138" spans="1:17" ht="33" customHeight="1" thickBot="1" x14ac:dyDescent="0.2">
      <c r="A138" s="12"/>
      <c r="B138" s="1579"/>
      <c r="C138" s="536">
        <f>'Jrnl Exp ~ Dép'!CL$6</f>
        <v>5550</v>
      </c>
      <c r="D138" s="1582"/>
      <c r="E138" s="542" t="str">
        <f>+'Jrnl Exp ~ Dép'!CL$8</f>
        <v>Disponible ~ Available</v>
      </c>
      <c r="F138" s="503">
        <f>'Budget Tracker~Suivi'!F138</f>
        <v>0</v>
      </c>
      <c r="G138" s="1602"/>
      <c r="H138" s="1203">
        <f>'Budget Tracker~Suivi'!H138</f>
        <v>0</v>
      </c>
      <c r="I138" s="1204">
        <f>'Budget Tracker~Suivi'!I138</f>
        <v>0</v>
      </c>
      <c r="J138" s="1196"/>
      <c r="K138" s="1192"/>
      <c r="L138" s="12"/>
      <c r="M138" s="12"/>
      <c r="N138" s="12"/>
      <c r="O138" s="12"/>
      <c r="P138" s="12"/>
      <c r="Q138" s="12"/>
    </row>
    <row r="139" spans="1:17" ht="33" customHeight="1" thickTop="1" thickBot="1" x14ac:dyDescent="0.2">
      <c r="A139" s="12"/>
      <c r="B139" s="1576" t="str">
        <f>CONCATENATE('Jrnl Exp ~ Dép'!CM4," - ",'Jrnl Exp ~ Dép'!CM5)</f>
        <v>5600 - Expenses - Gaming &amp; Lotteries Fundraising</v>
      </c>
      <c r="C139" s="522">
        <f>'Jrnl Exp ~ Dép'!CM$6</f>
        <v>5610</v>
      </c>
      <c r="D139" s="1574"/>
      <c r="E139" s="523" t="str">
        <f>+'Jrnl Exp ~ Dép'!CM$8</f>
        <v>Disponible ~ Available</v>
      </c>
      <c r="F139" s="524">
        <f>'Budget Tracker~Suivi'!F139</f>
        <v>0</v>
      </c>
      <c r="G139" s="1574"/>
      <c r="H139" s="1201">
        <f>'Budget Tracker~Suivi'!H139</f>
        <v>0</v>
      </c>
      <c r="I139" s="1207">
        <f>'Budget Tracker~Suivi'!I139</f>
        <v>0</v>
      </c>
      <c r="J139" s="1195"/>
      <c r="K139" s="1193"/>
      <c r="L139" s="12"/>
      <c r="M139" s="12"/>
      <c r="N139" s="12"/>
      <c r="O139" s="12"/>
      <c r="P139" s="12"/>
      <c r="Q139" s="12"/>
    </row>
    <row r="140" spans="1:17" ht="33" customHeight="1" thickTop="1" thickBot="1" x14ac:dyDescent="0.2">
      <c r="A140" s="12"/>
      <c r="B140" s="1577"/>
      <c r="C140" s="147">
        <f>'Jrnl Exp ~ Dép'!CN$6</f>
        <v>5620</v>
      </c>
      <c r="D140" s="1574"/>
      <c r="E140" s="501" t="str">
        <f>+'Jrnl Exp ~ Dép'!CN$8</f>
        <v>Disponible ~ Available</v>
      </c>
      <c r="F140" s="540">
        <f>'Budget Tracker~Suivi'!F140</f>
        <v>0</v>
      </c>
      <c r="G140" s="1574"/>
      <c r="H140" s="1210">
        <f>'Budget Tracker~Suivi'!H140</f>
        <v>0</v>
      </c>
      <c r="I140" s="1205">
        <f>'Budget Tracker~Suivi'!I140</f>
        <v>0</v>
      </c>
      <c r="J140" s="1197"/>
      <c r="K140" s="1191"/>
      <c r="L140" s="12"/>
      <c r="M140" s="12"/>
      <c r="N140" s="12"/>
      <c r="O140" s="12"/>
      <c r="P140" s="12"/>
      <c r="Q140" s="12"/>
    </row>
    <row r="141" spans="1:17" ht="33" customHeight="1" thickTop="1" thickBot="1" x14ac:dyDescent="0.2">
      <c r="A141" s="12"/>
      <c r="B141" s="1577"/>
      <c r="C141" s="147">
        <f>'Jrnl Exp ~ Dép'!CO$6</f>
        <v>5630</v>
      </c>
      <c r="D141" s="1574"/>
      <c r="E141" s="501" t="str">
        <f>+'Jrnl Exp ~ Dép'!CO$8</f>
        <v>Disponible ~ Available</v>
      </c>
      <c r="F141" s="540">
        <f>'Budget Tracker~Suivi'!F141</f>
        <v>0</v>
      </c>
      <c r="G141" s="1574"/>
      <c r="H141" s="1210">
        <f>'Budget Tracker~Suivi'!H141</f>
        <v>0</v>
      </c>
      <c r="I141" s="1205">
        <f>'Budget Tracker~Suivi'!I141</f>
        <v>0</v>
      </c>
      <c r="J141" s="1197"/>
      <c r="K141" s="1191"/>
      <c r="L141" s="12"/>
      <c r="M141" s="12"/>
      <c r="N141" s="12"/>
      <c r="O141" s="12"/>
      <c r="P141" s="12"/>
      <c r="Q141" s="12"/>
    </row>
    <row r="142" spans="1:17" ht="33" customHeight="1" thickTop="1" thickBot="1" x14ac:dyDescent="0.2">
      <c r="A142" s="12"/>
      <c r="B142" s="1577"/>
      <c r="C142" s="147">
        <f>'Jrnl Exp ~ Dép'!CP$6</f>
        <v>5640</v>
      </c>
      <c r="D142" s="1574"/>
      <c r="E142" s="501" t="str">
        <f>+'Jrnl Exp ~ Dép'!CP$8</f>
        <v>Disponible ~ Available</v>
      </c>
      <c r="F142" s="540">
        <f>'Budget Tracker~Suivi'!F142</f>
        <v>0</v>
      </c>
      <c r="G142" s="1574"/>
      <c r="H142" s="1210">
        <f>'Budget Tracker~Suivi'!H142</f>
        <v>0</v>
      </c>
      <c r="I142" s="1205">
        <f>'Budget Tracker~Suivi'!I142</f>
        <v>0</v>
      </c>
      <c r="J142" s="1197"/>
      <c r="K142" s="1191"/>
      <c r="L142" s="12"/>
      <c r="M142" s="12"/>
      <c r="N142" s="12"/>
      <c r="O142" s="12"/>
      <c r="P142" s="12"/>
      <c r="Q142" s="12"/>
    </row>
    <row r="143" spans="1:17" ht="33" customHeight="1" thickTop="1" thickBot="1" x14ac:dyDescent="0.2">
      <c r="A143" s="12"/>
      <c r="B143" s="1577"/>
      <c r="C143" s="147">
        <f>'Jrnl Exp ~ Dép'!CQ$6</f>
        <v>5650</v>
      </c>
      <c r="D143" s="1574"/>
      <c r="E143" s="501" t="str">
        <f>+'Jrnl Exp ~ Dép'!CQ$8</f>
        <v>Disponible ~ Available</v>
      </c>
      <c r="F143" s="540">
        <f>'Budget Tracker~Suivi'!F143</f>
        <v>0</v>
      </c>
      <c r="G143" s="1574"/>
      <c r="H143" s="1210">
        <f>'Budget Tracker~Suivi'!H143</f>
        <v>0</v>
      </c>
      <c r="I143" s="1205">
        <f>'Budget Tracker~Suivi'!I143</f>
        <v>0</v>
      </c>
      <c r="J143" s="1197"/>
      <c r="K143" s="1191"/>
      <c r="L143" s="12"/>
      <c r="M143" s="12"/>
      <c r="N143" s="12"/>
      <c r="O143" s="12"/>
      <c r="P143" s="12"/>
      <c r="Q143" s="12"/>
    </row>
    <row r="144" spans="1:17" ht="33" customHeight="1" thickTop="1" thickBot="1" x14ac:dyDescent="0.2">
      <c r="A144" s="12"/>
      <c r="B144" s="1577"/>
      <c r="C144" s="147">
        <f>'Jrnl Exp ~ Dép'!CR$6</f>
        <v>5660</v>
      </c>
      <c r="D144" s="1574"/>
      <c r="E144" s="501" t="str">
        <f>+'Jrnl Exp ~ Dép'!CR$8</f>
        <v>Disponible ~ Available</v>
      </c>
      <c r="F144" s="540">
        <f>'Budget Tracker~Suivi'!F144</f>
        <v>0</v>
      </c>
      <c r="G144" s="1574"/>
      <c r="H144" s="1210">
        <f>'Budget Tracker~Suivi'!H144</f>
        <v>0</v>
      </c>
      <c r="I144" s="1205">
        <f>'Budget Tracker~Suivi'!I144</f>
        <v>0</v>
      </c>
      <c r="J144" s="1197"/>
      <c r="K144" s="1191"/>
      <c r="L144" s="566"/>
      <c r="M144" s="566"/>
      <c r="N144" s="566"/>
      <c r="O144" s="566"/>
      <c r="P144" s="566"/>
      <c r="Q144" s="566"/>
    </row>
    <row r="145" spans="1:17" ht="33" customHeight="1" thickTop="1" thickBot="1" x14ac:dyDescent="0.2">
      <c r="A145" s="12"/>
      <c r="B145" s="1577"/>
      <c r="C145" s="147">
        <f>'Jrnl Exp ~ Dép'!CS$6</f>
        <v>5670</v>
      </c>
      <c r="D145" s="1574"/>
      <c r="E145" s="501" t="str">
        <f>+'Jrnl Exp ~ Dép'!CS$8</f>
        <v>Disponible ~ Available</v>
      </c>
      <c r="F145" s="540">
        <f>'Budget Tracker~Suivi'!F145</f>
        <v>0</v>
      </c>
      <c r="G145" s="1574"/>
      <c r="H145" s="1210">
        <f>'Budget Tracker~Suivi'!H145</f>
        <v>0</v>
      </c>
      <c r="I145" s="1205">
        <f>'Budget Tracker~Suivi'!I145</f>
        <v>0</v>
      </c>
      <c r="J145" s="1197"/>
      <c r="K145" s="1191"/>
      <c r="L145" s="12"/>
      <c r="M145" s="12"/>
      <c r="N145" s="12"/>
      <c r="O145" s="12"/>
      <c r="P145" s="12"/>
      <c r="Q145" s="12"/>
    </row>
    <row r="146" spans="1:17" ht="33" customHeight="1" thickTop="1" thickBot="1" x14ac:dyDescent="0.2">
      <c r="A146" s="12"/>
      <c r="B146" s="1577"/>
      <c r="C146" s="147">
        <f>'Jrnl Exp ~ Dép'!CT$6</f>
        <v>5680</v>
      </c>
      <c r="D146" s="1574"/>
      <c r="E146" s="501" t="str">
        <f>+'Jrnl Exp ~ Dép'!CT$8</f>
        <v>Disponible ~ Available</v>
      </c>
      <c r="F146" s="540">
        <f>'Budget Tracker~Suivi'!F146</f>
        <v>0</v>
      </c>
      <c r="G146" s="1574"/>
      <c r="H146" s="1210">
        <f>'Budget Tracker~Suivi'!H146</f>
        <v>0</v>
      </c>
      <c r="I146" s="1205">
        <f>'Budget Tracker~Suivi'!I146</f>
        <v>0</v>
      </c>
      <c r="J146" s="1197"/>
      <c r="K146" s="1191"/>
      <c r="L146" s="12"/>
      <c r="M146" s="12"/>
      <c r="N146" s="12"/>
      <c r="O146" s="12"/>
      <c r="P146" s="12"/>
      <c r="Q146" s="12"/>
    </row>
    <row r="147" spans="1:17" ht="33" customHeight="1" thickTop="1" thickBot="1" x14ac:dyDescent="0.2">
      <c r="A147" s="12"/>
      <c r="B147" s="1578"/>
      <c r="C147" s="541">
        <f>'Jrnl Exp ~ Dép'!CU$6</f>
        <v>5690</v>
      </c>
      <c r="D147" s="1574"/>
      <c r="E147" s="542" t="str">
        <f>+'Jrnl Exp ~ Dép'!CU$8</f>
        <v>Disponible ~ Available</v>
      </c>
      <c r="F147" s="538">
        <f>'Budget Tracker~Suivi'!F147</f>
        <v>0</v>
      </c>
      <c r="G147" s="1574"/>
      <c r="H147" s="1203">
        <f>'Budget Tracker~Suivi'!H147</f>
        <v>0</v>
      </c>
      <c r="I147" s="1204">
        <f>'Budget Tracker~Suivi'!I147</f>
        <v>0</v>
      </c>
      <c r="J147" s="1196"/>
      <c r="K147" s="1192"/>
      <c r="L147" s="12"/>
      <c r="M147" s="12"/>
      <c r="N147" s="12"/>
      <c r="O147" s="12"/>
      <c r="P147" s="12"/>
      <c r="Q147" s="12"/>
    </row>
    <row r="148" spans="1:17" ht="33" customHeight="1" thickTop="1" thickBot="1" x14ac:dyDescent="0.2">
      <c r="A148" s="12"/>
      <c r="B148" s="1576" t="str">
        <f>CONCATENATE('Jrnl Exp ~ Dép'!CV4," - ",'Jrnl Exp ~ Dép'!CV5)</f>
        <v>5700 - Expenses - Other Fundraising</v>
      </c>
      <c r="C148" s="522">
        <f>'Jrnl Exp ~ Dép'!CV$6</f>
        <v>5710</v>
      </c>
      <c r="D148" s="1574"/>
      <c r="E148" s="523" t="str">
        <f>+'Jrnl Exp ~ Dép'!CV$8</f>
        <v>Disponible ~ Available</v>
      </c>
      <c r="F148" s="524">
        <f>'Budget Tracker~Suivi'!F148</f>
        <v>0</v>
      </c>
      <c r="G148" s="1574"/>
      <c r="H148" s="1201">
        <f>'Budget Tracker~Suivi'!H148</f>
        <v>0</v>
      </c>
      <c r="I148" s="1207">
        <f>'Budget Tracker~Suivi'!I148</f>
        <v>0</v>
      </c>
      <c r="J148" s="1195"/>
      <c r="K148" s="1193"/>
    </row>
    <row r="149" spans="1:17" ht="33" customHeight="1" thickTop="1" thickBot="1" x14ac:dyDescent="0.2">
      <c r="A149" s="566"/>
      <c r="B149" s="1577"/>
      <c r="C149" s="147">
        <f>'Jrnl Exp ~ Dép'!CW$6</f>
        <v>5720</v>
      </c>
      <c r="D149" s="1574"/>
      <c r="E149" s="501" t="str">
        <f>+'Jrnl Exp ~ Dép'!CW$8</f>
        <v>Disponible ~ Available</v>
      </c>
      <c r="F149" s="540">
        <f>'Budget Tracker~Suivi'!F149</f>
        <v>0</v>
      </c>
      <c r="G149" s="1574"/>
      <c r="H149" s="1210">
        <f>'Budget Tracker~Suivi'!H149</f>
        <v>0</v>
      </c>
      <c r="I149" s="1205">
        <f>'Budget Tracker~Suivi'!I149</f>
        <v>0</v>
      </c>
      <c r="J149" s="1197"/>
      <c r="K149" s="1191"/>
    </row>
    <row r="150" spans="1:17" ht="33" customHeight="1" thickTop="1" thickBot="1" x14ac:dyDescent="0.2">
      <c r="A150" s="12"/>
      <c r="B150" s="1577"/>
      <c r="C150" s="147">
        <f>'Jrnl Exp ~ Dép'!CX$6</f>
        <v>5730</v>
      </c>
      <c r="D150" s="1574"/>
      <c r="E150" s="501" t="str">
        <f>+'Jrnl Exp ~ Dép'!CX$8</f>
        <v>Disponible ~ Available</v>
      </c>
      <c r="F150" s="540">
        <f>'Budget Tracker~Suivi'!F150</f>
        <v>0</v>
      </c>
      <c r="G150" s="1574"/>
      <c r="H150" s="1210">
        <f>'Budget Tracker~Suivi'!H150</f>
        <v>0</v>
      </c>
      <c r="I150" s="1205">
        <f>'Budget Tracker~Suivi'!I150</f>
        <v>0</v>
      </c>
      <c r="J150" s="1197"/>
      <c r="K150" s="1191"/>
    </row>
    <row r="151" spans="1:17" ht="33" customHeight="1" thickTop="1" thickBot="1" x14ac:dyDescent="0.2">
      <c r="A151" s="12"/>
      <c r="B151" s="1577"/>
      <c r="C151" s="147">
        <f>'Jrnl Exp ~ Dép'!CY$6</f>
        <v>5740</v>
      </c>
      <c r="D151" s="1574"/>
      <c r="E151" s="501" t="str">
        <f>+'Jrnl Exp ~ Dép'!CY$8</f>
        <v>Disponible ~ Available</v>
      </c>
      <c r="F151" s="540">
        <f>'Budget Tracker~Suivi'!F151</f>
        <v>0</v>
      </c>
      <c r="G151" s="1574"/>
      <c r="H151" s="1210">
        <f>'Budget Tracker~Suivi'!H151</f>
        <v>0</v>
      </c>
      <c r="I151" s="1205">
        <f>'Budget Tracker~Suivi'!I151</f>
        <v>0</v>
      </c>
      <c r="J151" s="1197"/>
      <c r="K151" s="1191"/>
    </row>
    <row r="152" spans="1:17" ht="33" customHeight="1" thickTop="1" thickBot="1" x14ac:dyDescent="0.2">
      <c r="A152" s="12"/>
      <c r="B152" s="1577"/>
      <c r="C152" s="147">
        <f>'Jrnl Exp ~ Dép'!CZ$6</f>
        <v>5750</v>
      </c>
      <c r="D152" s="1574"/>
      <c r="E152" s="501" t="str">
        <f>+'Jrnl Exp ~ Dép'!CZ$8</f>
        <v>Disponible ~ Available</v>
      </c>
      <c r="F152" s="540">
        <f>'Budget Tracker~Suivi'!F152</f>
        <v>0</v>
      </c>
      <c r="G152" s="1574"/>
      <c r="H152" s="1210">
        <f>'Budget Tracker~Suivi'!H152</f>
        <v>0</v>
      </c>
      <c r="I152" s="1205">
        <f>'Budget Tracker~Suivi'!I152</f>
        <v>0</v>
      </c>
      <c r="J152" s="1197"/>
      <c r="K152" s="1191"/>
    </row>
    <row r="153" spans="1:17" ht="33" customHeight="1" thickTop="1" thickBot="1" x14ac:dyDescent="0.2">
      <c r="A153" s="12"/>
      <c r="B153" s="1577"/>
      <c r="C153" s="147">
        <f>'Jrnl Exp ~ Dép'!DA$6</f>
        <v>5760</v>
      </c>
      <c r="D153" s="1574"/>
      <c r="E153" s="501" t="str">
        <f>+'Jrnl Exp ~ Dép'!DA$8</f>
        <v>Disponible ~ Available</v>
      </c>
      <c r="F153" s="540">
        <f>'Budget Tracker~Suivi'!F153</f>
        <v>0</v>
      </c>
      <c r="G153" s="1574"/>
      <c r="H153" s="1210">
        <f>'Budget Tracker~Suivi'!H153</f>
        <v>0</v>
      </c>
      <c r="I153" s="1205">
        <f>'Budget Tracker~Suivi'!I153</f>
        <v>0</v>
      </c>
      <c r="J153" s="1197"/>
      <c r="K153" s="1191"/>
    </row>
    <row r="154" spans="1:17" ht="33" customHeight="1" thickTop="1" thickBot="1" x14ac:dyDescent="0.2">
      <c r="A154" s="12"/>
      <c r="B154" s="1577"/>
      <c r="C154" s="147">
        <f>'Jrnl Exp ~ Dép'!DB$6</f>
        <v>5770</v>
      </c>
      <c r="D154" s="1574"/>
      <c r="E154" s="501" t="str">
        <f>+'Jrnl Exp ~ Dép'!DB$8</f>
        <v>Disponible ~ Available</v>
      </c>
      <c r="F154" s="540">
        <f>'Budget Tracker~Suivi'!F154</f>
        <v>0</v>
      </c>
      <c r="G154" s="1574"/>
      <c r="H154" s="1210">
        <f>'Budget Tracker~Suivi'!H154</f>
        <v>0</v>
      </c>
      <c r="I154" s="1205">
        <f>'Budget Tracker~Suivi'!I154</f>
        <v>0</v>
      </c>
      <c r="J154" s="1197"/>
      <c r="K154" s="1191"/>
    </row>
    <row r="155" spans="1:17" ht="33" customHeight="1" thickTop="1" thickBot="1" x14ac:dyDescent="0.2">
      <c r="A155" s="12"/>
      <c r="B155" s="1577"/>
      <c r="C155" s="147">
        <f>'Jrnl Exp ~ Dép'!DC$6</f>
        <v>5780</v>
      </c>
      <c r="D155" s="1574"/>
      <c r="E155" s="501" t="str">
        <f>+'Jrnl Exp ~ Dép'!DC$8</f>
        <v>Disponible ~ Available</v>
      </c>
      <c r="F155" s="540">
        <f>'Budget Tracker~Suivi'!F155</f>
        <v>0</v>
      </c>
      <c r="G155" s="1574"/>
      <c r="H155" s="1210">
        <f>'Budget Tracker~Suivi'!H155</f>
        <v>0</v>
      </c>
      <c r="I155" s="1205">
        <f>'Budget Tracker~Suivi'!I155</f>
        <v>0</v>
      </c>
      <c r="J155" s="1197"/>
      <c r="K155" s="1191"/>
    </row>
    <row r="156" spans="1:17" ht="33" customHeight="1" thickTop="1" thickBot="1" x14ac:dyDescent="0.2">
      <c r="A156" s="12"/>
      <c r="B156" s="1578"/>
      <c r="C156" s="541">
        <f>'Jrnl Exp ~ Dép'!DD$6</f>
        <v>5790</v>
      </c>
      <c r="D156" s="1574"/>
      <c r="E156" s="542" t="str">
        <f>+'Jrnl Exp ~ Dép'!DD$8</f>
        <v>Disponible ~ Available</v>
      </c>
      <c r="F156" s="538">
        <f>'Budget Tracker~Suivi'!F156</f>
        <v>0</v>
      </c>
      <c r="G156" s="1574"/>
      <c r="H156" s="1203">
        <f>'Budget Tracker~Suivi'!H156</f>
        <v>0</v>
      </c>
      <c r="I156" s="1204">
        <f>'Budget Tracker~Suivi'!I156</f>
        <v>0</v>
      </c>
      <c r="J156" s="1196"/>
      <c r="K156" s="1192"/>
    </row>
    <row r="157" spans="1:17" ht="33" customHeight="1" thickTop="1" thickBot="1" x14ac:dyDescent="0.2">
      <c r="A157" s="12"/>
      <c r="B157" s="1576" t="str">
        <f>CONCATENATE('Jrnl Exp ~ Dép'!DE4," - ",'Jrnl Exp ~ Dép'!DE5)</f>
        <v>5800 - Other Expenses</v>
      </c>
      <c r="C157" s="522">
        <f>'Jrnl Exp ~ Dép'!DE$6</f>
        <v>5810</v>
      </c>
      <c r="D157" s="1574"/>
      <c r="E157" s="523" t="str">
        <f>+'Jrnl Exp ~ Dép'!DE$8</f>
        <v>Donations to other Qualified Donnees</v>
      </c>
      <c r="F157" s="524" t="str">
        <f>'Budget Tracker~Suivi'!F157</f>
        <v>Donation to another Registered Charity</v>
      </c>
      <c r="G157" s="1574"/>
      <c r="H157" s="1206">
        <f>'Budget Tracker~Suivi'!H157</f>
        <v>0</v>
      </c>
      <c r="I157" s="1207">
        <f>'Budget Tracker~Suivi'!I157</f>
        <v>0</v>
      </c>
      <c r="J157" s="1195"/>
      <c r="K157" s="1193"/>
    </row>
    <row r="158" spans="1:17" ht="33" customHeight="1" thickTop="1" thickBot="1" x14ac:dyDescent="0.2">
      <c r="A158" s="12"/>
      <c r="B158" s="1577"/>
      <c r="C158" s="147">
        <f>'Jrnl Exp ~ Dép'!DF$6</f>
        <v>5820</v>
      </c>
      <c r="D158" s="1574"/>
      <c r="E158" s="501" t="str">
        <f>+'Jrnl Exp ~ Dép'!DF$8</f>
        <v>Bad Debts</v>
      </c>
      <c r="F158" s="540">
        <f>'Budget Tracker~Suivi'!F158</f>
        <v>0</v>
      </c>
      <c r="G158" s="1574"/>
      <c r="H158" s="1210">
        <f>'Budget Tracker~Suivi'!H158</f>
        <v>0</v>
      </c>
      <c r="I158" s="1205">
        <f>'Budget Tracker~Suivi'!I158</f>
        <v>0</v>
      </c>
      <c r="J158" s="1197"/>
      <c r="K158" s="1191"/>
    </row>
    <row r="159" spans="1:17" ht="33" customHeight="1" thickTop="1" thickBot="1" x14ac:dyDescent="0.2">
      <c r="A159" s="12"/>
      <c r="B159" s="1577"/>
      <c r="C159" s="147">
        <f>'Jrnl Exp ~ Dép'!DG$6</f>
        <v>5830</v>
      </c>
      <c r="D159" s="1574"/>
      <c r="E159" s="501" t="str">
        <f>+'Jrnl Exp ~ Dép'!DG$8</f>
        <v>Capital Losses</v>
      </c>
      <c r="F159" s="540">
        <f>'Budget Tracker~Suivi'!F159</f>
        <v>0</v>
      </c>
      <c r="G159" s="1574"/>
      <c r="H159" s="1210">
        <f>'Budget Tracker~Suivi'!H159</f>
        <v>0</v>
      </c>
      <c r="I159" s="1205">
        <f>'Budget Tracker~Suivi'!I159</f>
        <v>0</v>
      </c>
      <c r="J159" s="1197"/>
      <c r="K159" s="1191"/>
    </row>
    <row r="160" spans="1:17" ht="33" customHeight="1" thickTop="1" thickBot="1" x14ac:dyDescent="0.2">
      <c r="A160" s="12"/>
      <c r="B160" s="1577"/>
      <c r="C160" s="147">
        <f>'Jrnl Exp ~ Dép'!DH$6</f>
        <v>5840</v>
      </c>
      <c r="D160" s="1574"/>
      <c r="E160" s="501" t="str">
        <f>+'Jrnl Exp ~ Dép'!DH$8</f>
        <v>Purchase of Sqn Logo Items</v>
      </c>
      <c r="F160" s="540">
        <f>'Budget Tracker~Suivi'!F160</f>
        <v>0</v>
      </c>
      <c r="G160" s="1574"/>
      <c r="H160" s="1210">
        <f>'Budget Tracker~Suivi'!H160</f>
        <v>0</v>
      </c>
      <c r="I160" s="1205">
        <f>'Budget Tracker~Suivi'!I160</f>
        <v>0</v>
      </c>
      <c r="J160" s="1197"/>
      <c r="K160" s="1191"/>
    </row>
    <row r="161" spans="1:11" ht="33" customHeight="1" thickTop="1" thickBot="1" x14ac:dyDescent="0.2">
      <c r="A161" s="12"/>
      <c r="B161" s="1577"/>
      <c r="C161" s="147">
        <f>'Jrnl Exp ~ Dép'!DI$6</f>
        <v>5850</v>
      </c>
      <c r="D161" s="1574"/>
      <c r="E161" s="501" t="str">
        <f>+'Jrnl Exp ~ Dép'!DI$8</f>
        <v>Purchase for Canteen</v>
      </c>
      <c r="F161" s="540">
        <f>'Budget Tracker~Suivi'!F161</f>
        <v>0</v>
      </c>
      <c r="G161" s="1574"/>
      <c r="H161" s="1210">
        <f>'Budget Tracker~Suivi'!H161</f>
        <v>0</v>
      </c>
      <c r="I161" s="1205">
        <f>'Budget Tracker~Suivi'!I161</f>
        <v>0</v>
      </c>
      <c r="J161" s="1197"/>
      <c r="K161" s="1191"/>
    </row>
    <row r="162" spans="1:11" ht="33" customHeight="1" thickTop="1" thickBot="1" x14ac:dyDescent="0.2">
      <c r="A162" s="12"/>
      <c r="B162" s="1577"/>
      <c r="C162" s="147">
        <f>'Jrnl Exp ~ Dép'!DJ$6</f>
        <v>5860</v>
      </c>
      <c r="D162" s="1574"/>
      <c r="E162" s="501" t="str">
        <f>+'Jrnl Exp ~ Dép'!DJ$8</f>
        <v>Expenses from previous years</v>
      </c>
      <c r="F162" s="540">
        <f>'Budget Tracker~Suivi'!F162</f>
        <v>0</v>
      </c>
      <c r="G162" s="1574"/>
      <c r="H162" s="1210">
        <f>'Budget Tracker~Suivi'!H162</f>
        <v>0</v>
      </c>
      <c r="I162" s="1205">
        <f>'Budget Tracker~Suivi'!I162</f>
        <v>0</v>
      </c>
      <c r="J162" s="1197"/>
      <c r="K162" s="1191"/>
    </row>
    <row r="163" spans="1:11" ht="33" customHeight="1" thickTop="1" thickBot="1" x14ac:dyDescent="0.2">
      <c r="A163" s="12"/>
      <c r="B163" s="1577"/>
      <c r="C163" s="147">
        <f>'Jrnl Exp ~ Dép'!DK$6</f>
        <v>5870</v>
      </c>
      <c r="D163" s="1574"/>
      <c r="E163" s="501" t="str">
        <f>+'Jrnl Exp ~ Dép'!DK$8</f>
        <v>Disponible ~ Available</v>
      </c>
      <c r="F163" s="540">
        <f>'Budget Tracker~Suivi'!F163</f>
        <v>0</v>
      </c>
      <c r="G163" s="1574"/>
      <c r="H163" s="1210">
        <f>'Budget Tracker~Suivi'!H163</f>
        <v>0</v>
      </c>
      <c r="I163" s="1205">
        <f>'Budget Tracker~Suivi'!I163</f>
        <v>0</v>
      </c>
      <c r="J163" s="1197"/>
      <c r="K163" s="1191"/>
    </row>
    <row r="164" spans="1:11" ht="33" customHeight="1" thickTop="1" thickBot="1" x14ac:dyDescent="0.2">
      <c r="A164" s="12"/>
      <c r="B164" s="1578"/>
      <c r="C164" s="541">
        <f>'Jrnl Exp ~ Dép'!DL$6</f>
        <v>5880</v>
      </c>
      <c r="D164" s="1574"/>
      <c r="E164" s="537" t="str">
        <f>+'Jrnl Exp ~ Dép'!DL$8</f>
        <v>Other Expenses (Must not be Excessive)</v>
      </c>
      <c r="F164" s="538">
        <f>'Budget Tracker~Suivi'!F164</f>
        <v>0</v>
      </c>
      <c r="G164" s="1574"/>
      <c r="H164" s="1203">
        <f>'Budget Tracker~Suivi'!H164</f>
        <v>0</v>
      </c>
      <c r="I164" s="1204">
        <f>'Budget Tracker~Suivi'!I164</f>
        <v>0</v>
      </c>
      <c r="J164" s="1200"/>
      <c r="K164" s="1192"/>
    </row>
    <row r="165" spans="1:11" ht="13.5" customHeight="1" thickTop="1" x14ac:dyDescent="0.15">
      <c r="A165" s="12"/>
      <c r="B165" s="25"/>
      <c r="C165" s="27"/>
      <c r="D165" s="27"/>
      <c r="E165" s="568"/>
      <c r="F165" s="24"/>
      <c r="G165" s="24"/>
      <c r="H165" s="543"/>
      <c r="I165" s="569"/>
      <c r="J165" s="543"/>
      <c r="K165" s="543"/>
    </row>
    <row r="166" spans="1:11" ht="33" customHeight="1" x14ac:dyDescent="0.15">
      <c r="A166" s="12"/>
      <c r="B166" s="544"/>
      <c r="C166" s="570"/>
      <c r="D166" s="570"/>
      <c r="E166" s="1575" t="str">
        <f>IF(N7=2,"Sous-Total","Sub-Total")</f>
        <v>Sub-Total</v>
      </c>
      <c r="F166" s="1575"/>
      <c r="G166" s="1575"/>
      <c r="H166" s="571">
        <f>SUM(H64:H90,H95,H100:H123,H131:H164)</f>
        <v>0</v>
      </c>
      <c r="I166" s="571">
        <f>SUM(I64:I90,I95,I100:I123,I131:I164)</f>
        <v>0</v>
      </c>
      <c r="J166" s="571"/>
      <c r="K166" s="571">
        <f>SUM(K64:K90,K95,K100:K122,K123,K131:K164)</f>
        <v>0</v>
      </c>
    </row>
    <row r="167" spans="1:11" x14ac:dyDescent="0.15">
      <c r="B167" s="1"/>
      <c r="C167" s="1"/>
      <c r="D167" s="1"/>
      <c r="E167" s="1"/>
      <c r="F167" s="1"/>
      <c r="G167" s="1"/>
      <c r="H167" s="1"/>
      <c r="I167" s="1"/>
      <c r="J167" s="1"/>
    </row>
    <row r="168" spans="1:11" x14ac:dyDescent="0.15">
      <c r="B168" s="1"/>
      <c r="C168" s="1"/>
      <c r="D168" s="1"/>
      <c r="E168" s="1"/>
      <c r="F168" s="1"/>
      <c r="G168" s="1"/>
      <c r="H168" s="1"/>
      <c r="I168" s="1"/>
      <c r="J168" s="1"/>
    </row>
    <row r="169" spans="1:11" x14ac:dyDescent="0.15">
      <c r="B169" s="1"/>
      <c r="C169" s="1"/>
      <c r="D169" s="1"/>
      <c r="E169" s="1"/>
      <c r="F169" s="1"/>
      <c r="G169" s="1"/>
      <c r="H169" s="1"/>
      <c r="I169" s="1"/>
      <c r="J169" s="1"/>
    </row>
    <row r="170" spans="1:11" x14ac:dyDescent="0.15">
      <c r="B170" s="1"/>
      <c r="C170" s="1"/>
      <c r="D170" s="1"/>
      <c r="E170" s="1"/>
      <c r="F170" s="1"/>
      <c r="G170" s="1"/>
      <c r="H170" s="1"/>
      <c r="I170" s="1"/>
      <c r="J170" s="1"/>
    </row>
    <row r="171" spans="1:11" x14ac:dyDescent="0.15">
      <c r="B171" s="1"/>
      <c r="C171" s="1"/>
      <c r="D171" s="1"/>
      <c r="E171" s="1"/>
      <c r="F171" s="1"/>
      <c r="G171" s="1"/>
      <c r="H171" s="1"/>
      <c r="I171" s="1"/>
      <c r="J171" s="1"/>
    </row>
    <row r="172" spans="1:11" x14ac:dyDescent="0.15">
      <c r="B172" s="1"/>
      <c r="C172" s="1"/>
      <c r="D172" s="1"/>
      <c r="E172" s="1"/>
      <c r="F172" s="1"/>
      <c r="G172" s="1"/>
      <c r="H172" s="1"/>
      <c r="I172" s="1"/>
      <c r="J172" s="1"/>
    </row>
    <row r="173" spans="1:11" x14ac:dyDescent="0.15">
      <c r="B173" s="1"/>
      <c r="C173" s="1"/>
      <c r="D173" s="1"/>
      <c r="E173" s="1"/>
      <c r="F173" s="1"/>
      <c r="G173" s="1"/>
      <c r="H173" s="1"/>
      <c r="I173" s="1"/>
      <c r="J173" s="1"/>
    </row>
    <row r="174" spans="1:11" x14ac:dyDescent="0.15">
      <c r="B174" s="1"/>
      <c r="C174" s="1"/>
      <c r="D174" s="1"/>
      <c r="E174" s="1"/>
      <c r="F174" s="1"/>
      <c r="G174" s="1"/>
      <c r="H174" s="1"/>
      <c r="I174" s="1"/>
      <c r="J174" s="1"/>
    </row>
    <row r="175" spans="1:11" x14ac:dyDescent="0.15">
      <c r="B175" s="1"/>
      <c r="C175" s="1"/>
      <c r="D175" s="1"/>
      <c r="E175" s="1"/>
      <c r="F175" s="1"/>
      <c r="G175" s="1"/>
      <c r="H175" s="1"/>
      <c r="I175" s="1"/>
      <c r="J175" s="1"/>
    </row>
    <row r="176" spans="1:11" x14ac:dyDescent="0.15">
      <c r="B176" s="1"/>
      <c r="C176" s="1"/>
      <c r="D176" s="1"/>
      <c r="E176" s="1"/>
      <c r="F176" s="1"/>
      <c r="G176" s="1"/>
      <c r="H176" s="1"/>
      <c r="I176" s="1"/>
      <c r="J176" s="1"/>
    </row>
    <row r="177" spans="2:10" x14ac:dyDescent="0.15">
      <c r="B177" s="1"/>
      <c r="C177" s="1"/>
      <c r="D177" s="1"/>
      <c r="E177" s="1"/>
      <c r="F177" s="1"/>
      <c r="G177" s="1"/>
      <c r="H177" s="1"/>
      <c r="I177" s="1"/>
      <c r="J177" s="1"/>
    </row>
    <row r="178" spans="2:10" x14ac:dyDescent="0.15">
      <c r="B178" s="1"/>
      <c r="C178" s="1"/>
      <c r="D178" s="1"/>
      <c r="E178" s="1"/>
      <c r="F178" s="1"/>
      <c r="G178" s="1"/>
      <c r="H178" s="1"/>
      <c r="I178" s="1"/>
      <c r="J178" s="1"/>
    </row>
    <row r="179" spans="2:10" x14ac:dyDescent="0.15">
      <c r="B179" s="1"/>
      <c r="C179" s="1"/>
      <c r="D179" s="1"/>
      <c r="E179" s="1"/>
      <c r="F179" s="1"/>
      <c r="G179" s="1"/>
      <c r="H179" s="1"/>
      <c r="I179" s="1"/>
      <c r="J179" s="1"/>
    </row>
    <row r="180" spans="2:10" x14ac:dyDescent="0.15">
      <c r="B180" s="1"/>
      <c r="C180" s="1"/>
      <c r="D180" s="1"/>
      <c r="E180" s="1"/>
      <c r="F180" s="1"/>
      <c r="G180" s="1"/>
      <c r="H180" s="1"/>
      <c r="I180" s="1"/>
      <c r="J180" s="1"/>
    </row>
    <row r="181" spans="2:10" x14ac:dyDescent="0.15">
      <c r="B181" s="1"/>
      <c r="C181" s="1"/>
      <c r="D181" s="1"/>
      <c r="E181" s="1"/>
      <c r="F181" s="1"/>
      <c r="G181" s="1"/>
      <c r="H181" s="1"/>
      <c r="I181" s="1"/>
      <c r="J181" s="1"/>
    </row>
    <row r="182" spans="2:10" x14ac:dyDescent="0.15">
      <c r="B182" s="1"/>
      <c r="C182" s="1"/>
      <c r="D182" s="1"/>
      <c r="E182" s="1"/>
      <c r="F182" s="1"/>
      <c r="G182" s="1"/>
      <c r="H182" s="1"/>
      <c r="I182" s="1"/>
      <c r="J182" s="1"/>
    </row>
    <row r="183" spans="2:10" x14ac:dyDescent="0.15">
      <c r="B183" s="1"/>
      <c r="C183" s="1"/>
      <c r="D183" s="1"/>
      <c r="E183" s="1"/>
      <c r="F183" s="1"/>
      <c r="G183" s="1"/>
      <c r="H183" s="1"/>
      <c r="I183" s="1"/>
      <c r="J183" s="1"/>
    </row>
    <row r="184" spans="2:10" x14ac:dyDescent="0.15">
      <c r="B184" s="1"/>
      <c r="C184" s="1"/>
      <c r="D184" s="1"/>
      <c r="E184" s="1"/>
      <c r="F184" s="1"/>
      <c r="G184" s="1"/>
      <c r="H184" s="1"/>
      <c r="I184" s="1"/>
      <c r="J184" s="1"/>
    </row>
    <row r="185" spans="2:10" x14ac:dyDescent="0.15">
      <c r="B185" s="1"/>
      <c r="C185" s="1"/>
      <c r="D185" s="1"/>
      <c r="E185" s="1"/>
      <c r="F185" s="1"/>
      <c r="G185" s="1"/>
      <c r="H185" s="1"/>
      <c r="I185" s="1"/>
      <c r="J185" s="1"/>
    </row>
    <row r="186" spans="2:10" x14ac:dyDescent="0.15">
      <c r="B186" s="1"/>
      <c r="C186" s="1"/>
      <c r="D186" s="1"/>
      <c r="E186" s="1"/>
      <c r="F186" s="1"/>
      <c r="G186" s="1"/>
      <c r="H186" s="1"/>
      <c r="I186" s="1"/>
      <c r="J186" s="1"/>
    </row>
    <row r="187" spans="2:10" x14ac:dyDescent="0.15">
      <c r="B187" s="1"/>
      <c r="C187" s="1"/>
      <c r="D187" s="1"/>
      <c r="E187" s="1"/>
      <c r="F187" s="1"/>
      <c r="G187" s="1"/>
      <c r="H187" s="1"/>
      <c r="I187" s="1"/>
      <c r="J187" s="1"/>
    </row>
    <row r="188" spans="2:10" x14ac:dyDescent="0.15">
      <c r="B188" s="1"/>
      <c r="C188" s="1"/>
      <c r="D188" s="1"/>
      <c r="E188" s="1"/>
      <c r="F188" s="1"/>
      <c r="G188" s="1"/>
      <c r="H188" s="1"/>
      <c r="I188" s="1"/>
      <c r="J188" s="1"/>
    </row>
    <row r="189" spans="2:10" x14ac:dyDescent="0.15">
      <c r="B189" s="1"/>
      <c r="C189" s="1"/>
      <c r="D189" s="1"/>
      <c r="E189" s="1"/>
      <c r="F189" s="1"/>
      <c r="G189" s="1"/>
      <c r="H189" s="1"/>
      <c r="I189" s="1"/>
      <c r="J189" s="1"/>
    </row>
    <row r="190" spans="2:10" x14ac:dyDescent="0.15">
      <c r="B190" s="1"/>
      <c r="C190" s="1"/>
      <c r="D190" s="1"/>
      <c r="E190" s="1"/>
      <c r="F190" s="1"/>
      <c r="G190" s="1"/>
      <c r="H190" s="1"/>
      <c r="I190" s="1"/>
      <c r="J190" s="1"/>
    </row>
    <row r="191" spans="2:10" x14ac:dyDescent="0.15">
      <c r="B191" s="1"/>
      <c r="C191" s="1"/>
      <c r="D191" s="1"/>
      <c r="E191" s="1"/>
      <c r="F191" s="1"/>
      <c r="G191" s="1"/>
      <c r="H191" s="1"/>
      <c r="I191" s="1"/>
      <c r="J191" s="1"/>
    </row>
    <row r="192" spans="2:10" x14ac:dyDescent="0.15">
      <c r="B192" s="1"/>
      <c r="C192" s="1"/>
      <c r="D192" s="1"/>
      <c r="E192" s="1"/>
      <c r="F192" s="1"/>
      <c r="G192" s="1"/>
      <c r="H192" s="1"/>
      <c r="I192" s="1"/>
      <c r="J192" s="1"/>
    </row>
    <row r="193" spans="2:10" x14ac:dyDescent="0.15">
      <c r="B193" s="1"/>
      <c r="C193" s="1"/>
      <c r="D193" s="1"/>
      <c r="E193" s="1"/>
      <c r="F193" s="1"/>
      <c r="G193" s="1"/>
      <c r="H193" s="1"/>
      <c r="I193" s="1"/>
      <c r="J193" s="1"/>
    </row>
    <row r="194" spans="2:10" x14ac:dyDescent="0.15">
      <c r="B194" s="1"/>
      <c r="C194" s="1"/>
      <c r="D194" s="1"/>
      <c r="E194" s="1"/>
      <c r="F194" s="1"/>
      <c r="G194" s="1"/>
      <c r="H194" s="1"/>
      <c r="I194" s="1"/>
      <c r="J194" s="1"/>
    </row>
    <row r="195" spans="2:10" x14ac:dyDescent="0.15">
      <c r="B195" s="1"/>
      <c r="C195" s="1"/>
      <c r="D195" s="1"/>
      <c r="E195" s="1"/>
      <c r="F195" s="1"/>
      <c r="G195" s="1"/>
      <c r="H195" s="1"/>
      <c r="I195" s="1"/>
      <c r="J195" s="1"/>
    </row>
    <row r="196" spans="2:10" x14ac:dyDescent="0.15">
      <c r="B196" s="1"/>
      <c r="C196" s="1"/>
      <c r="D196" s="1"/>
      <c r="E196" s="1"/>
      <c r="F196" s="1"/>
      <c r="G196" s="1"/>
      <c r="H196" s="1"/>
      <c r="I196" s="1"/>
      <c r="J196" s="1"/>
    </row>
    <row r="197" spans="2:10" x14ac:dyDescent="0.15">
      <c r="B197" s="1"/>
      <c r="C197" s="1"/>
      <c r="D197" s="1"/>
      <c r="E197" s="1"/>
      <c r="F197" s="1"/>
      <c r="G197" s="1"/>
      <c r="H197" s="1"/>
      <c r="I197" s="1"/>
      <c r="J197" s="1"/>
    </row>
    <row r="198" spans="2:10" x14ac:dyDescent="0.15">
      <c r="B198" s="1"/>
      <c r="C198" s="1"/>
      <c r="D198" s="1"/>
      <c r="E198" s="1"/>
      <c r="F198" s="1"/>
      <c r="G198" s="1"/>
      <c r="H198" s="1"/>
      <c r="I198" s="1"/>
      <c r="J198" s="1"/>
    </row>
    <row r="199" spans="2:10" x14ac:dyDescent="0.15">
      <c r="B199" s="1"/>
      <c r="C199" s="1"/>
      <c r="D199" s="1"/>
      <c r="E199" s="1"/>
      <c r="F199" s="1"/>
      <c r="G199" s="1"/>
      <c r="H199" s="1"/>
      <c r="I199" s="1"/>
      <c r="J199" s="1"/>
    </row>
    <row r="200" spans="2:10" x14ac:dyDescent="0.15">
      <c r="B200" s="1"/>
      <c r="C200" s="1"/>
      <c r="D200" s="1"/>
      <c r="E200" s="1"/>
      <c r="F200" s="1"/>
      <c r="G200" s="1"/>
      <c r="H200" s="1"/>
      <c r="I200" s="1"/>
      <c r="J200" s="1"/>
    </row>
    <row r="201" spans="2:10" x14ac:dyDescent="0.15">
      <c r="B201" s="1"/>
      <c r="C201" s="1"/>
      <c r="D201" s="1"/>
      <c r="E201" s="1"/>
      <c r="F201" s="1"/>
      <c r="G201" s="1"/>
      <c r="H201" s="1"/>
      <c r="I201" s="1"/>
      <c r="J201" s="1"/>
    </row>
    <row r="202" spans="2:10" x14ac:dyDescent="0.15">
      <c r="B202" s="1"/>
      <c r="C202" s="1"/>
      <c r="D202" s="1"/>
      <c r="E202" s="1"/>
      <c r="F202" s="1"/>
      <c r="G202" s="1"/>
      <c r="H202" s="1"/>
      <c r="I202" s="1"/>
      <c r="J202" s="1"/>
    </row>
    <row r="203" spans="2:10" x14ac:dyDescent="0.15">
      <c r="B203" s="1"/>
      <c r="C203" s="1"/>
      <c r="D203" s="1"/>
      <c r="E203" s="1"/>
      <c r="F203" s="1"/>
      <c r="G203" s="1"/>
      <c r="H203" s="1"/>
      <c r="I203" s="1"/>
      <c r="J203" s="1"/>
    </row>
    <row r="204" spans="2:10" x14ac:dyDescent="0.15">
      <c r="B204" s="1"/>
      <c r="C204" s="1"/>
      <c r="D204" s="1"/>
      <c r="E204" s="1"/>
      <c r="F204" s="1"/>
      <c r="G204" s="1"/>
      <c r="H204" s="1"/>
      <c r="I204" s="1"/>
      <c r="J204" s="1"/>
    </row>
    <row r="205" spans="2:10" x14ac:dyDescent="0.15">
      <c r="B205" s="1"/>
      <c r="C205" s="1"/>
      <c r="D205" s="1"/>
      <c r="E205" s="1"/>
      <c r="F205" s="1"/>
      <c r="G205" s="1"/>
      <c r="H205" s="1"/>
      <c r="I205" s="1"/>
      <c r="J205" s="1"/>
    </row>
    <row r="206" spans="2:10" x14ac:dyDescent="0.15">
      <c r="B206" s="1"/>
      <c r="C206" s="1"/>
      <c r="D206" s="1"/>
      <c r="E206" s="1"/>
      <c r="F206" s="1"/>
      <c r="G206" s="1"/>
      <c r="H206" s="1"/>
      <c r="I206" s="1"/>
      <c r="J206" s="1"/>
    </row>
    <row r="207" spans="2:10" x14ac:dyDescent="0.15">
      <c r="B207" s="1"/>
      <c r="C207" s="1"/>
      <c r="D207" s="1"/>
      <c r="E207" s="1"/>
      <c r="F207" s="1"/>
      <c r="G207" s="1"/>
      <c r="H207" s="1"/>
      <c r="I207" s="1"/>
      <c r="J207" s="1"/>
    </row>
    <row r="208" spans="2:10" x14ac:dyDescent="0.15">
      <c r="B208" s="1"/>
      <c r="C208" s="1"/>
      <c r="D208" s="1"/>
      <c r="E208" s="1"/>
      <c r="F208" s="1"/>
      <c r="G208" s="1"/>
      <c r="H208" s="1"/>
      <c r="I208" s="1"/>
      <c r="J208" s="1"/>
    </row>
    <row r="211" spans="2:10" x14ac:dyDescent="0.15">
      <c r="B211" s="1"/>
      <c r="C211" s="1"/>
      <c r="D211" s="1"/>
      <c r="E211" s="1"/>
      <c r="F211" s="1"/>
      <c r="G211" s="1"/>
    </row>
    <row r="212" spans="2:10" x14ac:dyDescent="0.15">
      <c r="B212" s="1"/>
      <c r="C212" s="1"/>
      <c r="D212" s="1"/>
      <c r="E212" s="1"/>
      <c r="F212" s="1"/>
      <c r="G212" s="1"/>
    </row>
    <row r="213" spans="2:10" x14ac:dyDescent="0.15">
      <c r="B213" s="1"/>
      <c r="C213" s="1"/>
      <c r="D213" s="1"/>
      <c r="E213" s="1"/>
      <c r="F213" s="1"/>
      <c r="G213" s="1"/>
    </row>
    <row r="214" spans="2:10" x14ac:dyDescent="0.15">
      <c r="B214" s="1"/>
      <c r="C214" s="1"/>
      <c r="D214" s="1"/>
      <c r="E214" s="1"/>
      <c r="F214" s="1"/>
      <c r="G214" s="1"/>
    </row>
    <row r="215" spans="2:10" x14ac:dyDescent="0.15">
      <c r="B215" s="1"/>
      <c r="C215" s="1"/>
      <c r="D215" s="1"/>
      <c r="E215" s="1"/>
      <c r="F215" s="1"/>
      <c r="G215" s="1"/>
    </row>
    <row r="216" spans="2:10" x14ac:dyDescent="0.15">
      <c r="B216" s="1"/>
      <c r="C216" s="1"/>
      <c r="D216" s="1"/>
      <c r="E216" s="1"/>
      <c r="F216" s="1"/>
      <c r="G216" s="1"/>
    </row>
    <row r="217" spans="2:10" x14ac:dyDescent="0.15">
      <c r="B217" s="1"/>
      <c r="C217" s="1"/>
      <c r="D217" s="1"/>
      <c r="E217" s="1"/>
      <c r="F217" s="1"/>
      <c r="G217" s="1"/>
    </row>
    <row r="218" spans="2:10" x14ac:dyDescent="0.15">
      <c r="B218" s="1"/>
      <c r="C218" s="1"/>
      <c r="D218" s="1"/>
      <c r="E218" s="1"/>
      <c r="F218" s="1"/>
      <c r="G218" s="1"/>
      <c r="I218" s="1"/>
      <c r="J218" s="1"/>
    </row>
    <row r="219" spans="2:10" x14ac:dyDescent="0.15">
      <c r="B219" s="1"/>
      <c r="C219" s="1"/>
      <c r="D219" s="1"/>
      <c r="E219" s="1"/>
      <c r="F219" s="1"/>
      <c r="G219" s="1"/>
      <c r="I219" s="1"/>
      <c r="J219" s="1"/>
    </row>
    <row r="220" spans="2:10" x14ac:dyDescent="0.15">
      <c r="B220" s="1"/>
      <c r="C220" s="1"/>
      <c r="D220" s="1"/>
      <c r="E220" s="1"/>
      <c r="F220" s="1"/>
      <c r="G220" s="1"/>
      <c r="I220" s="1"/>
      <c r="J220" s="1"/>
    </row>
    <row r="221" spans="2:10" x14ac:dyDescent="0.15">
      <c r="B221" s="1"/>
      <c r="C221" s="1"/>
      <c r="D221" s="1"/>
      <c r="E221" s="1"/>
      <c r="F221" s="1"/>
      <c r="G221" s="1"/>
      <c r="I221" s="1"/>
      <c r="J221" s="1"/>
    </row>
    <row r="222" spans="2:10" x14ac:dyDescent="0.15">
      <c r="B222" s="1"/>
      <c r="C222" s="1"/>
      <c r="D222" s="1"/>
      <c r="E222" s="1"/>
      <c r="F222" s="1"/>
      <c r="G222" s="1"/>
      <c r="I222" s="1"/>
      <c r="J222" s="1"/>
    </row>
    <row r="223" spans="2:10" x14ac:dyDescent="0.15">
      <c r="B223" s="1"/>
      <c r="C223" s="1"/>
      <c r="D223" s="1"/>
      <c r="E223" s="1"/>
      <c r="F223" s="1"/>
      <c r="G223" s="1"/>
      <c r="I223" s="1"/>
      <c r="J223" s="1"/>
    </row>
    <row r="224" spans="2:10" x14ac:dyDescent="0.15">
      <c r="B224" s="1"/>
      <c r="C224" s="1"/>
      <c r="D224" s="1"/>
      <c r="E224" s="1"/>
      <c r="F224" s="1"/>
      <c r="G224" s="1"/>
      <c r="I224" s="1"/>
      <c r="J224" s="1"/>
    </row>
    <row r="225" spans="2:10" x14ac:dyDescent="0.15">
      <c r="B225" s="1"/>
      <c r="C225" s="1"/>
      <c r="D225" s="1"/>
      <c r="E225" s="1"/>
      <c r="F225" s="1"/>
      <c r="G225" s="1"/>
      <c r="I225" s="1"/>
      <c r="J225" s="1"/>
    </row>
    <row r="226" spans="2:10" x14ac:dyDescent="0.15">
      <c r="B226" s="1"/>
      <c r="C226" s="1"/>
      <c r="D226" s="1"/>
      <c r="E226" s="1"/>
      <c r="F226" s="1"/>
      <c r="G226" s="1"/>
      <c r="I226" s="1"/>
      <c r="J226" s="1"/>
    </row>
    <row r="227" spans="2:10" x14ac:dyDescent="0.15">
      <c r="B227" s="1"/>
      <c r="C227" s="1"/>
      <c r="D227" s="1"/>
      <c r="E227" s="1"/>
      <c r="F227" s="1"/>
      <c r="G227" s="1"/>
      <c r="I227" s="1"/>
      <c r="J227" s="1"/>
    </row>
    <row r="228" spans="2:10" x14ac:dyDescent="0.15">
      <c r="B228" s="1"/>
      <c r="C228" s="1"/>
      <c r="D228" s="1"/>
      <c r="E228" s="1"/>
      <c r="F228" s="1"/>
      <c r="G228" s="1"/>
      <c r="I228" s="1"/>
      <c r="J228" s="1"/>
    </row>
    <row r="229" spans="2:10" x14ac:dyDescent="0.15">
      <c r="B229" s="1"/>
      <c r="C229" s="1"/>
      <c r="D229" s="1"/>
      <c r="E229" s="1"/>
      <c r="F229" s="1"/>
      <c r="G229" s="1"/>
      <c r="I229" s="1"/>
      <c r="J229" s="1"/>
    </row>
    <row r="230" spans="2:10" x14ac:dyDescent="0.15">
      <c r="B230" s="1"/>
      <c r="C230" s="1"/>
      <c r="D230" s="1"/>
      <c r="E230" s="1"/>
      <c r="F230" s="1"/>
      <c r="G230" s="1"/>
      <c r="I230" s="1"/>
      <c r="J230" s="1"/>
    </row>
    <row r="231" spans="2:10" x14ac:dyDescent="0.15">
      <c r="B231" s="1"/>
      <c r="C231" s="1"/>
      <c r="D231" s="1"/>
      <c r="E231" s="1"/>
      <c r="F231" s="1"/>
      <c r="G231" s="1"/>
      <c r="I231" s="1"/>
      <c r="J231" s="1"/>
    </row>
    <row r="232" spans="2:10" x14ac:dyDescent="0.15">
      <c r="B232" s="1"/>
      <c r="C232" s="1"/>
      <c r="D232" s="1"/>
      <c r="E232" s="1"/>
      <c r="F232" s="1"/>
      <c r="G232" s="1"/>
      <c r="I232" s="1"/>
      <c r="J232" s="1"/>
    </row>
    <row r="233" spans="2:10" x14ac:dyDescent="0.15">
      <c r="B233" s="1"/>
      <c r="C233" s="1"/>
      <c r="D233" s="1"/>
      <c r="E233" s="1"/>
      <c r="F233" s="1"/>
      <c r="G233" s="1"/>
      <c r="I233" s="1"/>
      <c r="J233" s="1"/>
    </row>
    <row r="234" spans="2:10" x14ac:dyDescent="0.15">
      <c r="B234" s="1"/>
      <c r="C234" s="1"/>
      <c r="D234" s="1"/>
      <c r="E234" s="1"/>
      <c r="F234" s="1"/>
      <c r="G234" s="1"/>
      <c r="I234" s="1"/>
      <c r="J234" s="1"/>
    </row>
    <row r="235" spans="2:10" x14ac:dyDescent="0.15">
      <c r="B235" s="1"/>
      <c r="C235" s="1"/>
      <c r="D235" s="1"/>
      <c r="E235" s="1"/>
      <c r="F235" s="1"/>
      <c r="G235" s="1"/>
      <c r="I235" s="1"/>
      <c r="J235" s="1"/>
    </row>
    <row r="236" spans="2:10" x14ac:dyDescent="0.15">
      <c r="B236" s="1"/>
      <c r="C236" s="1"/>
      <c r="D236" s="1"/>
      <c r="E236" s="1"/>
      <c r="F236" s="1"/>
      <c r="G236" s="1"/>
      <c r="I236" s="1"/>
      <c r="J236" s="1"/>
    </row>
    <row r="237" spans="2:10" x14ac:dyDescent="0.15">
      <c r="B237" s="1"/>
      <c r="C237" s="1"/>
      <c r="D237" s="1"/>
      <c r="E237" s="1"/>
      <c r="F237" s="1"/>
      <c r="G237" s="1"/>
      <c r="I237" s="1"/>
      <c r="J237" s="1"/>
    </row>
    <row r="238" spans="2:10" x14ac:dyDescent="0.15">
      <c r="B238" s="1"/>
      <c r="C238" s="1"/>
      <c r="D238" s="1"/>
      <c r="E238" s="1"/>
      <c r="F238" s="1"/>
      <c r="G238" s="1"/>
      <c r="I238" s="1"/>
      <c r="J238" s="1"/>
    </row>
    <row r="239" spans="2:10" x14ac:dyDescent="0.15">
      <c r="B239" s="1"/>
      <c r="C239" s="1"/>
      <c r="D239" s="1"/>
      <c r="E239" s="1"/>
      <c r="F239" s="1"/>
      <c r="G239" s="1"/>
      <c r="I239" s="1"/>
      <c r="J239" s="1"/>
    </row>
    <row r="240" spans="2:10" x14ac:dyDescent="0.15">
      <c r="B240" s="1"/>
      <c r="C240" s="1"/>
      <c r="D240" s="1"/>
      <c r="E240" s="1"/>
      <c r="F240" s="1"/>
      <c r="G240" s="1"/>
      <c r="I240" s="1"/>
      <c r="J240" s="1"/>
    </row>
    <row r="241" spans="2:10" x14ac:dyDescent="0.15">
      <c r="B241" s="1"/>
      <c r="C241" s="1"/>
      <c r="D241" s="1"/>
      <c r="E241" s="1"/>
      <c r="F241" s="1"/>
      <c r="G241" s="1"/>
      <c r="I241" s="1"/>
      <c r="J241" s="1"/>
    </row>
    <row r="242" spans="2:10" x14ac:dyDescent="0.15">
      <c r="B242" s="1"/>
      <c r="C242" s="1"/>
      <c r="D242" s="1"/>
      <c r="E242" s="1"/>
      <c r="F242" s="1"/>
      <c r="G242" s="1"/>
      <c r="I242" s="1"/>
      <c r="J242" s="1"/>
    </row>
    <row r="243" spans="2:10" x14ac:dyDescent="0.15">
      <c r="B243" s="1"/>
      <c r="C243" s="1"/>
      <c r="D243" s="1"/>
      <c r="E243" s="1"/>
      <c r="F243" s="1"/>
      <c r="G243" s="1"/>
      <c r="I243" s="1"/>
      <c r="J243" s="1"/>
    </row>
    <row r="244" spans="2:10" x14ac:dyDescent="0.15">
      <c r="B244" s="1"/>
      <c r="C244" s="1"/>
      <c r="D244" s="1"/>
      <c r="E244" s="1"/>
      <c r="F244" s="1"/>
      <c r="G244" s="1"/>
      <c r="I244" s="1"/>
      <c r="J244" s="1"/>
    </row>
    <row r="245" spans="2:10" x14ac:dyDescent="0.15">
      <c r="B245" s="1"/>
      <c r="C245" s="1"/>
      <c r="D245" s="1"/>
      <c r="E245" s="1"/>
      <c r="F245" s="1"/>
      <c r="G245" s="1"/>
      <c r="I245" s="1"/>
      <c r="J245" s="1"/>
    </row>
    <row r="246" spans="2:10" x14ac:dyDescent="0.15">
      <c r="B246" s="1"/>
      <c r="C246" s="1"/>
      <c r="D246" s="1"/>
      <c r="E246" s="1"/>
      <c r="F246" s="1"/>
      <c r="G246" s="1"/>
      <c r="I246" s="1"/>
      <c r="J246" s="1"/>
    </row>
    <row r="247" spans="2:10" x14ac:dyDescent="0.15">
      <c r="B247" s="1"/>
      <c r="C247" s="1"/>
      <c r="D247" s="1"/>
      <c r="E247" s="1"/>
      <c r="F247" s="1"/>
      <c r="G247" s="1"/>
      <c r="I247" s="1"/>
      <c r="J247" s="1"/>
    </row>
    <row r="248" spans="2:10" x14ac:dyDescent="0.15">
      <c r="B248" s="1"/>
      <c r="C248" s="1"/>
      <c r="D248" s="1"/>
      <c r="E248" s="1"/>
      <c r="F248" s="1"/>
      <c r="G248" s="1"/>
      <c r="I248" s="1"/>
      <c r="J248" s="1"/>
    </row>
    <row r="249" spans="2:10" x14ac:dyDescent="0.15">
      <c r="B249" s="1"/>
      <c r="C249" s="1"/>
      <c r="D249" s="1"/>
      <c r="E249" s="1"/>
      <c r="F249" s="1"/>
      <c r="G249" s="1"/>
      <c r="I249" s="1"/>
      <c r="J249" s="1"/>
    </row>
    <row r="250" spans="2:10" x14ac:dyDescent="0.15">
      <c r="B250" s="1"/>
      <c r="C250" s="1"/>
      <c r="D250" s="1"/>
      <c r="E250" s="1"/>
      <c r="F250" s="1"/>
      <c r="G250" s="1"/>
      <c r="I250" s="1"/>
      <c r="J250" s="1"/>
    </row>
    <row r="251" spans="2:10" x14ac:dyDescent="0.15">
      <c r="B251" s="1"/>
      <c r="C251" s="1"/>
      <c r="D251" s="1"/>
      <c r="E251" s="1"/>
      <c r="F251" s="1"/>
      <c r="G251" s="1"/>
      <c r="I251" s="1"/>
      <c r="J251" s="1"/>
    </row>
    <row r="252" spans="2:10" x14ac:dyDescent="0.15">
      <c r="B252" s="1"/>
      <c r="C252" s="1"/>
      <c r="D252" s="1"/>
      <c r="E252" s="1"/>
      <c r="F252" s="1"/>
      <c r="G252" s="1"/>
      <c r="I252" s="1"/>
      <c r="J252" s="1"/>
    </row>
  </sheetData>
  <sheetProtection algorithmName="SHA-512" hashValue="goqJTIryh613ymK+9XjQ6vo645FWgAlZgeKvaHcQ3p3vAVpLtRUsGiJS9b6N9BjvFZPwD468td5h0PwgY7laGQ==" saltValue="w729O544oC9GgafTcU36VQ==" spinCount="100000" sheet="1" objects="1" scenarios="1" selectLockedCells="1"/>
  <mergeCells count="64">
    <mergeCell ref="J7:K7"/>
    <mergeCell ref="B148:B156"/>
    <mergeCell ref="D148:D156"/>
    <mergeCell ref="G148:G156"/>
    <mergeCell ref="B157:B164"/>
    <mergeCell ref="D157:D164"/>
    <mergeCell ref="G157:G164"/>
    <mergeCell ref="H124:H130"/>
    <mergeCell ref="B139:B147"/>
    <mergeCell ref="D139:D147"/>
    <mergeCell ref="G139:G147"/>
    <mergeCell ref="B63:K63"/>
    <mergeCell ref="H91:H94"/>
    <mergeCell ref="C95:C99"/>
    <mergeCell ref="H96:H99"/>
    <mergeCell ref="B41:B49"/>
    <mergeCell ref="N1:O1"/>
    <mergeCell ref="M2:N2"/>
    <mergeCell ref="M3:N3"/>
    <mergeCell ref="M4:P5"/>
    <mergeCell ref="M6:N6"/>
    <mergeCell ref="E166:G166"/>
    <mergeCell ref="G100:G112"/>
    <mergeCell ref="B113:B122"/>
    <mergeCell ref="D113:D122"/>
    <mergeCell ref="B123:B138"/>
    <mergeCell ref="C123:C130"/>
    <mergeCell ref="D131:D138"/>
    <mergeCell ref="G131:G138"/>
    <mergeCell ref="B90:B112"/>
    <mergeCell ref="C90:C94"/>
    <mergeCell ref="D100:D112"/>
    <mergeCell ref="G8:H8"/>
    <mergeCell ref="E61:G61"/>
    <mergeCell ref="B64:B89"/>
    <mergeCell ref="D64:D89"/>
    <mergeCell ref="G64:G89"/>
    <mergeCell ref="B23:B31"/>
    <mergeCell ref="D23:D31"/>
    <mergeCell ref="G23:G31"/>
    <mergeCell ref="B32:B40"/>
    <mergeCell ref="D32:D40"/>
    <mergeCell ref="G32:G40"/>
    <mergeCell ref="D41:D49"/>
    <mergeCell ref="G41:G49"/>
    <mergeCell ref="B50:B59"/>
    <mergeCell ref="D50:D59"/>
    <mergeCell ref="G50:G59"/>
    <mergeCell ref="B1:K1"/>
    <mergeCell ref="B2:K2"/>
    <mergeCell ref="B10:B22"/>
    <mergeCell ref="D10:D11"/>
    <mergeCell ref="G10:G11"/>
    <mergeCell ref="C12:C16"/>
    <mergeCell ref="H13:H16"/>
    <mergeCell ref="D17:D22"/>
    <mergeCell ref="G17:G22"/>
    <mergeCell ref="B9:K9"/>
    <mergeCell ref="H4:J4"/>
    <mergeCell ref="B6:C6"/>
    <mergeCell ref="I6:J6"/>
    <mergeCell ref="B3:K3"/>
    <mergeCell ref="G6:H6"/>
    <mergeCell ref="G7:I7"/>
  </mergeCells>
  <conditionalFormatting sqref="D13:F16 H13:H16 D91:F94 H91:H94 D96:F99 H96:H99 D124:F130 H124:H130">
    <cfRule type="cellIs" dxfId="8" priority="10" operator="equal">
      <formula>0</formula>
    </cfRule>
  </conditionalFormatting>
  <conditionalFormatting sqref="E10:F11 E17:F59">
    <cfRule type="cellIs" dxfId="7" priority="12" operator="equal">
      <formula>0</formula>
    </cfRule>
  </conditionalFormatting>
  <conditionalFormatting sqref="E64:F89 E100:F122 E131:F164">
    <cfRule type="cellIs" dxfId="6" priority="11" operator="equal">
      <formula>0</formula>
    </cfRule>
  </conditionalFormatting>
  <conditionalFormatting sqref="G4:G5">
    <cfRule type="expression" dxfId="5" priority="24">
      <formula>M6="Y"</formula>
    </cfRule>
  </conditionalFormatting>
  <conditionalFormatting sqref="H10:I11 G13:G16 I13:I16 H17:I59 H64:I89 G91:G94 I91:I94 G96:G99 I96:I99 H100:I122 G124:G130 I124:I130 H131:I164">
    <cfRule type="cellIs" dxfId="4" priority="2" operator="equal">
      <formula>0</formula>
    </cfRule>
  </conditionalFormatting>
  <conditionalFormatting sqref="H12:K12 H90:K90 H95:K95 H123:K123">
    <cfRule type="cellIs" dxfId="3" priority="3" operator="equal">
      <formula>0</formula>
    </cfRule>
  </conditionalFormatting>
  <conditionalFormatting sqref="J10:J11 J13:J59">
    <cfRule type="cellIs" dxfId="2" priority="17" operator="equal">
      <formula>0</formula>
    </cfRule>
  </conditionalFormatting>
  <conditionalFormatting sqref="J64:J89 J91:J94 J96:J122 J124:J164">
    <cfRule type="cellIs" dxfId="1" priority="16" operator="equal">
      <formula>0</formula>
    </cfRule>
  </conditionalFormatting>
  <conditionalFormatting sqref="M4:P6">
    <cfRule type="expression" dxfId="0" priority="87">
      <formula>O8=1</formula>
    </cfRule>
  </conditionalFormatting>
  <dataValidations count="1">
    <dataValidation type="date" operator="greaterThan" allowBlank="1" showInputMessage="1" showErrorMessage="1" sqref="G6" xr:uid="{1B2878E4-7BB1-41DE-BBF4-64F9ED65B9F6}">
      <formula1>42917</formula1>
      <formula2>0</formula2>
    </dataValidation>
  </dataValidations>
  <pageMargins left="0.7" right="0.7" top="0.26" bottom="0.32" header="0" footer="0.13"/>
  <pageSetup scale="39" fitToHeight="0" orientation="portrait" horizontalDpi="1200" verticalDpi="1200" r:id="rId1"/>
  <rowBreaks count="2" manualBreakCount="2">
    <brk id="61" min="1" max="10" man="1"/>
    <brk id="122" min="1"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C32"/>
  <sheetViews>
    <sheetView showZeros="0" zoomScaleNormal="100" workbookViewId="0">
      <selection activeCell="D10" sqref="D10"/>
    </sheetView>
  </sheetViews>
  <sheetFormatPr baseColWidth="10" defaultColWidth="8.6640625" defaultRowHeight="13" x14ac:dyDescent="0.15"/>
  <cols>
    <col min="2" max="2" width="25.83203125" customWidth="1"/>
    <col min="3" max="3" width="17.33203125" customWidth="1"/>
  </cols>
  <sheetData>
    <row r="1" spans="1:3" x14ac:dyDescent="0.15">
      <c r="A1">
        <f>'Set up ~ Config'!H10</f>
        <v>0</v>
      </c>
      <c r="B1" t="s">
        <v>397</v>
      </c>
    </row>
    <row r="2" spans="1:3" x14ac:dyDescent="0.15">
      <c r="A2" s="477">
        <f>'Set up ~ Config'!H12</f>
        <v>0</v>
      </c>
      <c r="B2" t="s">
        <v>398</v>
      </c>
    </row>
    <row r="3" spans="1:3" x14ac:dyDescent="0.15">
      <c r="A3">
        <f>'Set up ~ Config'!C11</f>
        <v>0</v>
      </c>
      <c r="B3" t="s">
        <v>129</v>
      </c>
    </row>
    <row r="4" spans="1:3" x14ac:dyDescent="0.15">
      <c r="A4">
        <f>'ACC9 (Pages 2-3) Rev'!J8</f>
        <v>0</v>
      </c>
      <c r="B4" t="s">
        <v>399</v>
      </c>
      <c r="C4" s="26">
        <v>4010</v>
      </c>
    </row>
    <row r="5" spans="1:3" x14ac:dyDescent="0.15">
      <c r="A5">
        <f>'ACC9 (Pages 2-3) Rev'!K17</f>
        <v>0</v>
      </c>
      <c r="B5" t="s">
        <v>400</v>
      </c>
      <c r="C5" s="26">
        <v>4099</v>
      </c>
    </row>
    <row r="6" spans="1:3" x14ac:dyDescent="0.15">
      <c r="A6">
        <f>'ACC9 (Pages 2-3) Rev'!K29</f>
        <v>0</v>
      </c>
      <c r="B6" t="s">
        <v>401</v>
      </c>
      <c r="C6" s="26">
        <v>4299</v>
      </c>
    </row>
    <row r="7" spans="1:3" x14ac:dyDescent="0.15">
      <c r="A7">
        <f>'ACC9 (Pages 2-3) Rev'!K41</f>
        <v>0</v>
      </c>
      <c r="B7" t="s">
        <v>402</v>
      </c>
      <c r="C7" s="26">
        <v>4499</v>
      </c>
    </row>
    <row r="8" spans="1:3" x14ac:dyDescent="0.15">
      <c r="A8">
        <f>'ACC9 (Pages 2-3) Rev'!K29+'ACC9 (Pages 2-3) Rev'!K41</f>
        <v>0</v>
      </c>
      <c r="B8" s="861" t="s">
        <v>491</v>
      </c>
      <c r="C8" s="860" t="s">
        <v>492</v>
      </c>
    </row>
    <row r="9" spans="1:3" x14ac:dyDescent="0.15">
      <c r="A9">
        <f>'ACC9 (Pages 2-3) Rev'!K53</f>
        <v>0</v>
      </c>
      <c r="B9" t="s">
        <v>403</v>
      </c>
      <c r="C9" s="26">
        <v>4699</v>
      </c>
    </row>
    <row r="10" spans="1:3" x14ac:dyDescent="0.15">
      <c r="A10">
        <f>'ACC9 (Pages 2-3) Rev'!K66</f>
        <v>0</v>
      </c>
      <c r="B10" t="s">
        <v>404</v>
      </c>
      <c r="C10" s="26">
        <v>4899</v>
      </c>
    </row>
    <row r="11" spans="1:3" x14ac:dyDescent="0.15">
      <c r="A11">
        <f>'ACC9 (Pages 2-3) Rev'!K68</f>
        <v>0</v>
      </c>
      <c r="B11" t="s">
        <v>405</v>
      </c>
      <c r="C11" s="26">
        <v>5000</v>
      </c>
    </row>
    <row r="12" spans="1:3" x14ac:dyDescent="0.15">
      <c r="A12">
        <f>'ACC9 (Pages 4-5-6) Exp~Dép'!J12</f>
        <v>0</v>
      </c>
      <c r="B12" t="s">
        <v>406</v>
      </c>
      <c r="C12" s="26">
        <v>5030</v>
      </c>
    </row>
    <row r="13" spans="1:3" x14ac:dyDescent="0.15">
      <c r="A13">
        <f>'ACC9 (Pages 4-5-6) Exp~Dép'!J13</f>
        <v>0</v>
      </c>
      <c r="B13" t="s">
        <v>407</v>
      </c>
      <c r="C13" s="26">
        <v>5040</v>
      </c>
    </row>
    <row r="14" spans="1:3" x14ac:dyDescent="0.15">
      <c r="A14">
        <f>'ACC9 (Pages 4-5-6) Exp~Dép'!K36</f>
        <v>0</v>
      </c>
      <c r="B14" t="s">
        <v>408</v>
      </c>
      <c r="C14" s="26">
        <v>5299</v>
      </c>
    </row>
    <row r="15" spans="1:3" x14ac:dyDescent="0.15">
      <c r="A15">
        <f>'ACC9 (Pages 4-5-6) Exp~Dép'!K54</f>
        <v>0</v>
      </c>
      <c r="B15" t="s">
        <v>485</v>
      </c>
      <c r="C15" s="26">
        <v>5399</v>
      </c>
    </row>
    <row r="16" spans="1:3" x14ac:dyDescent="0.15">
      <c r="A16">
        <f>'ACC9 (Pages 4-5-6) Exp~Dép'!K67</f>
        <v>0</v>
      </c>
      <c r="B16" t="s">
        <v>486</v>
      </c>
      <c r="C16" s="26">
        <v>5499</v>
      </c>
    </row>
    <row r="17" spans="1:3" x14ac:dyDescent="0.15">
      <c r="A17">
        <f>'ACC9 (Pages 4-5-6) Exp~Dép'!K79</f>
        <v>0</v>
      </c>
      <c r="B17" t="s">
        <v>487</v>
      </c>
      <c r="C17" s="26">
        <v>5599</v>
      </c>
    </row>
    <row r="18" spans="1:3" x14ac:dyDescent="0.15">
      <c r="A18">
        <f>'ACC9 (Pages 4-5-6) Exp~Dép'!K54+'ACC9 (Pages 4-5-6) Exp~Dép'!K67+'ACC9 (Pages 4-5-6) Exp~Dép'!K79</f>
        <v>0</v>
      </c>
      <c r="B18" t="s">
        <v>409</v>
      </c>
      <c r="C18" s="860" t="s">
        <v>488</v>
      </c>
    </row>
    <row r="19" spans="1:3" x14ac:dyDescent="0.15">
      <c r="A19">
        <f>'ACC9 (Pages 4-5-6) Exp~Dép'!K91</f>
        <v>0</v>
      </c>
      <c r="B19" t="s">
        <v>479</v>
      </c>
      <c r="C19" s="26">
        <v>5699</v>
      </c>
    </row>
    <row r="20" spans="1:3" x14ac:dyDescent="0.15">
      <c r="A20">
        <f>'ACC9 (Pages 4-5-6) Exp~Dép'!K103</f>
        <v>0</v>
      </c>
      <c r="B20" t="s">
        <v>410</v>
      </c>
      <c r="C20" s="26">
        <v>5799</v>
      </c>
    </row>
    <row r="21" spans="1:3" x14ac:dyDescent="0.15">
      <c r="A21">
        <f>'ACC9 (Pages 4-5-6) Exp~Dép'!K91+'ACC9 (Pages 4-5-6) Exp~Dép'!K103</f>
        <v>0</v>
      </c>
      <c r="B21" s="861" t="s">
        <v>489</v>
      </c>
      <c r="C21" s="860" t="s">
        <v>490</v>
      </c>
    </row>
    <row r="22" spans="1:3" x14ac:dyDescent="0.15">
      <c r="A22">
        <f>'ACC9 (Pages 4-5-6) Exp~Dép'!K114</f>
        <v>0</v>
      </c>
      <c r="B22" t="s">
        <v>411</v>
      </c>
      <c r="C22" s="26">
        <v>5899</v>
      </c>
    </row>
    <row r="23" spans="1:3" x14ac:dyDescent="0.15">
      <c r="A23">
        <f>'ACC9 (Pages 4-5-6) Exp~Dép'!K116</f>
        <v>0</v>
      </c>
      <c r="B23" t="s">
        <v>480</v>
      </c>
      <c r="C23" s="26">
        <v>6000</v>
      </c>
    </row>
    <row r="24" spans="1:3" x14ac:dyDescent="0.15">
      <c r="A24">
        <f>'ACC9 (Page 7-8) Bal Sh~Bilan'!N26</f>
        <v>0</v>
      </c>
      <c r="B24" t="s">
        <v>412</v>
      </c>
      <c r="C24" s="26">
        <v>1100</v>
      </c>
    </row>
    <row r="25" spans="1:3" x14ac:dyDescent="0.15">
      <c r="A25">
        <f>'ACC9 (Page 7-8) Bal Sh~Bilan'!N37</f>
        <v>0</v>
      </c>
      <c r="B25" t="s">
        <v>481</v>
      </c>
      <c r="C25" s="26">
        <v>1300</v>
      </c>
    </row>
    <row r="26" spans="1:3" x14ac:dyDescent="0.15">
      <c r="A26">
        <f>'ACC9 (Page 7-8) Bal Sh~Bilan'!L53</f>
        <v>0</v>
      </c>
      <c r="B26" t="s">
        <v>413</v>
      </c>
      <c r="C26" s="26">
        <v>1700</v>
      </c>
    </row>
    <row r="27" spans="1:3" x14ac:dyDescent="0.15">
      <c r="A27">
        <f>'ACC9 (Page 7-8) Bal Sh~Bilan'!L56</f>
        <v>0</v>
      </c>
      <c r="B27" t="s">
        <v>482</v>
      </c>
      <c r="C27" s="26">
        <v>1900</v>
      </c>
    </row>
    <row r="28" spans="1:3" x14ac:dyDescent="0.15">
      <c r="A28">
        <f>'ACC9 (Page 7-8) Bal Sh~Bilan'!N69</f>
        <v>0</v>
      </c>
      <c r="B28" t="s">
        <v>414</v>
      </c>
      <c r="C28" s="26">
        <v>2100</v>
      </c>
    </row>
    <row r="29" spans="1:3" x14ac:dyDescent="0.15">
      <c r="A29">
        <f>'ACC9 (Page 7-8) Bal Sh~Bilan'!N80</f>
        <v>0</v>
      </c>
      <c r="B29" t="s">
        <v>415</v>
      </c>
      <c r="C29" s="26">
        <v>2300</v>
      </c>
    </row>
    <row r="30" spans="1:3" x14ac:dyDescent="0.15">
      <c r="A30">
        <f>'ACC9 (Page 7-8) Bal Sh~Bilan'!N81</f>
        <v>0</v>
      </c>
      <c r="B30" t="s">
        <v>483</v>
      </c>
      <c r="C30" s="26">
        <v>2400</v>
      </c>
    </row>
    <row r="31" spans="1:3" x14ac:dyDescent="0.15">
      <c r="A31">
        <f>'ACC9 (Page 7-8) Bal Sh~Bilan'!N89</f>
        <v>0</v>
      </c>
      <c r="B31" t="s">
        <v>484</v>
      </c>
      <c r="C31" s="26">
        <v>3400</v>
      </c>
    </row>
    <row r="32" spans="1:3" x14ac:dyDescent="0.15">
      <c r="A32">
        <f>'ACC9 (Page 7-8) Bal Sh~Bilan'!N91</f>
        <v>0</v>
      </c>
      <c r="B32" t="s">
        <v>416</v>
      </c>
      <c r="C32" s="26">
        <v>3700</v>
      </c>
    </row>
  </sheetData>
  <pageMargins left="0.7" right="0.7" top="0.75" bottom="0.75" header="0.511811023622047" footer="0.511811023622047"/>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sheetPr>
  <dimension ref="A1:AMK601"/>
  <sheetViews>
    <sheetView showGridLines="0" showZeros="0" zoomScale="85" zoomScaleNormal="85" workbookViewId="0">
      <pane xSplit="10" ySplit="15" topLeftCell="K16" activePane="bottomRight" state="frozen"/>
      <selection pane="topRight" activeCell="K1" sqref="K1"/>
      <selection pane="bottomLeft" activeCell="A471" sqref="A471"/>
      <selection pane="bottomRight" activeCell="T8" sqref="T8"/>
    </sheetView>
  </sheetViews>
  <sheetFormatPr baseColWidth="10" defaultColWidth="11.5" defaultRowHeight="13" x14ac:dyDescent="0.15"/>
  <cols>
    <col min="1" max="1" width="3.6640625" style="17" customWidth="1"/>
    <col min="2" max="2" width="4.1640625" style="18" customWidth="1"/>
    <col min="3" max="3" width="7" style="12" customWidth="1"/>
    <col min="4" max="4" width="14.1640625" style="12" customWidth="1"/>
    <col min="5" max="5" width="13.5" style="19" customWidth="1"/>
    <col min="6" max="6" width="57.5" style="12" customWidth="1"/>
    <col min="7" max="7" width="17.6640625" style="12" customWidth="1"/>
    <col min="8" max="8" width="27.5" style="12" customWidth="1"/>
    <col min="9" max="9" width="21.33203125" style="20" hidden="1" customWidth="1"/>
    <col min="10" max="10" width="17.1640625" style="20" customWidth="1"/>
    <col min="11" max="12" width="12.1640625" style="20" customWidth="1"/>
    <col min="13" max="13" width="12.1640625" style="12" customWidth="1"/>
    <col min="14" max="14" width="9.5" style="12" hidden="1" customWidth="1"/>
    <col min="15" max="15" width="12.1640625" style="12" hidden="1" customWidth="1"/>
    <col min="16" max="16" width="12.1640625" style="12" customWidth="1"/>
    <col min="17" max="17" width="13" style="12" customWidth="1"/>
    <col min="18" max="67" width="13.6640625" style="12" customWidth="1"/>
    <col min="68" max="68" width="11.83203125" style="12" hidden="1" customWidth="1"/>
    <col min="69" max="69" width="9.33203125" style="1" customWidth="1"/>
    <col min="70" max="70" width="9.1640625" style="1" customWidth="1"/>
    <col min="71" max="71" width="8.6640625" style="1" hidden="1" customWidth="1"/>
    <col min="72" max="72" width="8.5" style="1" hidden="1" customWidth="1"/>
    <col min="73" max="73" width="9.1640625" style="1" customWidth="1"/>
    <col min="74" max="74" width="9.1640625" style="1" hidden="1" customWidth="1"/>
    <col min="75" max="276" width="9.1640625" style="1" customWidth="1"/>
    <col min="277" max="1025" width="11.5" style="1"/>
  </cols>
  <sheetData>
    <row r="1" spans="1:74" ht="33.75" customHeight="1" x14ac:dyDescent="0.25">
      <c r="B1" s="1440" t="str">
        <f>IF(C4=2, "Journal des revenus","Revenues Journal")</f>
        <v>Revenues Journal</v>
      </c>
      <c r="C1" s="1440"/>
      <c r="D1" s="1440"/>
      <c r="E1" s="1440"/>
      <c r="F1" s="1440"/>
      <c r="G1" s="1440"/>
      <c r="H1" s="1440"/>
      <c r="I1" s="1440"/>
      <c r="J1" s="1440"/>
      <c r="K1" s="600"/>
      <c r="L1" s="600"/>
      <c r="M1" s="600"/>
      <c r="N1" s="600"/>
      <c r="O1" s="600"/>
      <c r="P1" s="600"/>
      <c r="Q1" s="600">
        <v>1</v>
      </c>
      <c r="T1" s="21">
        <v>1</v>
      </c>
      <c r="BE1" s="721"/>
      <c r="BF1" s="721"/>
      <c r="BV1" s="12"/>
    </row>
    <row r="2" spans="1:74" ht="33.75" customHeight="1" thickBot="1" x14ac:dyDescent="0.2">
      <c r="B2" s="1441" t="str">
        <f>'Set up ~ Config'!B2:J2</f>
        <v xml:space="preserve">SSC </v>
      </c>
      <c r="C2" s="1441"/>
      <c r="D2" s="1441"/>
      <c r="E2" s="1441"/>
      <c r="F2" s="1441"/>
      <c r="G2" s="1441"/>
      <c r="H2" s="1441"/>
      <c r="I2" s="1441"/>
      <c r="J2" s="1441"/>
      <c r="K2" s="13"/>
      <c r="L2" s="13"/>
      <c r="M2" s="13"/>
      <c r="N2" s="13"/>
      <c r="O2" s="13"/>
      <c r="P2" s="13"/>
      <c r="Q2" s="13"/>
      <c r="R2" s="22"/>
      <c r="S2" s="22"/>
      <c r="T2" s="22"/>
      <c r="U2" s="22"/>
      <c r="V2" s="22"/>
      <c r="W2" s="22"/>
      <c r="AD2" s="1495"/>
      <c r="AE2" s="1495"/>
      <c r="AF2" s="1495"/>
      <c r="AG2" s="1495"/>
      <c r="AH2" s="1495"/>
      <c r="AI2" s="1495"/>
      <c r="AJ2" s="1495"/>
      <c r="AK2" s="1495"/>
      <c r="AL2" s="1495"/>
      <c r="AM2" s="1495"/>
      <c r="AN2" s="1495"/>
      <c r="AO2" s="1495"/>
      <c r="AP2" s="1495"/>
      <c r="AQ2" s="1495"/>
      <c r="AR2" s="1495"/>
      <c r="AS2" s="1495"/>
      <c r="AT2" s="1495"/>
      <c r="AU2" s="1495"/>
      <c r="BE2" s="722"/>
      <c r="BF2" s="722"/>
      <c r="BP2" s="20" t="s">
        <v>38</v>
      </c>
      <c r="BT2" s="20" t="s">
        <v>38</v>
      </c>
      <c r="BV2" s="12"/>
    </row>
    <row r="3" spans="1:74" ht="39" customHeight="1" thickTop="1" thickBot="1" x14ac:dyDescent="0.2">
      <c r="B3" s="1496" t="e">
        <f>IF(C4=2,"pour la période du "&amp;'Set up ~ Config'!N5&amp;" au "&amp;'Set up ~ Config'!N6,"For the period from "&amp;'Set up ~ Config'!N5&amp;" to "&amp;'Set up ~ Config'!N6)</f>
        <v>#VALUE!</v>
      </c>
      <c r="C3" s="1496"/>
      <c r="D3" s="1496"/>
      <c r="E3" s="1496"/>
      <c r="F3" s="1496"/>
      <c r="G3" s="1496"/>
      <c r="H3" s="1496"/>
      <c r="I3" s="1496"/>
      <c r="J3" s="1496"/>
      <c r="K3" s="611"/>
      <c r="L3" s="611"/>
      <c r="M3" s="611"/>
      <c r="N3" s="611"/>
      <c r="O3" s="611"/>
      <c r="P3" s="611"/>
      <c r="Q3" s="611"/>
      <c r="R3" s="613"/>
      <c r="S3" s="613"/>
      <c r="T3" s="613"/>
      <c r="U3" s="613"/>
      <c r="V3" s="613"/>
      <c r="W3" s="613"/>
      <c r="X3" s="613"/>
      <c r="Y3" s="613"/>
      <c r="Z3" s="613"/>
      <c r="AA3" s="613"/>
      <c r="AB3" s="613"/>
      <c r="AC3" s="613"/>
      <c r="AD3" s="1495"/>
      <c r="AE3" s="1495"/>
      <c r="AF3" s="1495"/>
      <c r="AG3" s="1495"/>
      <c r="AH3" s="1495"/>
      <c r="AI3" s="1495"/>
      <c r="AJ3" s="1495"/>
      <c r="AK3" s="1495"/>
      <c r="AL3" s="1495"/>
      <c r="AM3" s="1495"/>
      <c r="AN3" s="1495"/>
      <c r="AO3" s="1495"/>
      <c r="AP3" s="1495"/>
      <c r="AQ3" s="1495"/>
      <c r="AR3" s="1495"/>
      <c r="AS3" s="1495"/>
      <c r="AT3" s="1495"/>
      <c r="AU3" s="1495"/>
      <c r="BE3" s="1490" t="str">
        <f>IF($C$4=2,"Source fédérale seulement","Federal source only")</f>
        <v>Federal source only</v>
      </c>
      <c r="BF3" s="1491"/>
      <c r="BG3" s="1491"/>
      <c r="BH3" s="1492"/>
      <c r="BI3" s="1484" t="str">
        <f>IF($C$4=2,"Source provinciale/Terr. seulement","Provincial/Terr. source only")</f>
        <v>Provincial/Terr. source only</v>
      </c>
      <c r="BJ3" s="1484"/>
      <c r="BK3" s="1484"/>
      <c r="BL3" s="1484" t="str">
        <f>IF($C$4=2,"Source municipale/Régional seulement","Municipal/Regional source only")</f>
        <v>Municipal/Regional source only</v>
      </c>
      <c r="BM3" s="1484"/>
      <c r="BN3" s="1484"/>
      <c r="BP3" s="20" t="s">
        <v>39</v>
      </c>
      <c r="BS3" s="12"/>
      <c r="BT3" s="20" t="s">
        <v>39</v>
      </c>
      <c r="BV3" s="12"/>
    </row>
    <row r="4" spans="1:74" ht="14.25" customHeight="1" thickTop="1" thickBot="1" x14ac:dyDescent="0.2">
      <c r="B4" s="723">
        <f>'ACC9 (Page 7-8) Bal Sh~Bilan'!Q80</f>
        <v>0</v>
      </c>
      <c r="C4" s="862">
        <f>'Set up ~ Config'!L10</f>
        <v>1</v>
      </c>
      <c r="D4" s="23"/>
      <c r="E4" s="617"/>
      <c r="F4" s="1485" t="str">
        <f>IF($C$4=2,"Ajoutez des catégories additionnelles dans les cellules disponibles de ce journal. Assurez-vous de respecter les catégories. Les sous-comptes doivent correspondre au compte affilié. Elles seront reportées automatiquement aux autres onglets.","Add accounts of your own in available cells on this page. Ensure to respect the categories. The Sub-Accounts must correspond with their affiliated account. They will replicate to all other tabs.")</f>
        <v>Add accounts of your own in available cells on this page. Ensure to respect the categories. The Sub-Accounts must correspond with their affiliated account. They will replicate to all other tabs.</v>
      </c>
      <c r="G4" s="1486"/>
      <c r="H4" s="24"/>
      <c r="I4" s="24"/>
      <c r="J4" s="24"/>
      <c r="K4" s="24"/>
      <c r="L4" s="25"/>
      <c r="M4" s="25"/>
      <c r="N4" s="25"/>
      <c r="O4" s="25"/>
      <c r="P4" s="25"/>
      <c r="Q4" s="1488">
        <v>4000</v>
      </c>
      <c r="R4" s="1488"/>
      <c r="S4" s="1488"/>
      <c r="T4" s="1488"/>
      <c r="U4" s="1488"/>
      <c r="V4" s="1488"/>
      <c r="W4" s="1488"/>
      <c r="X4" s="1488"/>
      <c r="Y4" s="1488"/>
      <c r="Z4" s="1488"/>
      <c r="AA4" s="1488"/>
      <c r="AB4" s="1488"/>
      <c r="AC4" s="1488"/>
      <c r="AD4" s="1488">
        <v>4200</v>
      </c>
      <c r="AE4" s="1488"/>
      <c r="AF4" s="1488"/>
      <c r="AG4" s="1488"/>
      <c r="AH4" s="1488"/>
      <c r="AI4" s="1488"/>
      <c r="AJ4" s="1488"/>
      <c r="AK4" s="1488"/>
      <c r="AL4" s="1488"/>
      <c r="AM4" s="1488">
        <v>4400</v>
      </c>
      <c r="AN4" s="1488"/>
      <c r="AO4" s="1488"/>
      <c r="AP4" s="1488"/>
      <c r="AQ4" s="1488"/>
      <c r="AR4" s="1488"/>
      <c r="AS4" s="1488"/>
      <c r="AT4" s="1488"/>
      <c r="AU4" s="1488"/>
      <c r="AV4" s="1488">
        <v>4600</v>
      </c>
      <c r="AW4" s="1488"/>
      <c r="AX4" s="1488"/>
      <c r="AY4" s="1488"/>
      <c r="AZ4" s="1488"/>
      <c r="BA4" s="1488"/>
      <c r="BB4" s="1488"/>
      <c r="BC4" s="1488"/>
      <c r="BD4" s="1488"/>
      <c r="BE4" s="1488">
        <v>4800</v>
      </c>
      <c r="BF4" s="1488"/>
      <c r="BG4" s="1488"/>
      <c r="BH4" s="1488"/>
      <c r="BI4" s="1488"/>
      <c r="BJ4" s="1488"/>
      <c r="BK4" s="1488"/>
      <c r="BL4" s="1488"/>
      <c r="BM4" s="1488"/>
      <c r="BN4" s="1488"/>
      <c r="BO4" s="1"/>
      <c r="BP4" s="1"/>
      <c r="BS4" s="12"/>
      <c r="BV4" s="12"/>
    </row>
    <row r="5" spans="1:74" ht="36.75" customHeight="1" thickTop="1" thickBot="1" x14ac:dyDescent="0.2">
      <c r="C5" s="724"/>
      <c r="D5" s="724"/>
      <c r="E5" s="725"/>
      <c r="F5" s="1485"/>
      <c r="G5" s="1487"/>
      <c r="H5" s="24"/>
      <c r="I5" s="24"/>
      <c r="J5" s="24"/>
      <c r="K5" s="1493" t="str">
        <f>IF(C4=2,"Si des taxes sont remboursées par le gouv't, inscrivez-les ici.","If taxes are reimbursed by Gov't, enter them here.")</f>
        <v>If taxes are reimbursed by Gov't, enter them here.</v>
      </c>
      <c r="L5" s="1493"/>
      <c r="M5" s="1493"/>
      <c r="N5" s="25"/>
      <c r="O5" s="25"/>
      <c r="P5" s="25"/>
      <c r="Q5" s="1489" t="str">
        <f>IF(C4=2,"Dons, Subventions, Octrois et autres","Donations, Grants &amp; Other")</f>
        <v>Donations, Grants &amp; Other</v>
      </c>
      <c r="R5" s="1489"/>
      <c r="S5" s="1489"/>
      <c r="T5" s="1489"/>
      <c r="U5" s="1489"/>
      <c r="V5" s="1489"/>
      <c r="W5" s="1489"/>
      <c r="X5" s="1489"/>
      <c r="Y5" s="1489"/>
      <c r="Z5" s="1489"/>
      <c r="AA5" s="1489"/>
      <c r="AB5" s="1489"/>
      <c r="AC5" s="1489"/>
      <c r="AD5" s="1489" t="str">
        <f>IF(C4=2,"Levée de fonds - Jeux d'argent &amp; loteries","Gaming &amp; Lotteries Fundraising")</f>
        <v>Gaming &amp; Lotteries Fundraising</v>
      </c>
      <c r="AE5" s="1489"/>
      <c r="AF5" s="1489"/>
      <c r="AG5" s="1489"/>
      <c r="AH5" s="1489"/>
      <c r="AI5" s="1489"/>
      <c r="AJ5" s="1489"/>
      <c r="AK5" s="1489"/>
      <c r="AL5" s="1489"/>
      <c r="AM5" s="1489" t="str">
        <f>IF(C4=2,"Autres levées de fonds","Other Fundraising")</f>
        <v>Other Fundraising</v>
      </c>
      <c r="AN5" s="1489"/>
      <c r="AO5" s="1489"/>
      <c r="AP5" s="1489"/>
      <c r="AQ5" s="1489"/>
      <c r="AR5" s="1489"/>
      <c r="AS5" s="1489"/>
      <c r="AT5" s="1489"/>
      <c r="AU5" s="1489"/>
      <c r="AV5" s="1489" t="str">
        <f>IF(C4=2,"Recettes diverses (Autres que gouv't)","Misc Revenues (Other than Gov't)")</f>
        <v>Misc Revenues (Other than Gov't)</v>
      </c>
      <c r="AW5" s="1489"/>
      <c r="AX5" s="1489"/>
      <c r="AY5" s="1489"/>
      <c r="AZ5" s="1489"/>
      <c r="BA5" s="1489"/>
      <c r="BB5" s="1489"/>
      <c r="BC5" s="1489"/>
      <c r="BD5" s="1489"/>
      <c r="BE5" s="1489" t="str">
        <f>IF(C4=2,"Subventions et allocations (Gouv't)","Funding &amp; Recoveries (Gov't)")</f>
        <v>Funding &amp; Recoveries (Gov't)</v>
      </c>
      <c r="BF5" s="1489"/>
      <c r="BG5" s="1489"/>
      <c r="BH5" s="1489"/>
      <c r="BI5" s="1489"/>
      <c r="BJ5" s="1489"/>
      <c r="BK5" s="1489"/>
      <c r="BL5" s="1489"/>
      <c r="BM5" s="1489"/>
      <c r="BN5" s="1489"/>
      <c r="BP5" s="1"/>
      <c r="BS5" s="12"/>
      <c r="BV5" s="12"/>
    </row>
    <row r="6" spans="1:74" ht="18.75" customHeight="1" thickTop="1" thickBot="1" x14ac:dyDescent="0.2">
      <c r="B6" s="726" t="s">
        <v>40</v>
      </c>
      <c r="C6" s="724"/>
      <c r="D6" s="724"/>
      <c r="E6" s="725"/>
      <c r="F6" s="1485"/>
      <c r="G6" s="1487"/>
      <c r="H6" s="24"/>
      <c r="I6" s="24"/>
      <c r="J6" s="24"/>
      <c r="K6" s="1493"/>
      <c r="L6" s="1493"/>
      <c r="M6" s="1493"/>
      <c r="N6" s="25"/>
      <c r="O6" s="25"/>
      <c r="P6" s="25"/>
      <c r="Q6" s="624">
        <v>4010</v>
      </c>
      <c r="R6" s="625">
        <v>4020</v>
      </c>
      <c r="S6" s="625">
        <v>4030</v>
      </c>
      <c r="T6" s="625">
        <v>4030.1</v>
      </c>
      <c r="U6" s="625">
        <v>4030.2</v>
      </c>
      <c r="V6" s="625">
        <v>4030.3</v>
      </c>
      <c r="W6" s="625">
        <v>4030.4</v>
      </c>
      <c r="X6" s="625">
        <v>4040</v>
      </c>
      <c r="Y6" s="625">
        <v>4050</v>
      </c>
      <c r="Z6" s="625">
        <v>4060</v>
      </c>
      <c r="AA6" s="625">
        <v>4070</v>
      </c>
      <c r="AB6" s="630">
        <v>4080</v>
      </c>
      <c r="AC6" s="630">
        <v>4090</v>
      </c>
      <c r="AD6" s="624">
        <v>4210</v>
      </c>
      <c r="AE6" s="625">
        <v>4220</v>
      </c>
      <c r="AF6" s="625">
        <v>4230</v>
      </c>
      <c r="AG6" s="625">
        <v>4240</v>
      </c>
      <c r="AH6" s="625">
        <v>4250</v>
      </c>
      <c r="AI6" s="630">
        <v>4260</v>
      </c>
      <c r="AJ6" s="630">
        <v>4270</v>
      </c>
      <c r="AK6" s="625">
        <v>4280</v>
      </c>
      <c r="AL6" s="625">
        <v>4290</v>
      </c>
      <c r="AM6" s="624">
        <v>4410</v>
      </c>
      <c r="AN6" s="625">
        <v>4420</v>
      </c>
      <c r="AO6" s="625">
        <v>4430</v>
      </c>
      <c r="AP6" s="625">
        <v>4440</v>
      </c>
      <c r="AQ6" s="625">
        <v>4450</v>
      </c>
      <c r="AR6" s="625">
        <v>4460</v>
      </c>
      <c r="AS6" s="625">
        <v>4470</v>
      </c>
      <c r="AT6" s="625">
        <v>4480</v>
      </c>
      <c r="AU6" s="626">
        <v>4490</v>
      </c>
      <c r="AV6" s="624">
        <v>4610</v>
      </c>
      <c r="AW6" s="625">
        <v>4620</v>
      </c>
      <c r="AX6" s="625">
        <v>4630</v>
      </c>
      <c r="AY6" s="625">
        <v>4640</v>
      </c>
      <c r="AZ6" s="625">
        <v>4650</v>
      </c>
      <c r="BA6" s="625">
        <v>4660</v>
      </c>
      <c r="BB6" s="625">
        <v>4670</v>
      </c>
      <c r="BC6" s="630">
        <v>4680</v>
      </c>
      <c r="BD6" s="630">
        <v>4690</v>
      </c>
      <c r="BE6" s="624">
        <v>4810</v>
      </c>
      <c r="BF6" s="625">
        <v>4820</v>
      </c>
      <c r="BG6" s="625">
        <v>4830</v>
      </c>
      <c r="BH6" s="626">
        <v>4835</v>
      </c>
      <c r="BI6" s="627">
        <v>4840</v>
      </c>
      <c r="BJ6" s="625">
        <v>4850</v>
      </c>
      <c r="BK6" s="626">
        <v>4860</v>
      </c>
      <c r="BL6" s="624">
        <v>4870</v>
      </c>
      <c r="BM6" s="625">
        <v>4880</v>
      </c>
      <c r="BN6" s="626">
        <v>4890</v>
      </c>
      <c r="BO6" s="727"/>
      <c r="BP6" s="1"/>
      <c r="BS6" s="12"/>
      <c r="BU6" s="21"/>
      <c r="BV6" s="12"/>
    </row>
    <row r="7" spans="1:74" ht="14.25" customHeight="1" thickTop="1" thickBot="1" x14ac:dyDescent="0.2">
      <c r="C7" s="724"/>
      <c r="D7" s="724"/>
      <c r="E7" s="728"/>
      <c r="F7" s="1485"/>
      <c r="G7" s="1487"/>
      <c r="H7" s="24"/>
      <c r="I7" s="24"/>
      <c r="J7" s="24"/>
      <c r="K7" s="1494"/>
      <c r="L7" s="1494"/>
      <c r="M7" s="1494"/>
      <c r="N7" s="25"/>
      <c r="O7" s="25"/>
      <c r="P7" s="25"/>
      <c r="Q7" s="729" t="s">
        <v>41</v>
      </c>
      <c r="R7" s="730" t="s">
        <v>42</v>
      </c>
      <c r="S7" s="730" t="s">
        <v>43</v>
      </c>
      <c r="T7" s="730"/>
      <c r="U7" s="730"/>
      <c r="V7" s="730"/>
      <c r="W7" s="730"/>
      <c r="X7" s="730" t="s">
        <v>44</v>
      </c>
      <c r="Y7" s="730" t="s">
        <v>45</v>
      </c>
      <c r="Z7" s="730" t="s">
        <v>46</v>
      </c>
      <c r="AA7" s="730" t="s">
        <v>47</v>
      </c>
      <c r="AB7" s="731" t="s">
        <v>48</v>
      </c>
      <c r="AC7" s="731" t="s">
        <v>49</v>
      </c>
      <c r="AD7" s="729" t="s">
        <v>50</v>
      </c>
      <c r="AE7" s="730" t="s">
        <v>51</v>
      </c>
      <c r="AF7" s="730" t="s">
        <v>52</v>
      </c>
      <c r="AG7" s="730" t="s">
        <v>53</v>
      </c>
      <c r="AH7" s="730" t="s">
        <v>54</v>
      </c>
      <c r="AI7" s="730" t="s">
        <v>55</v>
      </c>
      <c r="AJ7" s="731" t="s">
        <v>56</v>
      </c>
      <c r="AK7" s="731" t="s">
        <v>57</v>
      </c>
      <c r="AL7" s="731" t="s">
        <v>58</v>
      </c>
      <c r="AM7" s="729" t="s">
        <v>59</v>
      </c>
      <c r="AN7" s="730" t="s">
        <v>60</v>
      </c>
      <c r="AO7" s="730" t="s">
        <v>61</v>
      </c>
      <c r="AP7" s="730" t="s">
        <v>62</v>
      </c>
      <c r="AQ7" s="730" t="s">
        <v>63</v>
      </c>
      <c r="AR7" s="730" t="s">
        <v>64</v>
      </c>
      <c r="AS7" s="730" t="s">
        <v>65</v>
      </c>
      <c r="AT7" s="730" t="s">
        <v>66</v>
      </c>
      <c r="AU7" s="732" t="s">
        <v>67</v>
      </c>
      <c r="AV7" s="729" t="s">
        <v>68</v>
      </c>
      <c r="AW7" s="730" t="s">
        <v>69</v>
      </c>
      <c r="AX7" s="730" t="s">
        <v>70</v>
      </c>
      <c r="AY7" s="730" t="s">
        <v>71</v>
      </c>
      <c r="AZ7" s="730" t="s">
        <v>72</v>
      </c>
      <c r="BA7" s="730" t="s">
        <v>73</v>
      </c>
      <c r="BB7" s="730" t="s">
        <v>74</v>
      </c>
      <c r="BC7" s="731" t="s">
        <v>75</v>
      </c>
      <c r="BD7" s="731" t="s">
        <v>76</v>
      </c>
      <c r="BE7" s="729" t="s">
        <v>77</v>
      </c>
      <c r="BF7" s="730" t="s">
        <v>78</v>
      </c>
      <c r="BG7" s="730" t="s">
        <v>79</v>
      </c>
      <c r="BH7" s="732" t="s">
        <v>80</v>
      </c>
      <c r="BI7" s="733" t="s">
        <v>81</v>
      </c>
      <c r="BJ7" s="730" t="s">
        <v>82</v>
      </c>
      <c r="BK7" s="732" t="s">
        <v>83</v>
      </c>
      <c r="BL7" s="729" t="s">
        <v>84</v>
      </c>
      <c r="BM7" s="730" t="s">
        <v>85</v>
      </c>
      <c r="BN7" s="732" t="s">
        <v>440</v>
      </c>
      <c r="BO7" s="727"/>
      <c r="BP7" s="1"/>
      <c r="BS7" s="12"/>
      <c r="BU7" s="21"/>
      <c r="BV7" s="12"/>
    </row>
    <row r="8" spans="1:74" ht="61.5" customHeight="1" thickTop="1" thickBot="1" x14ac:dyDescent="0.2">
      <c r="B8" s="964" t="str">
        <f>IF(C4=2,"Réconcilié","Reconciled")</f>
        <v>Reconciled</v>
      </c>
      <c r="C8" s="965" t="str">
        <f>IF(C4=2,"Type Transaction","Transactions Type")</f>
        <v>Transactions Type</v>
      </c>
      <c r="D8" s="966" t="str">
        <f>IF(C4=2,"# de réf","Ref #")</f>
        <v>Ref #</v>
      </c>
      <c r="E8" s="967" t="str">
        <f>IF(C4=2,"Date
(aaaa-mm-jj)","Date
(yyyy-mm-dd)")</f>
        <v>Date
(yyyy-mm-dd)</v>
      </c>
      <c r="F8" s="968" t="str">
        <f>IF(C4=2,"Détails","Details")</f>
        <v>Details</v>
      </c>
      <c r="G8" s="969" t="str">
        <f>IF(C4=2,"Montant des
encaissements","Amount of
cash-in")</f>
        <v>Amount of
cash-in</v>
      </c>
      <c r="H8" s="1266" t="str">
        <f>IF(C4=2,"Compte","Account")</f>
        <v>Account</v>
      </c>
      <c r="I8" s="970" t="str">
        <f>IF(C4=2,"No. Compte","Account #")</f>
        <v>Account #</v>
      </c>
      <c r="J8" s="971" t="str">
        <f>IF(C4=2,"PREUVE DE RÉPARTITION dans les catégories - Doit être 0$","PROOF OF CATEGORY ALLOCATION - must be $0")</f>
        <v>PROOF OF CATEGORY ALLOCATION - must be $0</v>
      </c>
      <c r="K8" s="972" t="str">
        <f>IF(C4=2,"TVH Remboursées par Gouv't","HST Reimbursed by Gov't")</f>
        <v>HST Reimbursed by Gov't</v>
      </c>
      <c r="L8" s="973" t="str">
        <f>IF(C4=2,"TPS Remboursées par Gouv't","GST Reimbursed by Gov't")</f>
        <v>GST Reimbursed by Gov't</v>
      </c>
      <c r="M8" s="973" t="str">
        <f>IF(C4=2,"TVP/TVQ Remboursées par Gouv't","PST/QST Reimbursed by Gov't")</f>
        <v>PST/QST Reimbursed by Gov't</v>
      </c>
      <c r="N8" s="974"/>
      <c r="O8" s="975" t="str">
        <f>IF(C4=2,"Remboursement par trimestre","Quarters Rebate")</f>
        <v>Quarters Rebate</v>
      </c>
      <c r="P8" s="973" t="str">
        <f>IF(C4=2,"Montant des reçus d'impôt émis (non inclus dans le compte 4070)","Issued Tax Receipt Amount (not included in account 4070)")</f>
        <v>Issued Tax Receipt Amount (not included in account 4070)</v>
      </c>
      <c r="Q8" s="976" t="str">
        <f>IF(C4=2,"Répondant(s) officiel(s)","From Official Sponsor(s)")</f>
        <v>From Official Sponsor(s)</v>
      </c>
      <c r="R8" s="977" t="str">
        <f>IF(C4=2,"Organismes de Vétérans, autres que Répondants, Auxiliaires","From Non-Sponsor Veterans Organizations, Auxiliaries")</f>
        <v>From Non-Sponsor Veterans Organizations, Auxiliaries</v>
      </c>
      <c r="S8" s="978" t="str">
        <f>IF(C4=2,"Autres Clubs sociaux/de services (Bienfaisance)","From Other Service Clubs (Charities)")</f>
        <v>From Other Service Clubs (Charities)</v>
      </c>
      <c r="T8" s="859" t="s">
        <v>540</v>
      </c>
      <c r="U8" s="859" t="s">
        <v>540</v>
      </c>
      <c r="V8" s="859" t="s">
        <v>540</v>
      </c>
      <c r="W8" s="859" t="s">
        <v>540</v>
      </c>
      <c r="X8" s="977" t="str">
        <f>IF(C4=2,"Subventions spécifiques (autre que du MDN)","Specific Purpose Non-DND Grants")</f>
        <v>Specific Purpose Non-DND Grants</v>
      </c>
      <c r="Y8" s="977" t="str">
        <f>IF(C4=2,"Octrois, Legs, et autres","Bequests and Such")</f>
        <v>Bequests and Such</v>
      </c>
      <c r="Z8" s="979" t="str">
        <f>IF(C4=2,"Autres Dons - Sans reçus officiels d'impôt","Non-Tax Receipt - Other Donations")</f>
        <v>Non-Tax Receipt - Other Donations</v>
      </c>
      <c r="AA8" s="977" t="str">
        <f>IF(C4=2,"Autres Dons - Avec reçus officiels d'impôt","Tax Receipt - Other Donations")</f>
        <v>Tax Receipt - Other Donations</v>
      </c>
      <c r="AB8" s="851" t="s">
        <v>540</v>
      </c>
      <c r="AC8" s="851" t="s">
        <v>540</v>
      </c>
      <c r="AD8" s="851" t="s">
        <v>540</v>
      </c>
      <c r="AE8" s="851" t="s">
        <v>540</v>
      </c>
      <c r="AF8" s="851" t="s">
        <v>540</v>
      </c>
      <c r="AG8" s="851" t="s">
        <v>540</v>
      </c>
      <c r="AH8" s="851" t="s">
        <v>540</v>
      </c>
      <c r="AI8" s="851" t="s">
        <v>540</v>
      </c>
      <c r="AJ8" s="851" t="s">
        <v>540</v>
      </c>
      <c r="AK8" s="851" t="s">
        <v>540</v>
      </c>
      <c r="AL8" s="851" t="s">
        <v>540</v>
      </c>
      <c r="AM8" s="852" t="s">
        <v>540</v>
      </c>
      <c r="AN8" s="851" t="s">
        <v>540</v>
      </c>
      <c r="AO8" s="851" t="s">
        <v>540</v>
      </c>
      <c r="AP8" s="851" t="s">
        <v>540</v>
      </c>
      <c r="AQ8" s="851" t="s">
        <v>540</v>
      </c>
      <c r="AR8" s="851" t="s">
        <v>540</v>
      </c>
      <c r="AS8" s="851" t="s">
        <v>540</v>
      </c>
      <c r="AT8" s="851" t="s">
        <v>540</v>
      </c>
      <c r="AU8" s="853" t="s">
        <v>540</v>
      </c>
      <c r="AV8" s="980" t="str">
        <f>IF(C4=2,"Contributions des cadets pour activités","Money Collected for Activities")</f>
        <v>Money Collected for Activities</v>
      </c>
      <c r="AW8" s="977" t="str">
        <f>IF(C4=2,"Ristournes","Refunds")</f>
        <v>Refunds</v>
      </c>
      <c r="AX8" s="977" t="str">
        <f>IF(C4=2,"Cantines - Ventes","Canteen Proceeds")</f>
        <v>Canteen Proceeds</v>
      </c>
      <c r="AY8" s="977" t="str">
        <f>IF(C4=2,"Intérêts/Revenus bancaires/Investissements","Bank &amp; Investments Interest/Income")</f>
        <v>Bank &amp; Investments Interest/Income</v>
      </c>
      <c r="AZ8" s="977" t="str">
        <f>IF(C4=2,"Revenus divers","Misc Revenue")</f>
        <v>Misc Revenue</v>
      </c>
      <c r="BA8" s="851" t="s">
        <v>540</v>
      </c>
      <c r="BB8" s="851" t="s">
        <v>540</v>
      </c>
      <c r="BC8" s="851" t="s">
        <v>540</v>
      </c>
      <c r="BD8" s="851" t="s">
        <v>540</v>
      </c>
      <c r="BE8" s="980" t="str">
        <f>IF(C4=2,"MDN - Allocations pour soutien local (ASL)","DND Local Support Allocation (LSA)")</f>
        <v>DND Local Support Allocation (LSA)</v>
      </c>
      <c r="BF8" s="977" t="str">
        <f>IF(C4=2,"MDN - Programme obligatoire et complémentaire (POC)","DND Allocation - Mandatory and Complementary Pgm (MCP)")</f>
        <v>DND Allocation - Mandatory and Complementary Pgm (MCP)</v>
      </c>
      <c r="BG8" s="977" t="str">
        <f>IF(C4=2,"Portion fédérale - Remboursement de taxes","Federal Portion - Tax Rebate")</f>
        <v>Federal Portion - Tax Rebate</v>
      </c>
      <c r="BH8" s="853" t="s">
        <v>540</v>
      </c>
      <c r="BI8" s="976" t="str">
        <f>IF(C4=2,"subventions gouvernementales - Provincial","Governmental Grants - Provincial")</f>
        <v>Governmental Grants - Provincial</v>
      </c>
      <c r="BJ8" s="977" t="str">
        <f>IF(C4=2,"Portion provinciale - Remboursement de taxes","Provincial Portion - Tax Rebate")</f>
        <v>Provincial Portion - Tax Rebate</v>
      </c>
      <c r="BK8" s="853" t="s">
        <v>540</v>
      </c>
      <c r="BL8" s="980" t="str">
        <f>IF(C4=2,"subventions gouvernementales - Régional/
Municipal","Governmental Grants - Regional/
Municipal")</f>
        <v>Governmental Grants - Regional/
Municipal</v>
      </c>
      <c r="BM8" s="851" t="s">
        <v>540</v>
      </c>
      <c r="BN8" s="851" t="s">
        <v>540</v>
      </c>
      <c r="BO8" s="981" t="str">
        <f>IF(C4=2,"Transferts de compte à compte ou ajustements","Transfers between accounts or Adjustments")</f>
        <v>Transfers between accounts or Adjustments</v>
      </c>
      <c r="BP8" s="673"/>
      <c r="BS8" s="12"/>
      <c r="BV8" s="12"/>
    </row>
    <row r="9" spans="1:74" ht="14" hidden="1" thickTop="1" x14ac:dyDescent="0.15">
      <c r="E9" s="1"/>
      <c r="F9" s="1"/>
      <c r="G9" s="1"/>
      <c r="H9" s="1"/>
      <c r="I9" s="1"/>
      <c r="J9" s="12"/>
      <c r="K9" s="21"/>
      <c r="S9" s="19"/>
      <c r="AA9" s="19"/>
      <c r="AB9" s="19"/>
      <c r="AH9" s="19"/>
      <c r="AI9" s="19"/>
      <c r="AM9" s="25"/>
      <c r="AN9" s="25"/>
      <c r="AO9" s="25"/>
      <c r="AP9" s="25"/>
      <c r="AQ9" s="25"/>
      <c r="AR9" s="25"/>
      <c r="AS9" s="25"/>
      <c r="AT9" s="19"/>
      <c r="AY9" s="19"/>
      <c r="BB9" s="19"/>
      <c r="BC9" s="19"/>
      <c r="BD9" s="19"/>
      <c r="BE9" s="25"/>
      <c r="BF9" s="25"/>
      <c r="BG9" s="734"/>
      <c r="BH9" s="735"/>
      <c r="BI9" s="19"/>
      <c r="BJ9" s="19"/>
      <c r="BK9" s="736"/>
      <c r="BL9" s="737"/>
      <c r="BM9" s="25"/>
      <c r="BN9" s="25"/>
      <c r="BO9" s="1"/>
      <c r="BV9" s="12"/>
    </row>
    <row r="10" spans="1:74" s="26" customFormat="1" ht="16" hidden="1" x14ac:dyDescent="0.15">
      <c r="A10" s="17"/>
      <c r="B10" s="18"/>
      <c r="C10" s="19"/>
      <c r="D10" s="19"/>
      <c r="I10" s="27"/>
      <c r="J10" s="19"/>
      <c r="K10" s="738"/>
      <c r="L10" s="27"/>
      <c r="M10" s="19"/>
      <c r="N10" s="19"/>
      <c r="O10" s="12"/>
      <c r="P10" s="12"/>
      <c r="Q10" s="19"/>
      <c r="R10" s="19"/>
      <c r="S10" s="19"/>
      <c r="T10" s="19"/>
      <c r="U10" s="19"/>
      <c r="V10" s="19"/>
      <c r="W10" s="19"/>
      <c r="X10" s="19"/>
      <c r="Y10" s="19"/>
      <c r="Z10" s="19"/>
      <c r="AA10" s="19"/>
      <c r="AB10" s="19"/>
      <c r="AC10" s="19"/>
      <c r="AD10" s="19"/>
      <c r="AE10" s="19"/>
      <c r="AF10" s="19"/>
      <c r="AG10" s="19"/>
      <c r="AH10" s="19"/>
      <c r="AI10" s="19"/>
      <c r="AJ10" s="19"/>
      <c r="AK10" s="19"/>
      <c r="AL10" s="19"/>
      <c r="AM10" s="25"/>
      <c r="AN10" s="25"/>
      <c r="AO10" s="25"/>
      <c r="AP10" s="25"/>
      <c r="AQ10" s="25"/>
      <c r="AR10" s="25"/>
      <c r="AS10" s="25"/>
      <c r="AT10" s="19"/>
      <c r="AU10" s="19"/>
      <c r="AV10" s="19"/>
      <c r="AW10" s="19"/>
      <c r="AX10" s="19"/>
      <c r="AY10" s="19"/>
      <c r="AZ10" s="19"/>
      <c r="BB10" s="19"/>
      <c r="BC10" s="19"/>
      <c r="BD10" s="19"/>
      <c r="BE10" s="25"/>
      <c r="BF10" s="25"/>
      <c r="BG10" s="734"/>
      <c r="BH10" s="735"/>
      <c r="BI10" s="19"/>
      <c r="BJ10" s="19"/>
      <c r="BK10" s="736"/>
      <c r="BL10" s="737"/>
      <c r="BM10" s="25"/>
      <c r="BN10" s="25"/>
      <c r="BP10" s="19"/>
      <c r="BV10" s="19"/>
    </row>
    <row r="11" spans="1:74" s="26" customFormat="1" ht="16" hidden="1" x14ac:dyDescent="0.15">
      <c r="A11" s="17"/>
      <c r="B11" s="18"/>
      <c r="C11" s="19"/>
      <c r="D11" s="19"/>
      <c r="I11" s="27"/>
      <c r="J11" s="19"/>
      <c r="K11" s="738"/>
      <c r="L11" s="27"/>
      <c r="M11" s="19"/>
      <c r="N11" s="19"/>
      <c r="O11" s="12"/>
      <c r="P11" s="12"/>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25"/>
      <c r="BF11" s="25"/>
      <c r="BG11" s="734"/>
      <c r="BH11" s="735"/>
      <c r="BI11" s="19"/>
      <c r="BJ11" s="25"/>
      <c r="BK11" s="736"/>
      <c r="BL11" s="737"/>
      <c r="BM11" s="25"/>
      <c r="BN11" s="25"/>
      <c r="BP11" s="19"/>
      <c r="BV11" s="19"/>
    </row>
    <row r="12" spans="1:74" s="26" customFormat="1" ht="16" hidden="1" x14ac:dyDescent="0.15">
      <c r="A12" s="17"/>
      <c r="B12" s="18"/>
      <c r="C12" s="19"/>
      <c r="D12" s="19"/>
      <c r="E12" s="1481"/>
      <c r="F12" s="1481"/>
      <c r="G12" s="603"/>
      <c r="H12" s="739"/>
      <c r="I12" s="27"/>
      <c r="J12" s="19"/>
      <c r="K12" s="738"/>
      <c r="L12" s="27"/>
      <c r="M12" s="19"/>
      <c r="N12" s="19"/>
      <c r="O12" s="12"/>
      <c r="P12" s="12"/>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25"/>
      <c r="BF12" s="25"/>
      <c r="BG12" s="734"/>
      <c r="BH12" s="735"/>
      <c r="BI12" s="19"/>
      <c r="BJ12" s="25"/>
      <c r="BK12" s="736"/>
      <c r="BL12" s="737"/>
      <c r="BM12" s="25"/>
      <c r="BN12" s="25"/>
      <c r="BP12" s="19"/>
      <c r="BV12" s="19"/>
    </row>
    <row r="13" spans="1:74" ht="16" hidden="1" x14ac:dyDescent="0.15">
      <c r="E13" s="1481"/>
      <c r="F13" s="1481"/>
      <c r="G13" s="603"/>
      <c r="H13" s="739"/>
      <c r="J13" s="12"/>
      <c r="K13" s="738"/>
      <c r="BE13" s="25"/>
      <c r="BG13" s="718"/>
      <c r="BH13" s="740"/>
      <c r="BK13" s="741"/>
      <c r="BL13" s="742"/>
      <c r="BO13" s="1"/>
      <c r="BV13" s="12"/>
    </row>
    <row r="14" spans="1:74" ht="16" hidden="1" x14ac:dyDescent="0.15">
      <c r="E14" s="1481"/>
      <c r="F14" s="1481"/>
      <c r="G14" s="603"/>
      <c r="H14" s="739"/>
      <c r="J14" s="12"/>
      <c r="K14" s="738"/>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4"/>
      <c r="BF14" s="20"/>
      <c r="BG14" s="743"/>
      <c r="BH14" s="744"/>
      <c r="BI14" s="20"/>
      <c r="BJ14" s="20"/>
      <c r="BK14" s="670"/>
      <c r="BL14" s="665"/>
      <c r="BM14" s="20"/>
      <c r="BN14" s="20"/>
      <c r="BO14" s="1"/>
      <c r="BV14" s="12"/>
    </row>
    <row r="15" spans="1:74" s="26" customFormat="1" ht="17" hidden="1" thickBot="1" x14ac:dyDescent="0.2">
      <c r="A15" s="17"/>
      <c r="B15" s="18"/>
      <c r="C15" s="19"/>
      <c r="D15" s="19"/>
      <c r="E15" s="502"/>
      <c r="F15" s="502"/>
      <c r="G15" s="745"/>
      <c r="H15" s="746"/>
      <c r="I15" s="27"/>
      <c r="J15" s="19"/>
      <c r="K15" s="747"/>
      <c r="L15" s="27"/>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748"/>
      <c r="BH15" s="749"/>
      <c r="BI15" s="19"/>
      <c r="BJ15" s="19"/>
      <c r="BK15" s="750"/>
      <c r="BL15" s="751"/>
      <c r="BM15" s="19"/>
      <c r="BN15" s="19"/>
      <c r="BP15" s="19"/>
      <c r="BV15" s="19"/>
    </row>
    <row r="16" spans="1:74" ht="25.5" customHeight="1" thickTop="1" thickBot="1" x14ac:dyDescent="0.2">
      <c r="A16" s="17">
        <f>$A8+1</f>
        <v>1</v>
      </c>
      <c r="B16" s="1040"/>
      <c r="C16" s="1041"/>
      <c r="D16" s="877"/>
      <c r="E16" s="952"/>
      <c r="F16" s="878"/>
      <c r="G16" s="879"/>
      <c r="H16" s="1047"/>
      <c r="I16" s="684" t="str">
        <f t="shared" ref="I16:I79" si="0">LEFT(H16,4)</f>
        <v/>
      </c>
      <c r="J16" s="752">
        <f t="shared" ref="J16:J79" si="1">G16-BP16</f>
        <v>0</v>
      </c>
      <c r="K16" s="1247"/>
      <c r="L16" s="1248"/>
      <c r="M16" s="1248"/>
      <c r="N16" s="773" t="str">
        <f>IF($E16="","",MONTH($E16))</f>
        <v/>
      </c>
      <c r="O16" s="774" t="str">
        <f>IF('Set up ~ Config'!$G$32=6,IF(OR($N16=7,$N16=8,$N16=9),1,IF(OR($N16=10,$N16=11,$N16=12),2,IF(OR($N16=1,$N16=2,$N16=3),3,IF(OR($N16=4,$N16=5,$N16=6),4,"")))),IF(OR($N16=9,$N16=10,$N16=11),1,IF(OR($N16=12,$N16=1,$N16=2),2,IF(OR($N16=3,$N16=4,$N16=5),3,IF(OR($N16=6,$N16=7,$N16=8),4,"")))))</f>
        <v/>
      </c>
      <c r="P16" s="28"/>
      <c r="Q16" s="29"/>
      <c r="R16" s="30"/>
      <c r="S16" s="753">
        <f t="shared" ref="S16:S79" si="2">SUM(T16:W16)</f>
        <v>0</v>
      </c>
      <c r="T16" s="30"/>
      <c r="U16" s="30"/>
      <c r="V16" s="30"/>
      <c r="W16" s="30"/>
      <c r="X16" s="30"/>
      <c r="Y16" s="30"/>
      <c r="Z16" s="30"/>
      <c r="AA16" s="30"/>
      <c r="AB16" s="31"/>
      <c r="AC16" s="32"/>
      <c r="AD16" s="33"/>
      <c r="AE16" s="34"/>
      <c r="AF16" s="34"/>
      <c r="AG16" s="34"/>
      <c r="AH16" s="34"/>
      <c r="AI16" s="31"/>
      <c r="AJ16" s="31"/>
      <c r="AK16" s="34"/>
      <c r="AL16" s="35"/>
      <c r="AM16" s="33"/>
      <c r="AN16" s="34"/>
      <c r="AO16" s="34"/>
      <c r="AP16" s="34"/>
      <c r="AQ16" s="34"/>
      <c r="AR16" s="34"/>
      <c r="AS16" s="34"/>
      <c r="AT16" s="34"/>
      <c r="AU16" s="32"/>
      <c r="AV16" s="33"/>
      <c r="AW16" s="34"/>
      <c r="AX16" s="34"/>
      <c r="AY16" s="34"/>
      <c r="AZ16" s="34"/>
      <c r="BA16" s="34"/>
      <c r="BB16" s="34"/>
      <c r="BC16" s="31"/>
      <c r="BD16" s="32"/>
      <c r="BE16" s="36"/>
      <c r="BF16" s="34"/>
      <c r="BG16" s="34"/>
      <c r="BH16" s="32"/>
      <c r="BI16" s="35"/>
      <c r="BJ16" s="34"/>
      <c r="BK16" s="32"/>
      <c r="BL16" s="33"/>
      <c r="BM16" s="34"/>
      <c r="BN16" s="32"/>
      <c r="BO16" s="892"/>
      <c r="BP16" s="37">
        <f t="shared" ref="BP16:BP79" si="3">SUM(Q16:R16,T16:BO16)</f>
        <v>0</v>
      </c>
      <c r="BS16" s="12" t="s">
        <v>86</v>
      </c>
      <c r="BT16" s="12"/>
      <c r="BV16" s="12"/>
    </row>
    <row r="17" spans="1:74" ht="25.5" customHeight="1" thickTop="1" thickBot="1" x14ac:dyDescent="0.2">
      <c r="A17" s="17">
        <f t="shared" ref="A17:A80" si="4">$A16+1</f>
        <v>2</v>
      </c>
      <c r="B17" s="1042"/>
      <c r="C17" s="1043"/>
      <c r="D17" s="880"/>
      <c r="E17" s="953"/>
      <c r="F17" s="881"/>
      <c r="G17" s="882"/>
      <c r="H17" s="1048"/>
      <c r="I17" s="684" t="str">
        <f t="shared" si="0"/>
        <v/>
      </c>
      <c r="J17" s="754">
        <f t="shared" si="1"/>
        <v>0</v>
      </c>
      <c r="K17" s="1249"/>
      <c r="L17" s="1250"/>
      <c r="M17" s="1250"/>
      <c r="N17" s="773" t="str">
        <f t="shared" ref="N17:N80" si="5">IF($E17="","",MONTH($E17))</f>
        <v/>
      </c>
      <c r="O17" s="774" t="str">
        <f>IF('Set up ~ Config'!$G$32=6,IF(OR($N17=7,$N17=8,$N17=9),1,IF(OR($N17=10,$N17=11,$N17=12),2,IF(OR($N17=1,$N17=2,$N17=3),3,IF(OR($N17=4,$N17=5,$N17=6),4,"")))),IF(OR($N17=9,$N17=10,$N17=11),1,IF(OR($N17=12,$N17=1,$N17=2),2,IF(OR($N17=3,$N17=4,$N17=5),3,IF(OR($N17=6,$N17=7,$N17=8),4,"")))))</f>
        <v/>
      </c>
      <c r="P17" s="40"/>
      <c r="Q17" s="41"/>
      <c r="R17" s="42"/>
      <c r="S17" s="755">
        <f t="shared" si="2"/>
        <v>0</v>
      </c>
      <c r="T17" s="42"/>
      <c r="U17" s="42"/>
      <c r="V17" s="42"/>
      <c r="W17" s="42"/>
      <c r="X17" s="42"/>
      <c r="Y17" s="42"/>
      <c r="Z17" s="42"/>
      <c r="AA17" s="42"/>
      <c r="AB17" s="43"/>
      <c r="AC17" s="44"/>
      <c r="AD17" s="45"/>
      <c r="AE17" s="42"/>
      <c r="AF17" s="42"/>
      <c r="AG17" s="42"/>
      <c r="AH17" s="42"/>
      <c r="AI17" s="43"/>
      <c r="AJ17" s="43"/>
      <c r="AK17" s="42"/>
      <c r="AL17" s="41"/>
      <c r="AM17" s="45"/>
      <c r="AN17" s="42"/>
      <c r="AO17" s="46"/>
      <c r="AP17" s="46"/>
      <c r="AQ17" s="46"/>
      <c r="AR17" s="46"/>
      <c r="AS17" s="46"/>
      <c r="AT17" s="46"/>
      <c r="AU17" s="47"/>
      <c r="AV17" s="45"/>
      <c r="AW17" s="42"/>
      <c r="AX17" s="42"/>
      <c r="AY17" s="42"/>
      <c r="AZ17" s="42"/>
      <c r="BA17" s="42"/>
      <c r="BB17" s="42"/>
      <c r="BC17" s="43"/>
      <c r="BD17" s="44"/>
      <c r="BE17" s="48"/>
      <c r="BF17" s="42"/>
      <c r="BG17" s="42"/>
      <c r="BH17" s="44"/>
      <c r="BI17" s="41"/>
      <c r="BJ17" s="42"/>
      <c r="BK17" s="44"/>
      <c r="BL17" s="45"/>
      <c r="BM17" s="42"/>
      <c r="BN17" s="44"/>
      <c r="BO17" s="893"/>
      <c r="BP17" s="37">
        <f t="shared" si="3"/>
        <v>0</v>
      </c>
      <c r="BS17" s="12" t="s">
        <v>87</v>
      </c>
      <c r="BT17" s="12"/>
      <c r="BV17" s="12"/>
    </row>
    <row r="18" spans="1:74" ht="25.5" customHeight="1" thickTop="1" thickBot="1" x14ac:dyDescent="0.2">
      <c r="A18" s="17">
        <f t="shared" si="4"/>
        <v>3</v>
      </c>
      <c r="B18" s="1042"/>
      <c r="C18" s="1043"/>
      <c r="D18" s="880"/>
      <c r="E18" s="953"/>
      <c r="F18" s="881"/>
      <c r="G18" s="882"/>
      <c r="H18" s="1048"/>
      <c r="I18" s="684" t="str">
        <f t="shared" si="0"/>
        <v/>
      </c>
      <c r="J18" s="754">
        <f t="shared" si="1"/>
        <v>0</v>
      </c>
      <c r="K18" s="1249"/>
      <c r="L18" s="1250"/>
      <c r="M18" s="1250"/>
      <c r="N18" s="773" t="str">
        <f t="shared" si="5"/>
        <v/>
      </c>
      <c r="O18" s="774" t="str">
        <f>IF('Set up ~ Config'!$G$32=6,IF(OR($N18=7,$N18=8,$N18=9),1,IF(OR($N18=10,$N18=11,$N18=12),2,IF(OR($N18=1,$N18=2,$N18=3),3,IF(OR($N18=4,$N18=5,$N18=6),4,"")))),IF(OR($N18=9,$N18=10,$N18=11),1,IF(OR($N18=12,$N18=1,$N18=2),2,IF(OR($N18=3,$N18=4,$N18=5),3,IF(OR($N18=6,$N18=7,$N18=8),4,"")))))</f>
        <v/>
      </c>
      <c r="P18" s="40"/>
      <c r="Q18" s="41"/>
      <c r="R18" s="42"/>
      <c r="S18" s="755">
        <f t="shared" si="2"/>
        <v>0</v>
      </c>
      <c r="T18" s="42"/>
      <c r="U18" s="42"/>
      <c r="V18" s="42"/>
      <c r="W18" s="42"/>
      <c r="X18" s="42"/>
      <c r="Y18" s="42"/>
      <c r="Z18" s="42"/>
      <c r="AA18" s="42"/>
      <c r="AB18" s="43"/>
      <c r="AC18" s="44"/>
      <c r="AD18" s="45"/>
      <c r="AE18" s="42"/>
      <c r="AF18" s="42"/>
      <c r="AG18" s="42"/>
      <c r="AH18" s="42"/>
      <c r="AI18" s="43"/>
      <c r="AJ18" s="43"/>
      <c r="AK18" s="42"/>
      <c r="AL18" s="41"/>
      <c r="AM18" s="45"/>
      <c r="AN18" s="42"/>
      <c r="AO18" s="46"/>
      <c r="AP18" s="46"/>
      <c r="AQ18" s="46"/>
      <c r="AR18" s="46"/>
      <c r="AS18" s="46"/>
      <c r="AT18" s="46"/>
      <c r="AU18" s="47"/>
      <c r="AV18" s="45"/>
      <c r="AW18" s="42"/>
      <c r="AX18" s="42"/>
      <c r="AY18" s="42"/>
      <c r="AZ18" s="42"/>
      <c r="BA18" s="42"/>
      <c r="BB18" s="42"/>
      <c r="BC18" s="43"/>
      <c r="BD18" s="44"/>
      <c r="BE18" s="45"/>
      <c r="BF18" s="42"/>
      <c r="BG18" s="42"/>
      <c r="BH18" s="44"/>
      <c r="BI18" s="41"/>
      <c r="BJ18" s="42"/>
      <c r="BK18" s="44"/>
      <c r="BL18" s="45"/>
      <c r="BM18" s="42"/>
      <c r="BN18" s="44"/>
      <c r="BO18" s="893"/>
      <c r="BP18" s="37">
        <f t="shared" si="3"/>
        <v>0</v>
      </c>
      <c r="BS18" s="12" t="s">
        <v>88</v>
      </c>
      <c r="BV18" s="12"/>
    </row>
    <row r="19" spans="1:74" ht="25.5" customHeight="1" thickTop="1" thickBot="1" x14ac:dyDescent="0.2">
      <c r="A19" s="17">
        <f t="shared" si="4"/>
        <v>4</v>
      </c>
      <c r="B19" s="1042"/>
      <c r="C19" s="1043"/>
      <c r="D19" s="880"/>
      <c r="E19" s="953"/>
      <c r="F19" s="883"/>
      <c r="G19" s="882"/>
      <c r="H19" s="1048"/>
      <c r="I19" s="684" t="str">
        <f t="shared" si="0"/>
        <v/>
      </c>
      <c r="J19" s="754">
        <f t="shared" si="1"/>
        <v>0</v>
      </c>
      <c r="K19" s="1249"/>
      <c r="L19" s="1250"/>
      <c r="M19" s="1250"/>
      <c r="N19" s="773" t="str">
        <f t="shared" si="5"/>
        <v/>
      </c>
      <c r="O19" s="774" t="str">
        <f>IF('Set up ~ Config'!$G$32=6,IF(OR($N19=7,$N19=8,$N19=9),1,IF(OR($N19=10,$N19=11,$N19=12),2,IF(OR($N19=1,$N19=2,$N19=3),3,IF(OR($N19=4,$N19=5,$N19=6),4,"")))),IF(OR($N19=9,$N19=10,$N19=11),1,IF(OR($N19=12,$N19=1,$N19=2),2,IF(OR($N19=3,$N19=4,$N19=5),3,IF(OR($N19=6,$N19=7,$N19=8),4,"")))))</f>
        <v/>
      </c>
      <c r="P19" s="40"/>
      <c r="Q19" s="41"/>
      <c r="R19" s="42"/>
      <c r="S19" s="755">
        <f t="shared" si="2"/>
        <v>0</v>
      </c>
      <c r="T19" s="42"/>
      <c r="U19" s="42"/>
      <c r="V19" s="42"/>
      <c r="W19" s="42"/>
      <c r="X19" s="42"/>
      <c r="Y19" s="42"/>
      <c r="Z19" s="42"/>
      <c r="AA19" s="42"/>
      <c r="AB19" s="43"/>
      <c r="AC19" s="44"/>
      <c r="AD19" s="45"/>
      <c r="AE19" s="42"/>
      <c r="AF19" s="42"/>
      <c r="AG19" s="42"/>
      <c r="AH19" s="42"/>
      <c r="AI19" s="43"/>
      <c r="AJ19" s="43"/>
      <c r="AK19" s="42"/>
      <c r="AL19" s="41"/>
      <c r="AM19" s="45"/>
      <c r="AN19" s="42"/>
      <c r="AO19" s="46"/>
      <c r="AP19" s="46"/>
      <c r="AQ19" s="46"/>
      <c r="AR19" s="46"/>
      <c r="AS19" s="46"/>
      <c r="AT19" s="46"/>
      <c r="AU19" s="47"/>
      <c r="AV19" s="45"/>
      <c r="AW19" s="42"/>
      <c r="AX19" s="42"/>
      <c r="AY19" s="42"/>
      <c r="AZ19" s="42"/>
      <c r="BA19" s="42"/>
      <c r="BB19" s="42"/>
      <c r="BC19" s="43"/>
      <c r="BD19" s="44"/>
      <c r="BE19" s="45"/>
      <c r="BF19" s="42"/>
      <c r="BG19" s="42"/>
      <c r="BH19" s="44"/>
      <c r="BI19" s="41"/>
      <c r="BJ19" s="42"/>
      <c r="BK19" s="44"/>
      <c r="BL19" s="45"/>
      <c r="BM19" s="42"/>
      <c r="BN19" s="44"/>
      <c r="BO19" s="893"/>
      <c r="BP19" s="37">
        <f t="shared" si="3"/>
        <v>0</v>
      </c>
      <c r="BS19" s="12" t="s">
        <v>89</v>
      </c>
    </row>
    <row r="20" spans="1:74" ht="25.5" customHeight="1" thickTop="1" thickBot="1" x14ac:dyDescent="0.2">
      <c r="A20" s="17">
        <f t="shared" si="4"/>
        <v>5</v>
      </c>
      <c r="B20" s="1042"/>
      <c r="C20" s="1043"/>
      <c r="D20" s="880"/>
      <c r="E20" s="953"/>
      <c r="F20" s="883"/>
      <c r="G20" s="882"/>
      <c r="H20" s="1048"/>
      <c r="I20" s="684" t="str">
        <f t="shared" si="0"/>
        <v/>
      </c>
      <c r="J20" s="754">
        <f t="shared" si="1"/>
        <v>0</v>
      </c>
      <c r="K20" s="1249"/>
      <c r="L20" s="1250"/>
      <c r="M20" s="1250"/>
      <c r="N20" s="773" t="str">
        <f t="shared" si="5"/>
        <v/>
      </c>
      <c r="O20" s="774" t="str">
        <f>IF('Set up ~ Config'!$G$32=6,IF(OR($N20=7,$N20=8,$N20=9),1,IF(OR($N20=10,$N20=11,$N20=12),2,IF(OR($N20=1,$N20=2,$N20=3),3,IF(OR($N20=4,$N20=5,$N20=6),4,"")))),IF(OR($N20=9,$N20=10,$N20=11),1,IF(OR($N20=12,$N20=1,$N20=2),2,IF(OR($N20=3,$N20=4,$N20=5),3,IF(OR($N20=6,$N20=7,$N20=8),4,"")))))</f>
        <v/>
      </c>
      <c r="P20" s="40"/>
      <c r="Q20" s="41"/>
      <c r="R20" s="42"/>
      <c r="S20" s="755">
        <f t="shared" si="2"/>
        <v>0</v>
      </c>
      <c r="T20" s="42"/>
      <c r="U20" s="42"/>
      <c r="V20" s="42"/>
      <c r="W20" s="42"/>
      <c r="X20" s="42"/>
      <c r="Y20" s="42"/>
      <c r="Z20" s="42"/>
      <c r="AA20" s="42"/>
      <c r="AB20" s="43"/>
      <c r="AC20" s="44"/>
      <c r="AD20" s="45"/>
      <c r="AE20" s="42"/>
      <c r="AF20" s="42"/>
      <c r="AG20" s="42"/>
      <c r="AH20" s="42"/>
      <c r="AI20" s="43"/>
      <c r="AJ20" s="43"/>
      <c r="AK20" s="42"/>
      <c r="AL20" s="41"/>
      <c r="AM20" s="45"/>
      <c r="AN20" s="42"/>
      <c r="AO20" s="46"/>
      <c r="AP20" s="46"/>
      <c r="AQ20" s="46"/>
      <c r="AR20" s="46"/>
      <c r="AS20" s="46"/>
      <c r="AT20" s="46"/>
      <c r="AU20" s="47"/>
      <c r="AV20" s="45"/>
      <c r="AW20" s="42"/>
      <c r="AX20" s="42"/>
      <c r="AY20" s="42"/>
      <c r="AZ20" s="42"/>
      <c r="BA20" s="42"/>
      <c r="BB20" s="42"/>
      <c r="BC20" s="43"/>
      <c r="BD20" s="44"/>
      <c r="BE20" s="45"/>
      <c r="BF20" s="42"/>
      <c r="BG20" s="42"/>
      <c r="BH20" s="44"/>
      <c r="BI20" s="41"/>
      <c r="BJ20" s="42"/>
      <c r="BK20" s="44"/>
      <c r="BL20" s="45"/>
      <c r="BM20" s="42"/>
      <c r="BN20" s="44"/>
      <c r="BO20" s="893"/>
      <c r="BP20" s="37">
        <f t="shared" si="3"/>
        <v>0</v>
      </c>
      <c r="BS20" s="12" t="s">
        <v>90</v>
      </c>
    </row>
    <row r="21" spans="1:74" ht="25.5" customHeight="1" thickTop="1" thickBot="1" x14ac:dyDescent="0.2">
      <c r="A21" s="17">
        <f t="shared" si="4"/>
        <v>6</v>
      </c>
      <c r="B21" s="1042"/>
      <c r="C21" s="1043"/>
      <c r="D21" s="880"/>
      <c r="E21" s="953"/>
      <c r="F21" s="883"/>
      <c r="G21" s="882"/>
      <c r="H21" s="1048"/>
      <c r="I21" s="684" t="str">
        <f t="shared" si="0"/>
        <v/>
      </c>
      <c r="J21" s="754">
        <f t="shared" si="1"/>
        <v>0</v>
      </c>
      <c r="K21" s="1249"/>
      <c r="L21" s="1250"/>
      <c r="M21" s="1250"/>
      <c r="N21" s="773" t="str">
        <f t="shared" si="5"/>
        <v/>
      </c>
      <c r="O21" s="774" t="str">
        <f>IF('Set up ~ Config'!$G$32=6,IF(OR($N21=7,$N21=8,$N21=9),1,IF(OR($N21=10,$N21=11,$N21=12),2,IF(OR($N21=1,$N21=2,$N21=3),3,IF(OR($N21=4,$N21=5,$N21=6),4,"")))),IF(OR($N21=9,$N21=10,$N21=11),1,IF(OR($N21=12,$N21=1,$N21=2),2,IF(OR($N21=3,$N21=4,$N21=5),3,IF(OR($N21=6,$N21=7,$N21=8),4,"")))))</f>
        <v/>
      </c>
      <c r="P21" s="40"/>
      <c r="Q21" s="41"/>
      <c r="R21" s="42"/>
      <c r="S21" s="755">
        <f t="shared" si="2"/>
        <v>0</v>
      </c>
      <c r="T21" s="42"/>
      <c r="U21" s="42"/>
      <c r="V21" s="42"/>
      <c r="W21" s="42"/>
      <c r="X21" s="42"/>
      <c r="Y21" s="42"/>
      <c r="Z21" s="42"/>
      <c r="AA21" s="42"/>
      <c r="AB21" s="43"/>
      <c r="AC21" s="44"/>
      <c r="AD21" s="45"/>
      <c r="AE21" s="42"/>
      <c r="AF21" s="42"/>
      <c r="AG21" s="42"/>
      <c r="AH21" s="42"/>
      <c r="AI21" s="43"/>
      <c r="AJ21" s="43"/>
      <c r="AK21" s="42"/>
      <c r="AL21" s="41"/>
      <c r="AM21" s="45"/>
      <c r="AN21" s="42"/>
      <c r="AO21" s="46"/>
      <c r="AP21" s="46"/>
      <c r="AQ21" s="46"/>
      <c r="AR21" s="46"/>
      <c r="AS21" s="46"/>
      <c r="AT21" s="46"/>
      <c r="AU21" s="47"/>
      <c r="AV21" s="45"/>
      <c r="AW21" s="42"/>
      <c r="AX21" s="42"/>
      <c r="AY21" s="42"/>
      <c r="AZ21" s="42"/>
      <c r="BA21" s="42"/>
      <c r="BB21" s="42"/>
      <c r="BC21" s="43"/>
      <c r="BD21" s="44"/>
      <c r="BE21" s="45"/>
      <c r="BF21" s="42"/>
      <c r="BG21" s="42"/>
      <c r="BH21" s="44"/>
      <c r="BI21" s="41"/>
      <c r="BJ21" s="42"/>
      <c r="BK21" s="44"/>
      <c r="BL21" s="45"/>
      <c r="BM21" s="42"/>
      <c r="BN21" s="44"/>
      <c r="BO21" s="893"/>
      <c r="BP21" s="37">
        <f t="shared" si="3"/>
        <v>0</v>
      </c>
      <c r="BS21" s="12" t="s">
        <v>91</v>
      </c>
    </row>
    <row r="22" spans="1:74" ht="25.5" customHeight="1" thickTop="1" thickBot="1" x14ac:dyDescent="0.2">
      <c r="A22" s="17">
        <f t="shared" si="4"/>
        <v>7</v>
      </c>
      <c r="B22" s="1042"/>
      <c r="C22" s="1043"/>
      <c r="D22" s="880"/>
      <c r="E22" s="953"/>
      <c r="F22" s="881"/>
      <c r="G22" s="882"/>
      <c r="H22" s="1048"/>
      <c r="I22" s="684" t="str">
        <f t="shared" si="0"/>
        <v/>
      </c>
      <c r="J22" s="754">
        <f t="shared" si="1"/>
        <v>0</v>
      </c>
      <c r="K22" s="1249"/>
      <c r="L22" s="1250"/>
      <c r="M22" s="1250"/>
      <c r="N22" s="773" t="str">
        <f t="shared" si="5"/>
        <v/>
      </c>
      <c r="O22" s="774" t="str">
        <f>IF('Set up ~ Config'!$G$32=6,IF(OR($N22=7,$N22=8,$N22=9),1,IF(OR($N22=10,$N22=11,$N22=12),2,IF(OR($N22=1,$N22=2,$N22=3),3,IF(OR($N22=4,$N22=5,$N22=6),4,"")))),IF(OR($N22=9,$N22=10,$N22=11),1,IF(OR($N22=12,$N22=1,$N22=2),2,IF(OR($N22=3,$N22=4,$N22=5),3,IF(OR($N22=6,$N22=7,$N22=8),4,"")))))</f>
        <v/>
      </c>
      <c r="P22" s="40"/>
      <c r="Q22" s="41"/>
      <c r="R22" s="42"/>
      <c r="S22" s="755">
        <f t="shared" si="2"/>
        <v>0</v>
      </c>
      <c r="T22" s="42"/>
      <c r="U22" s="42"/>
      <c r="V22" s="42"/>
      <c r="W22" s="42"/>
      <c r="X22" s="42"/>
      <c r="Y22" s="42"/>
      <c r="Z22" s="42"/>
      <c r="AA22" s="42"/>
      <c r="AB22" s="43"/>
      <c r="AC22" s="44"/>
      <c r="AD22" s="45"/>
      <c r="AE22" s="42"/>
      <c r="AF22" s="42"/>
      <c r="AG22" s="42"/>
      <c r="AH22" s="42"/>
      <c r="AI22" s="43"/>
      <c r="AJ22" s="43"/>
      <c r="AK22" s="42"/>
      <c r="AL22" s="41"/>
      <c r="AM22" s="45"/>
      <c r="AN22" s="42"/>
      <c r="AO22" s="46"/>
      <c r="AP22" s="46"/>
      <c r="AQ22" s="46"/>
      <c r="AR22" s="46"/>
      <c r="AS22" s="46"/>
      <c r="AT22" s="46"/>
      <c r="AU22" s="47"/>
      <c r="AV22" s="45"/>
      <c r="AW22" s="42"/>
      <c r="AX22" s="42"/>
      <c r="AY22" s="42"/>
      <c r="AZ22" s="42"/>
      <c r="BA22" s="42"/>
      <c r="BB22" s="42"/>
      <c r="BC22" s="43"/>
      <c r="BD22" s="44"/>
      <c r="BE22" s="45"/>
      <c r="BF22" s="42"/>
      <c r="BG22" s="42"/>
      <c r="BH22" s="44"/>
      <c r="BI22" s="41"/>
      <c r="BJ22" s="42"/>
      <c r="BK22" s="44"/>
      <c r="BL22" s="45"/>
      <c r="BM22" s="42"/>
      <c r="BN22" s="44"/>
      <c r="BO22" s="893"/>
      <c r="BP22" s="37">
        <f t="shared" si="3"/>
        <v>0</v>
      </c>
      <c r="BS22" s="12"/>
    </row>
    <row r="23" spans="1:74" ht="25.5" customHeight="1" x14ac:dyDescent="0.15">
      <c r="A23" s="17">
        <f t="shared" si="4"/>
        <v>8</v>
      </c>
      <c r="B23" s="1042"/>
      <c r="C23" s="1043"/>
      <c r="D23" s="880"/>
      <c r="E23" s="953"/>
      <c r="F23" s="883"/>
      <c r="G23" s="882"/>
      <c r="H23" s="1048"/>
      <c r="I23" s="684" t="str">
        <f t="shared" si="0"/>
        <v/>
      </c>
      <c r="J23" s="754">
        <f t="shared" si="1"/>
        <v>0</v>
      </c>
      <c r="K23" s="1249"/>
      <c r="L23" s="1250"/>
      <c r="M23" s="1250"/>
      <c r="N23" s="773" t="str">
        <f t="shared" si="5"/>
        <v/>
      </c>
      <c r="O23" s="774" t="str">
        <f>IF('Set up ~ Config'!$G$32=6,IF(OR($N23=7,$N23=8,$N23=9),1,IF(OR($N23=10,$N23=11,$N23=12),2,IF(OR($N23=1,$N23=2,$N23=3),3,IF(OR($N23=4,$N23=5,$N23=6),4,"")))),IF(OR($N23=9,$N23=10,$N23=11),1,IF(OR($N23=12,$N23=1,$N23=2),2,IF(OR($N23=3,$N23=4,$N23=5),3,IF(OR($N23=6,$N23=7,$N23=8),4,"")))))</f>
        <v/>
      </c>
      <c r="P23" s="40"/>
      <c r="Q23" s="41"/>
      <c r="R23" s="42"/>
      <c r="S23" s="755">
        <f t="shared" si="2"/>
        <v>0</v>
      </c>
      <c r="T23" s="42"/>
      <c r="U23" s="42"/>
      <c r="V23" s="42"/>
      <c r="W23" s="42"/>
      <c r="X23" s="42"/>
      <c r="Y23" s="42"/>
      <c r="Z23" s="42"/>
      <c r="AA23" s="42"/>
      <c r="AB23" s="43"/>
      <c r="AC23" s="44"/>
      <c r="AD23" s="45"/>
      <c r="AE23" s="42"/>
      <c r="AF23" s="42"/>
      <c r="AG23" s="42"/>
      <c r="AH23" s="42"/>
      <c r="AI23" s="43"/>
      <c r="AJ23" s="43"/>
      <c r="AK23" s="42"/>
      <c r="AL23" s="41"/>
      <c r="AM23" s="45"/>
      <c r="AN23" s="42"/>
      <c r="AO23" s="46"/>
      <c r="AP23" s="46"/>
      <c r="AQ23" s="46"/>
      <c r="AR23" s="46"/>
      <c r="AS23" s="46"/>
      <c r="AT23" s="46"/>
      <c r="AU23" s="47"/>
      <c r="AV23" s="45"/>
      <c r="AW23" s="42"/>
      <c r="AX23" s="42"/>
      <c r="AY23" s="42"/>
      <c r="AZ23" s="42"/>
      <c r="BA23" s="42"/>
      <c r="BB23" s="42"/>
      <c r="BC23" s="43"/>
      <c r="BD23" s="44"/>
      <c r="BE23" s="45"/>
      <c r="BF23" s="42"/>
      <c r="BG23" s="42"/>
      <c r="BH23" s="44"/>
      <c r="BI23" s="41"/>
      <c r="BJ23" s="42"/>
      <c r="BK23" s="44"/>
      <c r="BL23" s="45"/>
      <c r="BM23" s="42"/>
      <c r="BN23" s="44"/>
      <c r="BO23" s="893"/>
      <c r="BP23" s="37">
        <f t="shared" si="3"/>
        <v>0</v>
      </c>
    </row>
    <row r="24" spans="1:74" ht="25.5" customHeight="1" x14ac:dyDescent="0.15">
      <c r="A24" s="17">
        <f t="shared" si="4"/>
        <v>9</v>
      </c>
      <c r="B24" s="1042"/>
      <c r="C24" s="1043"/>
      <c r="D24" s="880"/>
      <c r="E24" s="953"/>
      <c r="F24" s="883"/>
      <c r="G24" s="882"/>
      <c r="H24" s="1048"/>
      <c r="I24" s="684" t="str">
        <f t="shared" si="0"/>
        <v/>
      </c>
      <c r="J24" s="754">
        <f t="shared" si="1"/>
        <v>0</v>
      </c>
      <c r="K24" s="1249"/>
      <c r="L24" s="1250"/>
      <c r="M24" s="1250"/>
      <c r="N24" s="773" t="str">
        <f t="shared" si="5"/>
        <v/>
      </c>
      <c r="O24" s="774" t="str">
        <f>IF('Set up ~ Config'!$G$32=6,IF(OR($N24=7,$N24=8,$N24=9),1,IF(OR($N24=10,$N24=11,$N24=12),2,IF(OR($N24=1,$N24=2,$N24=3),3,IF(OR($N24=4,$N24=5,$N24=6),4,"")))),IF(OR($N24=9,$N24=10,$N24=11),1,IF(OR($N24=12,$N24=1,$N24=2),2,IF(OR($N24=3,$N24=4,$N24=5),3,IF(OR($N24=6,$N24=7,$N24=8),4,"")))))</f>
        <v/>
      </c>
      <c r="P24" s="40"/>
      <c r="Q24" s="41"/>
      <c r="R24" s="42"/>
      <c r="S24" s="755">
        <f t="shared" si="2"/>
        <v>0</v>
      </c>
      <c r="T24" s="42"/>
      <c r="U24" s="42"/>
      <c r="V24" s="42"/>
      <c r="W24" s="42"/>
      <c r="X24" s="42"/>
      <c r="Y24" s="42"/>
      <c r="Z24" s="42"/>
      <c r="AA24" s="42"/>
      <c r="AB24" s="43"/>
      <c r="AC24" s="44"/>
      <c r="AD24" s="45"/>
      <c r="AE24" s="42"/>
      <c r="AF24" s="42"/>
      <c r="AG24" s="42"/>
      <c r="AH24" s="42"/>
      <c r="AI24" s="43"/>
      <c r="AJ24" s="43"/>
      <c r="AK24" s="42"/>
      <c r="AL24" s="41"/>
      <c r="AM24" s="45"/>
      <c r="AN24" s="51"/>
      <c r="AO24" s="51"/>
      <c r="AP24" s="51"/>
      <c r="AQ24" s="46"/>
      <c r="AR24" s="46"/>
      <c r="AS24" s="46"/>
      <c r="AT24" s="46"/>
      <c r="AU24" s="47"/>
      <c r="AV24" s="45"/>
      <c r="AW24" s="42"/>
      <c r="AX24" s="42"/>
      <c r="AY24" s="42"/>
      <c r="AZ24" s="42"/>
      <c r="BA24" s="42"/>
      <c r="BB24" s="42"/>
      <c r="BC24" s="43"/>
      <c r="BD24" s="44"/>
      <c r="BE24" s="45"/>
      <c r="BF24" s="42"/>
      <c r="BG24" s="42"/>
      <c r="BH24" s="44"/>
      <c r="BI24" s="41"/>
      <c r="BJ24" s="42"/>
      <c r="BK24" s="44"/>
      <c r="BL24" s="45"/>
      <c r="BM24" s="42"/>
      <c r="BN24" s="44"/>
      <c r="BO24" s="893"/>
      <c r="BP24" s="37">
        <f t="shared" si="3"/>
        <v>0</v>
      </c>
    </row>
    <row r="25" spans="1:74" ht="25.5" customHeight="1" x14ac:dyDescent="0.15">
      <c r="A25" s="17">
        <f t="shared" si="4"/>
        <v>10</v>
      </c>
      <c r="B25" s="1042"/>
      <c r="C25" s="1043"/>
      <c r="D25" s="880"/>
      <c r="E25" s="953"/>
      <c r="F25" s="883"/>
      <c r="G25" s="882"/>
      <c r="H25" s="1048"/>
      <c r="I25" s="684" t="str">
        <f t="shared" si="0"/>
        <v/>
      </c>
      <c r="J25" s="754">
        <f t="shared" si="1"/>
        <v>0</v>
      </c>
      <c r="K25" s="1249"/>
      <c r="L25" s="1250"/>
      <c r="M25" s="1250"/>
      <c r="N25" s="773" t="str">
        <f t="shared" si="5"/>
        <v/>
      </c>
      <c r="O25" s="774" t="str">
        <f>IF('Set up ~ Config'!$G$32=6,IF(OR($N25=7,$N25=8,$N25=9),1,IF(OR($N25=10,$N25=11,$N25=12),2,IF(OR($N25=1,$N25=2,$N25=3),3,IF(OR($N25=4,$N25=5,$N25=6),4,"")))),IF(OR($N25=9,$N25=10,$N25=11),1,IF(OR($N25=12,$N25=1,$N25=2),2,IF(OR($N25=3,$N25=4,$N25=5),3,IF(OR($N25=6,$N25=7,$N25=8),4,"")))))</f>
        <v/>
      </c>
      <c r="P25" s="40"/>
      <c r="Q25" s="41"/>
      <c r="R25" s="42"/>
      <c r="S25" s="755">
        <f t="shared" si="2"/>
        <v>0</v>
      </c>
      <c r="T25" s="42"/>
      <c r="U25" s="42"/>
      <c r="V25" s="42"/>
      <c r="W25" s="42"/>
      <c r="X25" s="42"/>
      <c r="Y25" s="42"/>
      <c r="Z25" s="42"/>
      <c r="AA25" s="42"/>
      <c r="AB25" s="43"/>
      <c r="AC25" s="44"/>
      <c r="AD25" s="45"/>
      <c r="AE25" s="42"/>
      <c r="AF25" s="42"/>
      <c r="AG25" s="42"/>
      <c r="AH25" s="42"/>
      <c r="AI25" s="43"/>
      <c r="AJ25" s="43"/>
      <c r="AK25" s="42"/>
      <c r="AL25" s="41"/>
      <c r="AM25" s="45"/>
      <c r="AN25" s="51"/>
      <c r="AO25" s="51"/>
      <c r="AP25" s="51"/>
      <c r="AQ25" s="46"/>
      <c r="AR25" s="46"/>
      <c r="AS25" s="46"/>
      <c r="AT25" s="46"/>
      <c r="AU25" s="47"/>
      <c r="AV25" s="45"/>
      <c r="AW25" s="42"/>
      <c r="AX25" s="42"/>
      <c r="AY25" s="42"/>
      <c r="AZ25" s="42"/>
      <c r="BA25" s="42"/>
      <c r="BB25" s="42"/>
      <c r="BC25" s="43"/>
      <c r="BD25" s="44"/>
      <c r="BE25" s="45"/>
      <c r="BF25" s="42"/>
      <c r="BG25" s="42"/>
      <c r="BH25" s="44"/>
      <c r="BI25" s="41"/>
      <c r="BJ25" s="42"/>
      <c r="BK25" s="44"/>
      <c r="BL25" s="45"/>
      <c r="BM25" s="42"/>
      <c r="BN25" s="44"/>
      <c r="BO25" s="893"/>
      <c r="BP25" s="37">
        <f t="shared" si="3"/>
        <v>0</v>
      </c>
    </row>
    <row r="26" spans="1:74" ht="25.5" customHeight="1" x14ac:dyDescent="0.15">
      <c r="A26" s="17">
        <f t="shared" si="4"/>
        <v>11</v>
      </c>
      <c r="B26" s="1042"/>
      <c r="C26" s="1043"/>
      <c r="D26" s="880"/>
      <c r="E26" s="953"/>
      <c r="F26" s="883"/>
      <c r="G26" s="882"/>
      <c r="H26" s="1048"/>
      <c r="I26" s="684" t="str">
        <f t="shared" si="0"/>
        <v/>
      </c>
      <c r="J26" s="754">
        <f t="shared" si="1"/>
        <v>0</v>
      </c>
      <c r="K26" s="1249"/>
      <c r="L26" s="1251"/>
      <c r="M26" s="1250"/>
      <c r="N26" s="773" t="str">
        <f t="shared" si="5"/>
        <v/>
      </c>
      <c r="O26" s="774" t="str">
        <f>IF('Set up ~ Config'!$G$32=6,IF(OR($N26=7,$N26=8,$N26=9),1,IF(OR($N26=10,$N26=11,$N26=12),2,IF(OR($N26=1,$N26=2,$N26=3),3,IF(OR($N26=4,$N26=5,$N26=6),4,"")))),IF(OR($N26=9,$N26=10,$N26=11),1,IF(OR($N26=12,$N26=1,$N26=2),2,IF(OR($N26=3,$N26=4,$N26=5),3,IF(OR($N26=6,$N26=7,$N26=8),4,"")))))</f>
        <v/>
      </c>
      <c r="P26" s="40"/>
      <c r="Q26" s="41"/>
      <c r="R26" s="42"/>
      <c r="S26" s="755">
        <f t="shared" si="2"/>
        <v>0</v>
      </c>
      <c r="T26" s="42"/>
      <c r="U26" s="42"/>
      <c r="V26" s="42"/>
      <c r="W26" s="42"/>
      <c r="X26" s="42"/>
      <c r="Y26" s="42"/>
      <c r="Z26" s="42"/>
      <c r="AA26" s="42"/>
      <c r="AB26" s="43"/>
      <c r="AC26" s="44"/>
      <c r="AD26" s="45"/>
      <c r="AE26" s="42"/>
      <c r="AF26" s="42"/>
      <c r="AG26" s="42"/>
      <c r="AH26" s="42"/>
      <c r="AI26" s="43"/>
      <c r="AJ26" s="43"/>
      <c r="AK26" s="42"/>
      <c r="AL26" s="41"/>
      <c r="AM26" s="45"/>
      <c r="AN26" s="51"/>
      <c r="AO26" s="51"/>
      <c r="AP26" s="51"/>
      <c r="AQ26" s="46"/>
      <c r="AR26" s="46"/>
      <c r="AS26" s="46"/>
      <c r="AT26" s="46"/>
      <c r="AU26" s="47"/>
      <c r="AV26" s="45"/>
      <c r="AW26" s="42"/>
      <c r="AX26" s="42"/>
      <c r="AY26" s="42"/>
      <c r="AZ26" s="42"/>
      <c r="BA26" s="42"/>
      <c r="BB26" s="42"/>
      <c r="BC26" s="43"/>
      <c r="BD26" s="44"/>
      <c r="BE26" s="48"/>
      <c r="BF26" s="42"/>
      <c r="BG26" s="42"/>
      <c r="BH26" s="44"/>
      <c r="BI26" s="41"/>
      <c r="BJ26" s="42"/>
      <c r="BK26" s="44"/>
      <c r="BL26" s="45"/>
      <c r="BM26" s="42"/>
      <c r="BN26" s="44"/>
      <c r="BO26" s="893"/>
      <c r="BP26" s="37">
        <f t="shared" si="3"/>
        <v>0</v>
      </c>
    </row>
    <row r="27" spans="1:74" ht="25.5" customHeight="1" thickTop="1" thickBot="1" x14ac:dyDescent="0.2">
      <c r="A27" s="17">
        <f t="shared" si="4"/>
        <v>12</v>
      </c>
      <c r="B27" s="1042"/>
      <c r="C27" s="1043"/>
      <c r="D27" s="880"/>
      <c r="E27" s="953"/>
      <c r="F27" s="883"/>
      <c r="G27" s="882"/>
      <c r="H27" s="1048"/>
      <c r="I27" s="684" t="str">
        <f t="shared" si="0"/>
        <v/>
      </c>
      <c r="J27" s="754">
        <f t="shared" si="1"/>
        <v>0</v>
      </c>
      <c r="K27" s="1249"/>
      <c r="L27" s="1251"/>
      <c r="M27" s="1250"/>
      <c r="N27" s="773" t="str">
        <f t="shared" si="5"/>
        <v/>
      </c>
      <c r="O27" s="774" t="str">
        <f>IF('Set up ~ Config'!$G$32=6,IF(OR($N27=7,$N27=8,$N27=9),1,IF(OR($N27=10,$N27=11,$N27=12),2,IF(OR($N27=1,$N27=2,$N27=3),3,IF(OR($N27=4,$N27=5,$N27=6),4,"")))),IF(OR($N27=9,$N27=10,$N27=11),1,IF(OR($N27=12,$N27=1,$N27=2),2,IF(OR($N27=3,$N27=4,$N27=5),3,IF(OR($N27=6,$N27=7,$N27=8),4,"")))))</f>
        <v/>
      </c>
      <c r="P27" s="40"/>
      <c r="Q27" s="41"/>
      <c r="R27" s="42"/>
      <c r="S27" s="755">
        <f t="shared" si="2"/>
        <v>0</v>
      </c>
      <c r="T27" s="42"/>
      <c r="U27" s="42"/>
      <c r="V27" s="42"/>
      <c r="W27" s="42"/>
      <c r="X27" s="42"/>
      <c r="Y27" s="42"/>
      <c r="Z27" s="42"/>
      <c r="AA27" s="42"/>
      <c r="AB27" s="43"/>
      <c r="AC27" s="44"/>
      <c r="AD27" s="45"/>
      <c r="AE27" s="42"/>
      <c r="AF27" s="42"/>
      <c r="AG27" s="42"/>
      <c r="AH27" s="42"/>
      <c r="AI27" s="43"/>
      <c r="AJ27" s="43"/>
      <c r="AK27" s="42"/>
      <c r="AL27" s="41"/>
      <c r="AM27" s="45"/>
      <c r="AN27" s="42"/>
      <c r="AO27" s="46"/>
      <c r="AP27" s="46"/>
      <c r="AQ27" s="46"/>
      <c r="AR27" s="46"/>
      <c r="AS27" s="46"/>
      <c r="AT27" s="46"/>
      <c r="AU27" s="47"/>
      <c r="AV27" s="45"/>
      <c r="AW27" s="42"/>
      <c r="AX27" s="42"/>
      <c r="AY27" s="42"/>
      <c r="AZ27" s="42"/>
      <c r="BA27" s="42"/>
      <c r="BB27" s="42"/>
      <c r="BC27" s="43"/>
      <c r="BD27" s="44"/>
      <c r="BE27" s="45"/>
      <c r="BF27" s="42"/>
      <c r="BG27" s="42"/>
      <c r="BH27" s="44"/>
      <c r="BI27" s="41"/>
      <c r="BJ27" s="42"/>
      <c r="BK27" s="44"/>
      <c r="BL27" s="45"/>
      <c r="BM27" s="42"/>
      <c r="BN27" s="44"/>
      <c r="BO27" s="893"/>
      <c r="BP27" s="37">
        <f t="shared" si="3"/>
        <v>0</v>
      </c>
    </row>
    <row r="28" spans="1:74" ht="25.5" customHeight="1" thickTop="1" thickBot="1" x14ac:dyDescent="0.2">
      <c r="A28" s="17">
        <f t="shared" si="4"/>
        <v>13</v>
      </c>
      <c r="B28" s="1042"/>
      <c r="C28" s="1043"/>
      <c r="D28" s="880"/>
      <c r="E28" s="953"/>
      <c r="F28" s="883"/>
      <c r="G28" s="882"/>
      <c r="H28" s="1048"/>
      <c r="I28" s="684" t="str">
        <f t="shared" si="0"/>
        <v/>
      </c>
      <c r="J28" s="754">
        <f t="shared" si="1"/>
        <v>0</v>
      </c>
      <c r="K28" s="1249"/>
      <c r="L28" s="1250"/>
      <c r="M28" s="1250"/>
      <c r="N28" s="773" t="str">
        <f t="shared" si="5"/>
        <v/>
      </c>
      <c r="O28" s="774" t="str">
        <f>IF('Set up ~ Config'!$G$32=6,IF(OR($N28=7,$N28=8,$N28=9),1,IF(OR($N28=10,$N28=11,$N28=12),2,IF(OR($N28=1,$N28=2,$N28=3),3,IF(OR($N28=4,$N28=5,$N28=6),4,"")))),IF(OR($N28=9,$N28=10,$N28=11),1,IF(OR($N28=12,$N28=1,$N28=2),2,IF(OR($N28=3,$N28=4,$N28=5),3,IF(OR($N28=6,$N28=7,$N28=8),4,"")))))</f>
        <v/>
      </c>
      <c r="P28" s="40"/>
      <c r="Q28" s="41"/>
      <c r="R28" s="42"/>
      <c r="S28" s="755">
        <f t="shared" si="2"/>
        <v>0</v>
      </c>
      <c r="T28" s="42"/>
      <c r="U28" s="42"/>
      <c r="V28" s="42"/>
      <c r="W28" s="42"/>
      <c r="X28" s="42"/>
      <c r="Y28" s="42"/>
      <c r="Z28" s="42"/>
      <c r="AA28" s="42"/>
      <c r="AB28" s="43"/>
      <c r="AC28" s="44"/>
      <c r="AD28" s="45"/>
      <c r="AE28" s="42"/>
      <c r="AF28" s="42"/>
      <c r="AG28" s="42"/>
      <c r="AH28" s="42"/>
      <c r="AI28" s="43"/>
      <c r="AJ28" s="43"/>
      <c r="AK28" s="42"/>
      <c r="AL28" s="41"/>
      <c r="AM28" s="45"/>
      <c r="AN28" s="42"/>
      <c r="AO28" s="46"/>
      <c r="AP28" s="46"/>
      <c r="AQ28" s="46"/>
      <c r="AR28" s="46"/>
      <c r="AS28" s="46"/>
      <c r="AT28" s="46"/>
      <c r="AU28" s="47"/>
      <c r="AV28" s="45"/>
      <c r="AW28" s="42"/>
      <c r="AX28" s="42"/>
      <c r="AY28" s="42"/>
      <c r="AZ28" s="42"/>
      <c r="BA28" s="42"/>
      <c r="BB28" s="42"/>
      <c r="BC28" s="43"/>
      <c r="BD28" s="44"/>
      <c r="BE28" s="45"/>
      <c r="BF28" s="42"/>
      <c r="BG28" s="42"/>
      <c r="BH28" s="44"/>
      <c r="BI28" s="41"/>
      <c r="BJ28" s="42"/>
      <c r="BK28" s="44"/>
      <c r="BL28" s="45"/>
      <c r="BM28" s="42"/>
      <c r="BN28" s="44"/>
      <c r="BO28" s="893"/>
      <c r="BP28" s="37">
        <f t="shared" si="3"/>
        <v>0</v>
      </c>
    </row>
    <row r="29" spans="1:74" ht="25.5" customHeight="1" thickTop="1" thickBot="1" x14ac:dyDescent="0.2">
      <c r="A29" s="17">
        <f t="shared" si="4"/>
        <v>14</v>
      </c>
      <c r="B29" s="1042"/>
      <c r="C29" s="1043"/>
      <c r="D29" s="880"/>
      <c r="E29" s="953"/>
      <c r="F29" s="883"/>
      <c r="G29" s="882"/>
      <c r="H29" s="1049"/>
      <c r="I29" s="684" t="str">
        <f t="shared" si="0"/>
        <v/>
      </c>
      <c r="J29" s="754">
        <f t="shared" si="1"/>
        <v>0</v>
      </c>
      <c r="K29" s="1249"/>
      <c r="L29" s="1250"/>
      <c r="M29" s="1250"/>
      <c r="N29" s="773" t="str">
        <f t="shared" si="5"/>
        <v/>
      </c>
      <c r="O29" s="774" t="str">
        <f>IF('Set up ~ Config'!$G$32=6,IF(OR($N29=7,$N29=8,$N29=9),1,IF(OR($N29=10,$N29=11,$N29=12),2,IF(OR($N29=1,$N29=2,$N29=3),3,IF(OR($N29=4,$N29=5,$N29=6),4,"")))),IF(OR($N29=9,$N29=10,$N29=11),1,IF(OR($N29=12,$N29=1,$N29=2),2,IF(OR($N29=3,$N29=4,$N29=5),3,IF(OR($N29=6,$N29=7,$N29=8),4,"")))))</f>
        <v/>
      </c>
      <c r="P29" s="40"/>
      <c r="Q29" s="41"/>
      <c r="R29" s="42"/>
      <c r="S29" s="755">
        <f t="shared" si="2"/>
        <v>0</v>
      </c>
      <c r="T29" s="42"/>
      <c r="U29" s="42"/>
      <c r="V29" s="42"/>
      <c r="W29" s="42"/>
      <c r="X29" s="42"/>
      <c r="Y29" s="42"/>
      <c r="Z29" s="42"/>
      <c r="AA29" s="42"/>
      <c r="AB29" s="43"/>
      <c r="AC29" s="44"/>
      <c r="AD29" s="45"/>
      <c r="AE29" s="42"/>
      <c r="AF29" s="42"/>
      <c r="AG29" s="42"/>
      <c r="AH29" s="42"/>
      <c r="AI29" s="43"/>
      <c r="AJ29" s="43"/>
      <c r="AK29" s="42"/>
      <c r="AL29" s="41"/>
      <c r="AM29" s="45"/>
      <c r="AN29" s="42"/>
      <c r="AO29" s="46"/>
      <c r="AP29" s="46"/>
      <c r="AQ29" s="46"/>
      <c r="AR29" s="46"/>
      <c r="AS29" s="46"/>
      <c r="AT29" s="46"/>
      <c r="AU29" s="47"/>
      <c r="AV29" s="45"/>
      <c r="AW29" s="42"/>
      <c r="AX29" s="42"/>
      <c r="AY29" s="42"/>
      <c r="AZ29" s="42"/>
      <c r="BA29" s="42"/>
      <c r="BB29" s="42"/>
      <c r="BC29" s="43"/>
      <c r="BD29" s="44"/>
      <c r="BE29" s="45"/>
      <c r="BF29" s="42"/>
      <c r="BG29" s="42"/>
      <c r="BH29" s="44"/>
      <c r="BI29" s="41"/>
      <c r="BJ29" s="42"/>
      <c r="BK29" s="44"/>
      <c r="BL29" s="45"/>
      <c r="BM29" s="42"/>
      <c r="BN29" s="44"/>
      <c r="BO29" s="893"/>
      <c r="BP29" s="37">
        <f t="shared" si="3"/>
        <v>0</v>
      </c>
    </row>
    <row r="30" spans="1:74" ht="25.5" customHeight="1" thickTop="1" thickBot="1" x14ac:dyDescent="0.2">
      <c r="A30" s="17">
        <f t="shared" si="4"/>
        <v>15</v>
      </c>
      <c r="B30" s="1042"/>
      <c r="C30" s="1043"/>
      <c r="D30" s="880"/>
      <c r="E30" s="953"/>
      <c r="F30" s="883"/>
      <c r="G30" s="882"/>
      <c r="H30" s="1048"/>
      <c r="I30" s="684" t="str">
        <f t="shared" si="0"/>
        <v/>
      </c>
      <c r="J30" s="754">
        <f t="shared" si="1"/>
        <v>0</v>
      </c>
      <c r="K30" s="1249"/>
      <c r="L30" s="1250"/>
      <c r="M30" s="1250"/>
      <c r="N30" s="773" t="str">
        <f t="shared" si="5"/>
        <v/>
      </c>
      <c r="O30" s="774" t="str">
        <f>IF('Set up ~ Config'!$G$32=6,IF(OR($N30=7,$N30=8,$N30=9),1,IF(OR($N30=10,$N30=11,$N30=12),2,IF(OR($N30=1,$N30=2,$N30=3),3,IF(OR($N30=4,$N30=5,$N30=6),4,"")))),IF(OR($N30=9,$N30=10,$N30=11),1,IF(OR($N30=12,$N30=1,$N30=2),2,IF(OR($N30=3,$N30=4,$N30=5),3,IF(OR($N30=6,$N30=7,$N30=8),4,"")))))</f>
        <v/>
      </c>
      <c r="P30" s="40"/>
      <c r="Q30" s="41"/>
      <c r="R30" s="42"/>
      <c r="S30" s="755">
        <f t="shared" si="2"/>
        <v>0</v>
      </c>
      <c r="T30" s="42"/>
      <c r="U30" s="42"/>
      <c r="V30" s="42"/>
      <c r="W30" s="42"/>
      <c r="X30" s="42"/>
      <c r="Y30" s="42"/>
      <c r="Z30" s="42"/>
      <c r="AA30" s="42"/>
      <c r="AB30" s="43"/>
      <c r="AC30" s="44"/>
      <c r="AD30" s="45"/>
      <c r="AE30" s="42"/>
      <c r="AF30" s="42"/>
      <c r="AG30" s="42"/>
      <c r="AH30" s="42"/>
      <c r="AI30" s="43"/>
      <c r="AJ30" s="43"/>
      <c r="AK30" s="42"/>
      <c r="AL30" s="41"/>
      <c r="AM30" s="45"/>
      <c r="AN30" s="42"/>
      <c r="AO30" s="46"/>
      <c r="AP30" s="46"/>
      <c r="AQ30" s="46"/>
      <c r="AR30" s="46"/>
      <c r="AS30" s="46"/>
      <c r="AT30" s="46"/>
      <c r="AU30" s="47"/>
      <c r="AV30" s="45"/>
      <c r="AW30" s="42"/>
      <c r="AX30" s="42"/>
      <c r="AY30" s="42"/>
      <c r="AZ30" s="42"/>
      <c r="BA30" s="42"/>
      <c r="BB30" s="42"/>
      <c r="BC30" s="43"/>
      <c r="BD30" s="44"/>
      <c r="BE30" s="45"/>
      <c r="BF30" s="42"/>
      <c r="BG30" s="42"/>
      <c r="BH30" s="44"/>
      <c r="BI30" s="41"/>
      <c r="BJ30" s="42"/>
      <c r="BK30" s="44"/>
      <c r="BL30" s="45"/>
      <c r="BM30" s="42"/>
      <c r="BN30" s="44"/>
      <c r="BO30" s="893"/>
      <c r="BP30" s="37">
        <f t="shared" si="3"/>
        <v>0</v>
      </c>
    </row>
    <row r="31" spans="1:74" ht="25.5" customHeight="1" x14ac:dyDescent="0.15">
      <c r="A31" s="17">
        <f t="shared" si="4"/>
        <v>16</v>
      </c>
      <c r="B31" s="1042"/>
      <c r="C31" s="1043"/>
      <c r="D31" s="880"/>
      <c r="E31" s="953"/>
      <c r="F31" s="884"/>
      <c r="G31" s="882"/>
      <c r="H31" s="1048"/>
      <c r="I31" s="684" t="str">
        <f t="shared" si="0"/>
        <v/>
      </c>
      <c r="J31" s="754">
        <f t="shared" si="1"/>
        <v>0</v>
      </c>
      <c r="K31" s="1249"/>
      <c r="L31" s="1250"/>
      <c r="M31" s="1250"/>
      <c r="N31" s="773" t="str">
        <f t="shared" si="5"/>
        <v/>
      </c>
      <c r="O31" s="774" t="str">
        <f>IF('Set up ~ Config'!$G$32=6,IF(OR($N31=7,$N31=8,$N31=9),1,IF(OR($N31=10,$N31=11,$N31=12),2,IF(OR($N31=1,$N31=2,$N31=3),3,IF(OR($N31=4,$N31=5,$N31=6),4,"")))),IF(OR($N31=9,$N31=10,$N31=11),1,IF(OR($N31=12,$N31=1,$N31=2),2,IF(OR($N31=3,$N31=4,$N31=5),3,IF(OR($N31=6,$N31=7,$N31=8),4,"")))))</f>
        <v/>
      </c>
      <c r="P31" s="40"/>
      <c r="Q31" s="41"/>
      <c r="R31" s="42"/>
      <c r="S31" s="755">
        <f t="shared" si="2"/>
        <v>0</v>
      </c>
      <c r="T31" s="42"/>
      <c r="U31" s="42"/>
      <c r="V31" s="42"/>
      <c r="W31" s="42"/>
      <c r="X31" s="42"/>
      <c r="Y31" s="42"/>
      <c r="Z31" s="42"/>
      <c r="AA31" s="42"/>
      <c r="AB31" s="43"/>
      <c r="AC31" s="44"/>
      <c r="AD31" s="45"/>
      <c r="AE31" s="42"/>
      <c r="AF31" s="42"/>
      <c r="AG31" s="42"/>
      <c r="AH31" s="42"/>
      <c r="AI31" s="43"/>
      <c r="AJ31" s="43"/>
      <c r="AK31" s="42"/>
      <c r="AL31" s="41"/>
      <c r="AM31" s="45"/>
      <c r="AN31" s="42"/>
      <c r="AO31" s="46"/>
      <c r="AP31" s="46"/>
      <c r="AQ31" s="46"/>
      <c r="AR31" s="46"/>
      <c r="AS31" s="46"/>
      <c r="AT31" s="46"/>
      <c r="AU31" s="47"/>
      <c r="AV31" s="45"/>
      <c r="AW31" s="42"/>
      <c r="AX31" s="42"/>
      <c r="AY31" s="42"/>
      <c r="AZ31" s="42"/>
      <c r="BA31" s="42"/>
      <c r="BB31" s="42"/>
      <c r="BC31" s="43"/>
      <c r="BD31" s="44"/>
      <c r="BE31" s="45"/>
      <c r="BF31" s="42"/>
      <c r="BG31" s="42"/>
      <c r="BH31" s="44"/>
      <c r="BI31" s="41"/>
      <c r="BJ31" s="42"/>
      <c r="BK31" s="44"/>
      <c r="BL31" s="45"/>
      <c r="BM31" s="42"/>
      <c r="BN31" s="44"/>
      <c r="BO31" s="893"/>
      <c r="BP31" s="37">
        <f t="shared" si="3"/>
        <v>0</v>
      </c>
    </row>
    <row r="32" spans="1:74" ht="25.5" customHeight="1" x14ac:dyDescent="0.15">
      <c r="A32" s="17">
        <f t="shared" si="4"/>
        <v>17</v>
      </c>
      <c r="B32" s="1042"/>
      <c r="C32" s="1043"/>
      <c r="D32" s="880"/>
      <c r="E32" s="953"/>
      <c r="F32" s="883"/>
      <c r="G32" s="882"/>
      <c r="H32" s="1048"/>
      <c r="I32" s="684" t="str">
        <f t="shared" si="0"/>
        <v/>
      </c>
      <c r="J32" s="754">
        <f t="shared" si="1"/>
        <v>0</v>
      </c>
      <c r="K32" s="1249"/>
      <c r="L32" s="1250"/>
      <c r="M32" s="1250"/>
      <c r="N32" s="773" t="str">
        <f t="shared" si="5"/>
        <v/>
      </c>
      <c r="O32" s="774" t="str">
        <f>IF('Set up ~ Config'!$G$32=6,IF(OR($N32=7,$N32=8,$N32=9),1,IF(OR($N32=10,$N32=11,$N32=12),2,IF(OR($N32=1,$N32=2,$N32=3),3,IF(OR($N32=4,$N32=5,$N32=6),4,"")))),IF(OR($N32=9,$N32=10,$N32=11),1,IF(OR($N32=12,$N32=1,$N32=2),2,IF(OR($N32=3,$N32=4,$N32=5),3,IF(OR($N32=6,$N32=7,$N32=8),4,"")))))</f>
        <v/>
      </c>
      <c r="P32" s="40"/>
      <c r="Q32" s="41"/>
      <c r="R32" s="42"/>
      <c r="S32" s="755">
        <f t="shared" si="2"/>
        <v>0</v>
      </c>
      <c r="T32" s="42"/>
      <c r="U32" s="42"/>
      <c r="V32" s="42"/>
      <c r="W32" s="42"/>
      <c r="X32" s="42"/>
      <c r="Y32" s="42"/>
      <c r="Z32" s="42"/>
      <c r="AA32" s="42"/>
      <c r="AB32" s="43"/>
      <c r="AC32" s="44"/>
      <c r="AD32" s="45"/>
      <c r="AE32" s="42"/>
      <c r="AF32" s="42"/>
      <c r="AG32" s="42"/>
      <c r="AH32" s="42"/>
      <c r="AI32" s="43"/>
      <c r="AJ32" s="43"/>
      <c r="AK32" s="42"/>
      <c r="AL32" s="41"/>
      <c r="AM32" s="45"/>
      <c r="AN32" s="42"/>
      <c r="AO32" s="46"/>
      <c r="AP32" s="46"/>
      <c r="AQ32" s="46"/>
      <c r="AR32" s="46"/>
      <c r="AS32" s="46"/>
      <c r="AT32" s="46"/>
      <c r="AU32" s="47"/>
      <c r="AV32" s="45"/>
      <c r="AW32" s="42"/>
      <c r="AX32" s="42"/>
      <c r="AY32" s="42"/>
      <c r="AZ32" s="42"/>
      <c r="BA32" s="42"/>
      <c r="BB32" s="42"/>
      <c r="BC32" s="43"/>
      <c r="BD32" s="44"/>
      <c r="BE32" s="45"/>
      <c r="BF32" s="42"/>
      <c r="BG32" s="42"/>
      <c r="BH32" s="44"/>
      <c r="BI32" s="41"/>
      <c r="BJ32" s="42"/>
      <c r="BK32" s="44"/>
      <c r="BL32" s="45"/>
      <c r="BM32" s="42"/>
      <c r="BN32" s="44"/>
      <c r="BO32" s="893"/>
      <c r="BP32" s="37">
        <f t="shared" si="3"/>
        <v>0</v>
      </c>
    </row>
    <row r="33" spans="1:68" ht="25.5" customHeight="1" x14ac:dyDescent="0.15">
      <c r="A33" s="17">
        <f t="shared" si="4"/>
        <v>18</v>
      </c>
      <c r="B33" s="1042"/>
      <c r="C33" s="1043"/>
      <c r="D33" s="880"/>
      <c r="E33" s="953"/>
      <c r="F33" s="883"/>
      <c r="G33" s="882"/>
      <c r="H33" s="1048"/>
      <c r="I33" s="684" t="str">
        <f t="shared" si="0"/>
        <v/>
      </c>
      <c r="J33" s="754">
        <f t="shared" si="1"/>
        <v>0</v>
      </c>
      <c r="K33" s="1249"/>
      <c r="L33" s="1250"/>
      <c r="M33" s="1250"/>
      <c r="N33" s="773" t="str">
        <f t="shared" si="5"/>
        <v/>
      </c>
      <c r="O33" s="774" t="str">
        <f>IF('Set up ~ Config'!$G$32=6,IF(OR($N33=7,$N33=8,$N33=9),1,IF(OR($N33=10,$N33=11,$N33=12),2,IF(OR($N33=1,$N33=2,$N33=3),3,IF(OR($N33=4,$N33=5,$N33=6),4,"")))),IF(OR($N33=9,$N33=10,$N33=11),1,IF(OR($N33=12,$N33=1,$N33=2),2,IF(OR($N33=3,$N33=4,$N33=5),3,IF(OR($N33=6,$N33=7,$N33=8),4,"")))))</f>
        <v/>
      </c>
      <c r="P33" s="40"/>
      <c r="Q33" s="41"/>
      <c r="R33" s="42"/>
      <c r="S33" s="755">
        <f t="shared" si="2"/>
        <v>0</v>
      </c>
      <c r="T33" s="42"/>
      <c r="U33" s="42"/>
      <c r="V33" s="42"/>
      <c r="W33" s="42"/>
      <c r="X33" s="42"/>
      <c r="Y33" s="42"/>
      <c r="Z33" s="42"/>
      <c r="AA33" s="42"/>
      <c r="AB33" s="43"/>
      <c r="AC33" s="44"/>
      <c r="AD33" s="45"/>
      <c r="AE33" s="42"/>
      <c r="AF33" s="42"/>
      <c r="AG33" s="42"/>
      <c r="AH33" s="42"/>
      <c r="AI33" s="43"/>
      <c r="AJ33" s="43"/>
      <c r="AK33" s="42"/>
      <c r="AL33" s="41"/>
      <c r="AM33" s="45"/>
      <c r="AN33" s="42"/>
      <c r="AO33" s="46"/>
      <c r="AP33" s="46"/>
      <c r="AQ33" s="46"/>
      <c r="AR33" s="46"/>
      <c r="AS33" s="46"/>
      <c r="AT33" s="46"/>
      <c r="AU33" s="47"/>
      <c r="AV33" s="45"/>
      <c r="AW33" s="42"/>
      <c r="AX33" s="42"/>
      <c r="AY33" s="42"/>
      <c r="AZ33" s="42"/>
      <c r="BA33" s="42"/>
      <c r="BB33" s="42"/>
      <c r="BC33" s="43"/>
      <c r="BD33" s="44"/>
      <c r="BE33" s="45"/>
      <c r="BF33" s="42"/>
      <c r="BG33" s="42"/>
      <c r="BH33" s="44"/>
      <c r="BI33" s="41"/>
      <c r="BJ33" s="42"/>
      <c r="BK33" s="44"/>
      <c r="BL33" s="45"/>
      <c r="BM33" s="42"/>
      <c r="BN33" s="44"/>
      <c r="BO33" s="893"/>
      <c r="BP33" s="37">
        <f t="shared" si="3"/>
        <v>0</v>
      </c>
    </row>
    <row r="34" spans="1:68" ht="25.5" customHeight="1" x14ac:dyDescent="0.15">
      <c r="A34" s="17">
        <f t="shared" si="4"/>
        <v>19</v>
      </c>
      <c r="B34" s="1042"/>
      <c r="C34" s="1043"/>
      <c r="D34" s="880"/>
      <c r="E34" s="953"/>
      <c r="F34" s="883"/>
      <c r="G34" s="882"/>
      <c r="H34" s="1048"/>
      <c r="I34" s="684" t="str">
        <f t="shared" si="0"/>
        <v/>
      </c>
      <c r="J34" s="754">
        <f t="shared" si="1"/>
        <v>0</v>
      </c>
      <c r="K34" s="1249"/>
      <c r="L34" s="1250"/>
      <c r="M34" s="1250"/>
      <c r="N34" s="773" t="str">
        <f t="shared" si="5"/>
        <v/>
      </c>
      <c r="O34" s="774" t="str">
        <f>IF('Set up ~ Config'!$G$32=6,IF(OR($N34=7,$N34=8,$N34=9),1,IF(OR($N34=10,$N34=11,$N34=12),2,IF(OR($N34=1,$N34=2,$N34=3),3,IF(OR($N34=4,$N34=5,$N34=6),4,"")))),IF(OR($N34=9,$N34=10,$N34=11),1,IF(OR($N34=12,$N34=1,$N34=2),2,IF(OR($N34=3,$N34=4,$N34=5),3,IF(OR($N34=6,$N34=7,$N34=8),4,"")))))</f>
        <v/>
      </c>
      <c r="P34" s="40"/>
      <c r="Q34" s="41"/>
      <c r="R34" s="42"/>
      <c r="S34" s="755">
        <f t="shared" si="2"/>
        <v>0</v>
      </c>
      <c r="T34" s="42"/>
      <c r="U34" s="42"/>
      <c r="V34" s="42"/>
      <c r="W34" s="42"/>
      <c r="X34" s="42"/>
      <c r="Y34" s="42"/>
      <c r="Z34" s="42"/>
      <c r="AA34" s="42"/>
      <c r="AB34" s="43"/>
      <c r="AC34" s="44"/>
      <c r="AD34" s="45"/>
      <c r="AE34" s="42"/>
      <c r="AF34" s="42"/>
      <c r="AG34" s="42"/>
      <c r="AH34" s="42"/>
      <c r="AI34" s="43"/>
      <c r="AJ34" s="43"/>
      <c r="AK34" s="42"/>
      <c r="AL34" s="41"/>
      <c r="AM34" s="45"/>
      <c r="AN34" s="42"/>
      <c r="AO34" s="46"/>
      <c r="AP34" s="46"/>
      <c r="AQ34" s="46"/>
      <c r="AR34" s="46"/>
      <c r="AS34" s="46"/>
      <c r="AT34" s="46"/>
      <c r="AU34" s="47"/>
      <c r="AV34" s="45"/>
      <c r="AW34" s="42"/>
      <c r="AX34" s="42"/>
      <c r="AY34" s="42"/>
      <c r="AZ34" s="42"/>
      <c r="BA34" s="42"/>
      <c r="BB34" s="42"/>
      <c r="BC34" s="43"/>
      <c r="BD34" s="44"/>
      <c r="BE34" s="45"/>
      <c r="BF34" s="42"/>
      <c r="BG34" s="42"/>
      <c r="BH34" s="44"/>
      <c r="BI34" s="41"/>
      <c r="BJ34" s="42"/>
      <c r="BK34" s="44"/>
      <c r="BL34" s="45"/>
      <c r="BM34" s="42"/>
      <c r="BN34" s="44"/>
      <c r="BO34" s="893"/>
      <c r="BP34" s="37">
        <f t="shared" si="3"/>
        <v>0</v>
      </c>
    </row>
    <row r="35" spans="1:68" ht="25.5" customHeight="1" x14ac:dyDescent="0.15">
      <c r="A35" s="17">
        <f t="shared" si="4"/>
        <v>20</v>
      </c>
      <c r="B35" s="1042"/>
      <c r="C35" s="1043"/>
      <c r="D35" s="880"/>
      <c r="E35" s="953"/>
      <c r="F35" s="883"/>
      <c r="G35" s="882"/>
      <c r="H35" s="1048"/>
      <c r="I35" s="684" t="str">
        <f t="shared" si="0"/>
        <v/>
      </c>
      <c r="J35" s="754">
        <f t="shared" si="1"/>
        <v>0</v>
      </c>
      <c r="K35" s="1249"/>
      <c r="L35" s="1250"/>
      <c r="M35" s="1250"/>
      <c r="N35" s="773" t="str">
        <f t="shared" si="5"/>
        <v/>
      </c>
      <c r="O35" s="774" t="str">
        <f>IF('Set up ~ Config'!$G$32=6,IF(OR($N35=7,$N35=8,$N35=9),1,IF(OR($N35=10,$N35=11,$N35=12),2,IF(OR($N35=1,$N35=2,$N35=3),3,IF(OR($N35=4,$N35=5,$N35=6),4,"")))),IF(OR($N35=9,$N35=10,$N35=11),1,IF(OR($N35=12,$N35=1,$N35=2),2,IF(OR($N35=3,$N35=4,$N35=5),3,IF(OR($N35=6,$N35=7,$N35=8),4,"")))))</f>
        <v/>
      </c>
      <c r="P35" s="40"/>
      <c r="Q35" s="41"/>
      <c r="R35" s="42"/>
      <c r="S35" s="755">
        <f t="shared" si="2"/>
        <v>0</v>
      </c>
      <c r="T35" s="42"/>
      <c r="U35" s="42"/>
      <c r="V35" s="42"/>
      <c r="W35" s="42"/>
      <c r="X35" s="42"/>
      <c r="Y35" s="42"/>
      <c r="Z35" s="42"/>
      <c r="AA35" s="42"/>
      <c r="AB35" s="43"/>
      <c r="AC35" s="44"/>
      <c r="AD35" s="45"/>
      <c r="AE35" s="42"/>
      <c r="AF35" s="42"/>
      <c r="AG35" s="42"/>
      <c r="AH35" s="42"/>
      <c r="AI35" s="43"/>
      <c r="AJ35" s="43"/>
      <c r="AK35" s="42"/>
      <c r="AL35" s="41"/>
      <c r="AM35" s="45"/>
      <c r="AN35" s="42"/>
      <c r="AO35" s="46"/>
      <c r="AP35" s="46"/>
      <c r="AQ35" s="46"/>
      <c r="AR35" s="46"/>
      <c r="AS35" s="46"/>
      <c r="AT35" s="46"/>
      <c r="AU35" s="47"/>
      <c r="AV35" s="45"/>
      <c r="AW35" s="42"/>
      <c r="AX35" s="42"/>
      <c r="AY35" s="42"/>
      <c r="AZ35" s="42"/>
      <c r="BA35" s="42"/>
      <c r="BB35" s="42"/>
      <c r="BC35" s="43"/>
      <c r="BD35" s="44"/>
      <c r="BE35" s="45"/>
      <c r="BF35" s="42"/>
      <c r="BG35" s="42"/>
      <c r="BH35" s="44"/>
      <c r="BI35" s="41"/>
      <c r="BJ35" s="42"/>
      <c r="BK35" s="44"/>
      <c r="BL35" s="45"/>
      <c r="BM35" s="42"/>
      <c r="BN35" s="44"/>
      <c r="BO35" s="893"/>
      <c r="BP35" s="37">
        <f t="shared" si="3"/>
        <v>0</v>
      </c>
    </row>
    <row r="36" spans="1:68" ht="25.5" customHeight="1" x14ac:dyDescent="0.15">
      <c r="A36" s="17">
        <f t="shared" si="4"/>
        <v>21</v>
      </c>
      <c r="B36" s="1042"/>
      <c r="C36" s="1043"/>
      <c r="D36" s="880"/>
      <c r="E36" s="953"/>
      <c r="F36" s="883"/>
      <c r="G36" s="882"/>
      <c r="H36" s="1048"/>
      <c r="I36" s="684" t="str">
        <f t="shared" si="0"/>
        <v/>
      </c>
      <c r="J36" s="754">
        <f t="shared" si="1"/>
        <v>0</v>
      </c>
      <c r="K36" s="1249"/>
      <c r="L36" s="1250"/>
      <c r="M36" s="1250"/>
      <c r="N36" s="773" t="str">
        <f t="shared" si="5"/>
        <v/>
      </c>
      <c r="O36" s="774" t="str">
        <f>IF('Set up ~ Config'!$G$32=6,IF(OR($N36=7,$N36=8,$N36=9),1,IF(OR($N36=10,$N36=11,$N36=12),2,IF(OR($N36=1,$N36=2,$N36=3),3,IF(OR($N36=4,$N36=5,$N36=6),4,"")))),IF(OR($N36=9,$N36=10,$N36=11),1,IF(OR($N36=12,$N36=1,$N36=2),2,IF(OR($N36=3,$N36=4,$N36=5),3,IF(OR($N36=6,$N36=7,$N36=8),4,"")))))</f>
        <v/>
      </c>
      <c r="P36" s="40"/>
      <c r="Q36" s="41"/>
      <c r="R36" s="42"/>
      <c r="S36" s="755">
        <f t="shared" si="2"/>
        <v>0</v>
      </c>
      <c r="T36" s="42"/>
      <c r="U36" s="42"/>
      <c r="V36" s="42"/>
      <c r="W36" s="42"/>
      <c r="X36" s="42"/>
      <c r="Y36" s="42"/>
      <c r="Z36" s="42"/>
      <c r="AA36" s="42"/>
      <c r="AB36" s="43"/>
      <c r="AC36" s="44"/>
      <c r="AD36" s="45"/>
      <c r="AE36" s="42"/>
      <c r="AF36" s="42"/>
      <c r="AG36" s="42"/>
      <c r="AH36" s="42"/>
      <c r="AI36" s="43"/>
      <c r="AJ36" s="43"/>
      <c r="AK36" s="42"/>
      <c r="AL36" s="41"/>
      <c r="AM36" s="45"/>
      <c r="AN36" s="42"/>
      <c r="AO36" s="46"/>
      <c r="AP36" s="46"/>
      <c r="AQ36" s="46"/>
      <c r="AR36" s="46"/>
      <c r="AS36" s="46"/>
      <c r="AT36" s="46"/>
      <c r="AU36" s="47"/>
      <c r="AV36" s="45"/>
      <c r="AW36" s="42"/>
      <c r="AX36" s="42"/>
      <c r="AY36" s="42"/>
      <c r="AZ36" s="42"/>
      <c r="BA36" s="42"/>
      <c r="BB36" s="42"/>
      <c r="BC36" s="43"/>
      <c r="BD36" s="44"/>
      <c r="BE36" s="45"/>
      <c r="BF36" s="42"/>
      <c r="BG36" s="42"/>
      <c r="BH36" s="44"/>
      <c r="BI36" s="41"/>
      <c r="BJ36" s="42"/>
      <c r="BK36" s="44"/>
      <c r="BL36" s="45"/>
      <c r="BM36" s="42"/>
      <c r="BN36" s="44"/>
      <c r="BO36" s="893"/>
      <c r="BP36" s="37">
        <f t="shared" si="3"/>
        <v>0</v>
      </c>
    </row>
    <row r="37" spans="1:68" ht="25.5" customHeight="1" x14ac:dyDescent="0.15">
      <c r="A37" s="17">
        <f t="shared" si="4"/>
        <v>22</v>
      </c>
      <c r="B37" s="1042"/>
      <c r="C37" s="1043"/>
      <c r="D37" s="880"/>
      <c r="E37" s="953"/>
      <c r="F37" s="883"/>
      <c r="G37" s="882"/>
      <c r="H37" s="1048"/>
      <c r="I37" s="684" t="str">
        <f t="shared" si="0"/>
        <v/>
      </c>
      <c r="J37" s="754">
        <f t="shared" si="1"/>
        <v>0</v>
      </c>
      <c r="K37" s="1249"/>
      <c r="L37" s="1250"/>
      <c r="M37" s="1250"/>
      <c r="N37" s="773" t="str">
        <f t="shared" si="5"/>
        <v/>
      </c>
      <c r="O37" s="774" t="str">
        <f>IF('Set up ~ Config'!$G$32=6,IF(OR($N37=7,$N37=8,$N37=9),1,IF(OR($N37=10,$N37=11,$N37=12),2,IF(OR($N37=1,$N37=2,$N37=3),3,IF(OR($N37=4,$N37=5,$N37=6),4,"")))),IF(OR($N37=9,$N37=10,$N37=11),1,IF(OR($N37=12,$N37=1,$N37=2),2,IF(OR($N37=3,$N37=4,$N37=5),3,IF(OR($N37=6,$N37=7,$N37=8),4,"")))))</f>
        <v/>
      </c>
      <c r="P37" s="40"/>
      <c r="Q37" s="41"/>
      <c r="R37" s="42"/>
      <c r="S37" s="755">
        <f t="shared" si="2"/>
        <v>0</v>
      </c>
      <c r="T37" s="42"/>
      <c r="U37" s="42"/>
      <c r="V37" s="42"/>
      <c r="W37" s="42"/>
      <c r="X37" s="42"/>
      <c r="Y37" s="42"/>
      <c r="Z37" s="42"/>
      <c r="AA37" s="42"/>
      <c r="AB37" s="43"/>
      <c r="AC37" s="44"/>
      <c r="AD37" s="45"/>
      <c r="AE37" s="42"/>
      <c r="AF37" s="42"/>
      <c r="AG37" s="42"/>
      <c r="AH37" s="42"/>
      <c r="AI37" s="43"/>
      <c r="AJ37" s="43"/>
      <c r="AK37" s="42"/>
      <c r="AL37" s="41"/>
      <c r="AM37" s="45"/>
      <c r="AN37" s="42"/>
      <c r="AO37" s="46"/>
      <c r="AP37" s="46"/>
      <c r="AQ37" s="46"/>
      <c r="AR37" s="46"/>
      <c r="AS37" s="46"/>
      <c r="AT37" s="46"/>
      <c r="AU37" s="47"/>
      <c r="AV37" s="45"/>
      <c r="AW37" s="42"/>
      <c r="AX37" s="42"/>
      <c r="AY37" s="42"/>
      <c r="AZ37" s="42"/>
      <c r="BA37" s="42"/>
      <c r="BB37" s="42"/>
      <c r="BC37" s="43"/>
      <c r="BD37" s="44"/>
      <c r="BE37" s="45"/>
      <c r="BF37" s="42"/>
      <c r="BG37" s="42"/>
      <c r="BH37" s="44"/>
      <c r="BI37" s="41"/>
      <c r="BJ37" s="42"/>
      <c r="BK37" s="44"/>
      <c r="BL37" s="45"/>
      <c r="BM37" s="42"/>
      <c r="BN37" s="44"/>
      <c r="BO37" s="893"/>
      <c r="BP37" s="37">
        <f t="shared" si="3"/>
        <v>0</v>
      </c>
    </row>
    <row r="38" spans="1:68" ht="25.5" customHeight="1" x14ac:dyDescent="0.15">
      <c r="A38" s="17">
        <f t="shared" si="4"/>
        <v>23</v>
      </c>
      <c r="B38" s="1042"/>
      <c r="C38" s="1043"/>
      <c r="D38" s="880"/>
      <c r="E38" s="953"/>
      <c r="F38" s="883"/>
      <c r="G38" s="882"/>
      <c r="H38" s="1048"/>
      <c r="I38" s="684" t="str">
        <f t="shared" si="0"/>
        <v/>
      </c>
      <c r="J38" s="754">
        <f t="shared" si="1"/>
        <v>0</v>
      </c>
      <c r="K38" s="1249"/>
      <c r="L38" s="1250"/>
      <c r="M38" s="1250"/>
      <c r="N38" s="773" t="str">
        <f t="shared" si="5"/>
        <v/>
      </c>
      <c r="O38" s="774" t="str">
        <f>IF('Set up ~ Config'!$G$32=6,IF(OR($N38=7,$N38=8,$N38=9),1,IF(OR($N38=10,$N38=11,$N38=12),2,IF(OR($N38=1,$N38=2,$N38=3),3,IF(OR($N38=4,$N38=5,$N38=6),4,"")))),IF(OR($N38=9,$N38=10,$N38=11),1,IF(OR($N38=12,$N38=1,$N38=2),2,IF(OR($N38=3,$N38=4,$N38=5),3,IF(OR($N38=6,$N38=7,$N38=8),4,"")))))</f>
        <v/>
      </c>
      <c r="P38" s="40"/>
      <c r="Q38" s="41"/>
      <c r="R38" s="42"/>
      <c r="S38" s="755">
        <f t="shared" si="2"/>
        <v>0</v>
      </c>
      <c r="T38" s="42"/>
      <c r="U38" s="42"/>
      <c r="V38" s="42"/>
      <c r="W38" s="42"/>
      <c r="X38" s="42"/>
      <c r="Y38" s="42"/>
      <c r="Z38" s="42"/>
      <c r="AA38" s="42"/>
      <c r="AB38" s="43"/>
      <c r="AC38" s="44"/>
      <c r="AD38" s="45"/>
      <c r="AE38" s="42"/>
      <c r="AF38" s="42"/>
      <c r="AG38" s="42"/>
      <c r="AH38" s="42"/>
      <c r="AI38" s="43"/>
      <c r="AJ38" s="43"/>
      <c r="AK38" s="42"/>
      <c r="AL38" s="41"/>
      <c r="AM38" s="45"/>
      <c r="AN38" s="42"/>
      <c r="AO38" s="46"/>
      <c r="AP38" s="46"/>
      <c r="AQ38" s="46"/>
      <c r="AR38" s="46"/>
      <c r="AS38" s="46"/>
      <c r="AT38" s="46"/>
      <c r="AU38" s="47"/>
      <c r="AV38" s="45"/>
      <c r="AW38" s="42"/>
      <c r="AX38" s="42"/>
      <c r="AY38" s="42"/>
      <c r="AZ38" s="42"/>
      <c r="BA38" s="42"/>
      <c r="BB38" s="42"/>
      <c r="BC38" s="43"/>
      <c r="BD38" s="44"/>
      <c r="BE38" s="45"/>
      <c r="BF38" s="42"/>
      <c r="BG38" s="42"/>
      <c r="BH38" s="44"/>
      <c r="BI38" s="41"/>
      <c r="BJ38" s="42"/>
      <c r="BK38" s="44"/>
      <c r="BL38" s="45"/>
      <c r="BM38" s="42"/>
      <c r="BN38" s="44"/>
      <c r="BO38" s="893"/>
      <c r="BP38" s="37">
        <f t="shared" si="3"/>
        <v>0</v>
      </c>
    </row>
    <row r="39" spans="1:68" ht="25.5" customHeight="1" x14ac:dyDescent="0.15">
      <c r="A39" s="17">
        <f t="shared" si="4"/>
        <v>24</v>
      </c>
      <c r="B39" s="1042"/>
      <c r="C39" s="1043"/>
      <c r="D39" s="880"/>
      <c r="E39" s="953"/>
      <c r="F39" s="883"/>
      <c r="G39" s="882"/>
      <c r="H39" s="1048"/>
      <c r="I39" s="684" t="str">
        <f t="shared" si="0"/>
        <v/>
      </c>
      <c r="J39" s="754">
        <f t="shared" si="1"/>
        <v>0</v>
      </c>
      <c r="K39" s="1249"/>
      <c r="L39" s="1250"/>
      <c r="M39" s="1250"/>
      <c r="N39" s="773" t="str">
        <f t="shared" si="5"/>
        <v/>
      </c>
      <c r="O39" s="774" t="str">
        <f>IF('Set up ~ Config'!$G$32=6,IF(OR($N39=7,$N39=8,$N39=9),1,IF(OR($N39=10,$N39=11,$N39=12),2,IF(OR($N39=1,$N39=2,$N39=3),3,IF(OR($N39=4,$N39=5,$N39=6),4,"")))),IF(OR($N39=9,$N39=10,$N39=11),1,IF(OR($N39=12,$N39=1,$N39=2),2,IF(OR($N39=3,$N39=4,$N39=5),3,IF(OR($N39=6,$N39=7,$N39=8),4,"")))))</f>
        <v/>
      </c>
      <c r="P39" s="40"/>
      <c r="Q39" s="41"/>
      <c r="R39" s="42"/>
      <c r="S39" s="755">
        <f t="shared" si="2"/>
        <v>0</v>
      </c>
      <c r="T39" s="42"/>
      <c r="U39" s="42"/>
      <c r="V39" s="42"/>
      <c r="W39" s="42"/>
      <c r="X39" s="42"/>
      <c r="Y39" s="42"/>
      <c r="Z39" s="42"/>
      <c r="AA39" s="42"/>
      <c r="AB39" s="43"/>
      <c r="AC39" s="44"/>
      <c r="AD39" s="45"/>
      <c r="AE39" s="42"/>
      <c r="AF39" s="42"/>
      <c r="AG39" s="42"/>
      <c r="AH39" s="42"/>
      <c r="AI39" s="43"/>
      <c r="AJ39" s="43"/>
      <c r="AK39" s="42"/>
      <c r="AL39" s="41"/>
      <c r="AM39" s="45"/>
      <c r="AN39" s="42"/>
      <c r="AO39" s="46"/>
      <c r="AP39" s="46"/>
      <c r="AQ39" s="46"/>
      <c r="AR39" s="46"/>
      <c r="AS39" s="46"/>
      <c r="AT39" s="46"/>
      <c r="AU39" s="47"/>
      <c r="AV39" s="45"/>
      <c r="AW39" s="42"/>
      <c r="AX39" s="42"/>
      <c r="AY39" s="42"/>
      <c r="AZ39" s="42"/>
      <c r="BA39" s="42"/>
      <c r="BB39" s="42"/>
      <c r="BC39" s="43"/>
      <c r="BD39" s="44"/>
      <c r="BE39" s="45"/>
      <c r="BF39" s="42"/>
      <c r="BG39" s="42"/>
      <c r="BH39" s="44"/>
      <c r="BI39" s="41"/>
      <c r="BJ39" s="42"/>
      <c r="BK39" s="44"/>
      <c r="BL39" s="45"/>
      <c r="BM39" s="42"/>
      <c r="BN39" s="44"/>
      <c r="BO39" s="893"/>
      <c r="BP39" s="37">
        <f t="shared" si="3"/>
        <v>0</v>
      </c>
    </row>
    <row r="40" spans="1:68" ht="25.5" customHeight="1" x14ac:dyDescent="0.15">
      <c r="A40" s="17">
        <f t="shared" si="4"/>
        <v>25</v>
      </c>
      <c r="B40" s="1042"/>
      <c r="C40" s="1043"/>
      <c r="D40" s="880"/>
      <c r="E40" s="953"/>
      <c r="F40" s="883"/>
      <c r="G40" s="882"/>
      <c r="H40" s="1048"/>
      <c r="I40" s="684" t="str">
        <f t="shared" si="0"/>
        <v/>
      </c>
      <c r="J40" s="754">
        <f t="shared" si="1"/>
        <v>0</v>
      </c>
      <c r="K40" s="1249"/>
      <c r="L40" s="1250"/>
      <c r="M40" s="1250"/>
      <c r="N40" s="773" t="str">
        <f t="shared" si="5"/>
        <v/>
      </c>
      <c r="O40" s="774" t="str">
        <f>IF('Set up ~ Config'!$G$32=6,IF(OR($N40=7,$N40=8,$N40=9),1,IF(OR($N40=10,$N40=11,$N40=12),2,IF(OR($N40=1,$N40=2,$N40=3),3,IF(OR($N40=4,$N40=5,$N40=6),4,"")))),IF(OR($N40=9,$N40=10,$N40=11),1,IF(OR($N40=12,$N40=1,$N40=2),2,IF(OR($N40=3,$N40=4,$N40=5),3,IF(OR($N40=6,$N40=7,$N40=8),4,"")))))</f>
        <v/>
      </c>
      <c r="P40" s="40"/>
      <c r="Q40" s="41"/>
      <c r="R40" s="42"/>
      <c r="S40" s="755">
        <f t="shared" si="2"/>
        <v>0</v>
      </c>
      <c r="T40" s="42"/>
      <c r="U40" s="42"/>
      <c r="V40" s="42"/>
      <c r="W40" s="42"/>
      <c r="X40" s="42"/>
      <c r="Y40" s="42"/>
      <c r="Z40" s="42"/>
      <c r="AA40" s="42"/>
      <c r="AB40" s="43"/>
      <c r="AC40" s="44"/>
      <c r="AD40" s="45"/>
      <c r="AE40" s="42"/>
      <c r="AF40" s="42"/>
      <c r="AG40" s="42"/>
      <c r="AH40" s="42"/>
      <c r="AI40" s="43"/>
      <c r="AJ40" s="43"/>
      <c r="AK40" s="42"/>
      <c r="AL40" s="41"/>
      <c r="AM40" s="45"/>
      <c r="AN40" s="42"/>
      <c r="AO40" s="46"/>
      <c r="AP40" s="46"/>
      <c r="AQ40" s="46"/>
      <c r="AR40" s="46"/>
      <c r="AS40" s="46"/>
      <c r="AT40" s="46"/>
      <c r="AU40" s="47"/>
      <c r="AV40" s="45"/>
      <c r="AW40" s="42"/>
      <c r="AX40" s="42"/>
      <c r="AY40" s="42"/>
      <c r="AZ40" s="42"/>
      <c r="BA40" s="42"/>
      <c r="BB40" s="42"/>
      <c r="BC40" s="43"/>
      <c r="BD40" s="44"/>
      <c r="BE40" s="45"/>
      <c r="BF40" s="42"/>
      <c r="BG40" s="42"/>
      <c r="BH40" s="44"/>
      <c r="BI40" s="41"/>
      <c r="BJ40" s="42"/>
      <c r="BK40" s="44"/>
      <c r="BL40" s="45"/>
      <c r="BM40" s="42"/>
      <c r="BN40" s="44"/>
      <c r="BO40" s="893"/>
      <c r="BP40" s="37">
        <f t="shared" si="3"/>
        <v>0</v>
      </c>
    </row>
    <row r="41" spans="1:68" ht="25.5" customHeight="1" x14ac:dyDescent="0.15">
      <c r="A41" s="17">
        <f t="shared" si="4"/>
        <v>26</v>
      </c>
      <c r="B41" s="1042"/>
      <c r="C41" s="1043"/>
      <c r="D41" s="880"/>
      <c r="E41" s="953"/>
      <c r="F41" s="883"/>
      <c r="G41" s="882"/>
      <c r="H41" s="1048"/>
      <c r="I41" s="684" t="str">
        <f t="shared" si="0"/>
        <v/>
      </c>
      <c r="J41" s="754">
        <f t="shared" si="1"/>
        <v>0</v>
      </c>
      <c r="K41" s="1249"/>
      <c r="L41" s="1250"/>
      <c r="M41" s="1250"/>
      <c r="N41" s="773" t="str">
        <f t="shared" si="5"/>
        <v/>
      </c>
      <c r="O41" s="774" t="str">
        <f>IF('Set up ~ Config'!$G$32=6,IF(OR($N41=7,$N41=8,$N41=9),1,IF(OR($N41=10,$N41=11,$N41=12),2,IF(OR($N41=1,$N41=2,$N41=3),3,IF(OR($N41=4,$N41=5,$N41=6),4,"")))),IF(OR($N41=9,$N41=10,$N41=11),1,IF(OR($N41=12,$N41=1,$N41=2),2,IF(OR($N41=3,$N41=4,$N41=5),3,IF(OR($N41=6,$N41=7,$N41=8),4,"")))))</f>
        <v/>
      </c>
      <c r="P41" s="40"/>
      <c r="Q41" s="41"/>
      <c r="R41" s="42"/>
      <c r="S41" s="755">
        <f t="shared" si="2"/>
        <v>0</v>
      </c>
      <c r="T41" s="42"/>
      <c r="U41" s="42"/>
      <c r="V41" s="42"/>
      <c r="W41" s="42"/>
      <c r="X41" s="42"/>
      <c r="Y41" s="42"/>
      <c r="Z41" s="42"/>
      <c r="AA41" s="42"/>
      <c r="AB41" s="43"/>
      <c r="AC41" s="44"/>
      <c r="AD41" s="45"/>
      <c r="AE41" s="42"/>
      <c r="AF41" s="42"/>
      <c r="AG41" s="42"/>
      <c r="AH41" s="42"/>
      <c r="AI41" s="43"/>
      <c r="AJ41" s="43"/>
      <c r="AK41" s="42"/>
      <c r="AL41" s="41"/>
      <c r="AM41" s="45"/>
      <c r="AN41" s="42"/>
      <c r="AO41" s="46"/>
      <c r="AP41" s="46"/>
      <c r="AQ41" s="46"/>
      <c r="AR41" s="46"/>
      <c r="AS41" s="46"/>
      <c r="AT41" s="46"/>
      <c r="AU41" s="47"/>
      <c r="AV41" s="45"/>
      <c r="AW41" s="42"/>
      <c r="AX41" s="42"/>
      <c r="AY41" s="42"/>
      <c r="AZ41" s="42"/>
      <c r="BA41" s="42"/>
      <c r="BB41" s="42"/>
      <c r="BC41" s="43"/>
      <c r="BD41" s="44"/>
      <c r="BE41" s="45"/>
      <c r="BF41" s="42"/>
      <c r="BG41" s="42"/>
      <c r="BH41" s="44"/>
      <c r="BI41" s="41"/>
      <c r="BJ41" s="42"/>
      <c r="BK41" s="44"/>
      <c r="BL41" s="45"/>
      <c r="BM41" s="42"/>
      <c r="BN41" s="44"/>
      <c r="BO41" s="893"/>
      <c r="BP41" s="37">
        <f t="shared" si="3"/>
        <v>0</v>
      </c>
    </row>
    <row r="42" spans="1:68" ht="25.5" customHeight="1" x14ac:dyDescent="0.15">
      <c r="A42" s="17">
        <f t="shared" si="4"/>
        <v>27</v>
      </c>
      <c r="B42" s="1042"/>
      <c r="C42" s="1043"/>
      <c r="D42" s="880"/>
      <c r="E42" s="953"/>
      <c r="F42" s="883"/>
      <c r="G42" s="882"/>
      <c r="H42" s="1048"/>
      <c r="I42" s="684" t="str">
        <f t="shared" si="0"/>
        <v/>
      </c>
      <c r="J42" s="754">
        <f t="shared" si="1"/>
        <v>0</v>
      </c>
      <c r="K42" s="1249"/>
      <c r="L42" s="1250"/>
      <c r="M42" s="1250"/>
      <c r="N42" s="773" t="str">
        <f t="shared" si="5"/>
        <v/>
      </c>
      <c r="O42" s="774" t="str">
        <f>IF('Set up ~ Config'!$G$32=6,IF(OR($N42=7,$N42=8,$N42=9),1,IF(OR($N42=10,$N42=11,$N42=12),2,IF(OR($N42=1,$N42=2,$N42=3),3,IF(OR($N42=4,$N42=5,$N42=6),4,"")))),IF(OR($N42=9,$N42=10,$N42=11),1,IF(OR($N42=12,$N42=1,$N42=2),2,IF(OR($N42=3,$N42=4,$N42=5),3,IF(OR($N42=6,$N42=7,$N42=8),4,"")))))</f>
        <v/>
      </c>
      <c r="P42" s="40"/>
      <c r="Q42" s="41"/>
      <c r="R42" s="42"/>
      <c r="S42" s="755">
        <f t="shared" si="2"/>
        <v>0</v>
      </c>
      <c r="T42" s="42"/>
      <c r="U42" s="42"/>
      <c r="V42" s="42"/>
      <c r="W42" s="42"/>
      <c r="X42" s="42"/>
      <c r="Y42" s="42"/>
      <c r="Z42" s="42"/>
      <c r="AA42" s="42"/>
      <c r="AB42" s="43"/>
      <c r="AC42" s="44"/>
      <c r="AD42" s="45"/>
      <c r="AE42" s="42"/>
      <c r="AF42" s="42"/>
      <c r="AG42" s="42"/>
      <c r="AH42" s="42"/>
      <c r="AI42" s="43"/>
      <c r="AJ42" s="43"/>
      <c r="AK42" s="42"/>
      <c r="AL42" s="41"/>
      <c r="AM42" s="45"/>
      <c r="AN42" s="42"/>
      <c r="AO42" s="46"/>
      <c r="AP42" s="46"/>
      <c r="AQ42" s="46"/>
      <c r="AR42" s="46"/>
      <c r="AS42" s="46"/>
      <c r="AT42" s="46"/>
      <c r="AU42" s="47"/>
      <c r="AV42" s="45"/>
      <c r="AW42" s="42"/>
      <c r="AX42" s="42"/>
      <c r="AY42" s="42"/>
      <c r="AZ42" s="42"/>
      <c r="BA42" s="42"/>
      <c r="BB42" s="42"/>
      <c r="BC42" s="43"/>
      <c r="BD42" s="44"/>
      <c r="BE42" s="45"/>
      <c r="BF42" s="42"/>
      <c r="BG42" s="42"/>
      <c r="BH42" s="44"/>
      <c r="BI42" s="41"/>
      <c r="BJ42" s="42"/>
      <c r="BK42" s="44"/>
      <c r="BL42" s="45"/>
      <c r="BM42" s="42"/>
      <c r="BN42" s="44"/>
      <c r="BO42" s="893"/>
      <c r="BP42" s="37">
        <f t="shared" si="3"/>
        <v>0</v>
      </c>
    </row>
    <row r="43" spans="1:68" ht="25.5" customHeight="1" x14ac:dyDescent="0.15">
      <c r="A43" s="17">
        <f t="shared" si="4"/>
        <v>28</v>
      </c>
      <c r="B43" s="1042"/>
      <c r="C43" s="1043"/>
      <c r="D43" s="880"/>
      <c r="E43" s="953"/>
      <c r="F43" s="883"/>
      <c r="G43" s="882"/>
      <c r="H43" s="1048"/>
      <c r="I43" s="684" t="str">
        <f t="shared" si="0"/>
        <v/>
      </c>
      <c r="J43" s="754">
        <f t="shared" si="1"/>
        <v>0</v>
      </c>
      <c r="K43" s="1249"/>
      <c r="L43" s="1250"/>
      <c r="M43" s="1250"/>
      <c r="N43" s="773" t="str">
        <f t="shared" si="5"/>
        <v/>
      </c>
      <c r="O43" s="774" t="str">
        <f>IF('Set up ~ Config'!$G$32=6,IF(OR($N43=7,$N43=8,$N43=9),1,IF(OR($N43=10,$N43=11,$N43=12),2,IF(OR($N43=1,$N43=2,$N43=3),3,IF(OR($N43=4,$N43=5,$N43=6),4,"")))),IF(OR($N43=9,$N43=10,$N43=11),1,IF(OR($N43=12,$N43=1,$N43=2),2,IF(OR($N43=3,$N43=4,$N43=5),3,IF(OR($N43=6,$N43=7,$N43=8),4,"")))))</f>
        <v/>
      </c>
      <c r="P43" s="40"/>
      <c r="Q43" s="41"/>
      <c r="R43" s="42"/>
      <c r="S43" s="755">
        <f t="shared" si="2"/>
        <v>0</v>
      </c>
      <c r="T43" s="42"/>
      <c r="U43" s="42"/>
      <c r="V43" s="42"/>
      <c r="W43" s="42"/>
      <c r="X43" s="42"/>
      <c r="Y43" s="42"/>
      <c r="Z43" s="42"/>
      <c r="AA43" s="42"/>
      <c r="AB43" s="43"/>
      <c r="AC43" s="44"/>
      <c r="AD43" s="45"/>
      <c r="AE43" s="42"/>
      <c r="AF43" s="42"/>
      <c r="AG43" s="42"/>
      <c r="AH43" s="42"/>
      <c r="AI43" s="43"/>
      <c r="AJ43" s="43"/>
      <c r="AK43" s="42"/>
      <c r="AL43" s="41"/>
      <c r="AM43" s="45"/>
      <c r="AN43" s="42"/>
      <c r="AO43" s="46"/>
      <c r="AP43" s="46"/>
      <c r="AQ43" s="46"/>
      <c r="AR43" s="46"/>
      <c r="AS43" s="46"/>
      <c r="AT43" s="46"/>
      <c r="AU43" s="47"/>
      <c r="AV43" s="45"/>
      <c r="AW43" s="42"/>
      <c r="AX43" s="42"/>
      <c r="AY43" s="42"/>
      <c r="AZ43" s="42"/>
      <c r="BA43" s="42"/>
      <c r="BB43" s="42"/>
      <c r="BC43" s="43"/>
      <c r="BD43" s="44"/>
      <c r="BE43" s="45"/>
      <c r="BF43" s="42"/>
      <c r="BG43" s="42"/>
      <c r="BH43" s="44"/>
      <c r="BI43" s="41"/>
      <c r="BJ43" s="42"/>
      <c r="BK43" s="44"/>
      <c r="BL43" s="45"/>
      <c r="BM43" s="42"/>
      <c r="BN43" s="44"/>
      <c r="BO43" s="893"/>
      <c r="BP43" s="37">
        <f t="shared" si="3"/>
        <v>0</v>
      </c>
    </row>
    <row r="44" spans="1:68" ht="25.5" customHeight="1" x14ac:dyDescent="0.15">
      <c r="A44" s="17">
        <f t="shared" si="4"/>
        <v>29</v>
      </c>
      <c r="B44" s="1042"/>
      <c r="C44" s="1043"/>
      <c r="D44" s="880"/>
      <c r="E44" s="953"/>
      <c r="F44" s="883"/>
      <c r="G44" s="882"/>
      <c r="H44" s="1048"/>
      <c r="I44" s="684" t="str">
        <f t="shared" si="0"/>
        <v/>
      </c>
      <c r="J44" s="754">
        <f t="shared" si="1"/>
        <v>0</v>
      </c>
      <c r="K44" s="1249"/>
      <c r="L44" s="1250"/>
      <c r="M44" s="1250"/>
      <c r="N44" s="773" t="str">
        <f t="shared" si="5"/>
        <v/>
      </c>
      <c r="O44" s="774" t="str">
        <f>IF('Set up ~ Config'!$G$32=6,IF(OR($N44=7,$N44=8,$N44=9),1,IF(OR($N44=10,$N44=11,$N44=12),2,IF(OR($N44=1,$N44=2,$N44=3),3,IF(OR($N44=4,$N44=5,$N44=6),4,"")))),IF(OR($N44=9,$N44=10,$N44=11),1,IF(OR($N44=12,$N44=1,$N44=2),2,IF(OR($N44=3,$N44=4,$N44=5),3,IF(OR($N44=6,$N44=7,$N44=8),4,"")))))</f>
        <v/>
      </c>
      <c r="P44" s="40"/>
      <c r="Q44" s="41"/>
      <c r="R44" s="42"/>
      <c r="S44" s="755">
        <f t="shared" si="2"/>
        <v>0</v>
      </c>
      <c r="T44" s="42"/>
      <c r="U44" s="42"/>
      <c r="V44" s="42"/>
      <c r="W44" s="42"/>
      <c r="X44" s="42"/>
      <c r="Y44" s="42"/>
      <c r="Z44" s="42"/>
      <c r="AA44" s="42"/>
      <c r="AB44" s="43"/>
      <c r="AC44" s="44"/>
      <c r="AD44" s="45"/>
      <c r="AE44" s="42"/>
      <c r="AF44" s="42"/>
      <c r="AG44" s="42"/>
      <c r="AH44" s="42"/>
      <c r="AI44" s="43"/>
      <c r="AJ44" s="43"/>
      <c r="AK44" s="42"/>
      <c r="AL44" s="41"/>
      <c r="AM44" s="45"/>
      <c r="AN44" s="42"/>
      <c r="AO44" s="46"/>
      <c r="AP44" s="46"/>
      <c r="AQ44" s="46"/>
      <c r="AR44" s="46"/>
      <c r="AS44" s="46"/>
      <c r="AT44" s="46"/>
      <c r="AU44" s="47"/>
      <c r="AV44" s="45"/>
      <c r="AW44" s="42"/>
      <c r="AX44" s="42"/>
      <c r="AY44" s="42"/>
      <c r="AZ44" s="42"/>
      <c r="BA44" s="42"/>
      <c r="BB44" s="42"/>
      <c r="BC44" s="43"/>
      <c r="BD44" s="44"/>
      <c r="BE44" s="45"/>
      <c r="BF44" s="42"/>
      <c r="BG44" s="42"/>
      <c r="BH44" s="44"/>
      <c r="BI44" s="41"/>
      <c r="BJ44" s="42"/>
      <c r="BK44" s="44"/>
      <c r="BL44" s="45"/>
      <c r="BM44" s="42"/>
      <c r="BN44" s="44"/>
      <c r="BO44" s="893"/>
      <c r="BP44" s="37">
        <f t="shared" si="3"/>
        <v>0</v>
      </c>
    </row>
    <row r="45" spans="1:68" ht="25.5" customHeight="1" x14ac:dyDescent="0.15">
      <c r="A45" s="17">
        <f t="shared" si="4"/>
        <v>30</v>
      </c>
      <c r="B45" s="1042"/>
      <c r="C45" s="1043"/>
      <c r="D45" s="880"/>
      <c r="E45" s="953"/>
      <c r="F45" s="883"/>
      <c r="G45" s="882"/>
      <c r="H45" s="1048"/>
      <c r="I45" s="684" t="str">
        <f t="shared" si="0"/>
        <v/>
      </c>
      <c r="J45" s="754">
        <f t="shared" si="1"/>
        <v>0</v>
      </c>
      <c r="K45" s="1249"/>
      <c r="L45" s="1250"/>
      <c r="M45" s="1250"/>
      <c r="N45" s="773" t="str">
        <f t="shared" si="5"/>
        <v/>
      </c>
      <c r="O45" s="774" t="str">
        <f>IF('Set up ~ Config'!$G$32=6,IF(OR($N45=7,$N45=8,$N45=9),1,IF(OR($N45=10,$N45=11,$N45=12),2,IF(OR($N45=1,$N45=2,$N45=3),3,IF(OR($N45=4,$N45=5,$N45=6),4,"")))),IF(OR($N45=9,$N45=10,$N45=11),1,IF(OR($N45=12,$N45=1,$N45=2),2,IF(OR($N45=3,$N45=4,$N45=5),3,IF(OR($N45=6,$N45=7,$N45=8),4,"")))))</f>
        <v/>
      </c>
      <c r="P45" s="40"/>
      <c r="Q45" s="41"/>
      <c r="R45" s="42"/>
      <c r="S45" s="755">
        <f t="shared" si="2"/>
        <v>0</v>
      </c>
      <c r="T45" s="42"/>
      <c r="U45" s="42"/>
      <c r="V45" s="42"/>
      <c r="W45" s="42"/>
      <c r="X45" s="42"/>
      <c r="Y45" s="42"/>
      <c r="Z45" s="42"/>
      <c r="AA45" s="42"/>
      <c r="AB45" s="43"/>
      <c r="AC45" s="44"/>
      <c r="AD45" s="45"/>
      <c r="AE45" s="42"/>
      <c r="AF45" s="42"/>
      <c r="AG45" s="42"/>
      <c r="AH45" s="42"/>
      <c r="AI45" s="43"/>
      <c r="AJ45" s="43"/>
      <c r="AK45" s="42"/>
      <c r="AL45" s="41"/>
      <c r="AM45" s="45"/>
      <c r="AN45" s="42"/>
      <c r="AO45" s="46"/>
      <c r="AP45" s="46"/>
      <c r="AQ45" s="46"/>
      <c r="AR45" s="46"/>
      <c r="AS45" s="46"/>
      <c r="AT45" s="46"/>
      <c r="AU45" s="47"/>
      <c r="AV45" s="45"/>
      <c r="AW45" s="42"/>
      <c r="AX45" s="42"/>
      <c r="AY45" s="42"/>
      <c r="AZ45" s="42"/>
      <c r="BA45" s="42"/>
      <c r="BB45" s="42"/>
      <c r="BC45" s="43"/>
      <c r="BD45" s="44"/>
      <c r="BE45" s="45"/>
      <c r="BF45" s="42"/>
      <c r="BG45" s="42"/>
      <c r="BH45" s="44"/>
      <c r="BI45" s="41"/>
      <c r="BJ45" s="42"/>
      <c r="BK45" s="44"/>
      <c r="BL45" s="45"/>
      <c r="BM45" s="42"/>
      <c r="BN45" s="44"/>
      <c r="BO45" s="893"/>
      <c r="BP45" s="37">
        <f t="shared" si="3"/>
        <v>0</v>
      </c>
    </row>
    <row r="46" spans="1:68" ht="25.5" customHeight="1" x14ac:dyDescent="0.15">
      <c r="A46" s="17">
        <f t="shared" si="4"/>
        <v>31</v>
      </c>
      <c r="B46" s="1042"/>
      <c r="C46" s="1043"/>
      <c r="D46" s="880"/>
      <c r="E46" s="953"/>
      <c r="F46" s="883"/>
      <c r="G46" s="882"/>
      <c r="H46" s="1048"/>
      <c r="I46" s="684" t="str">
        <f t="shared" si="0"/>
        <v/>
      </c>
      <c r="J46" s="754">
        <f t="shared" si="1"/>
        <v>0</v>
      </c>
      <c r="K46" s="1252"/>
      <c r="L46" s="1250"/>
      <c r="M46" s="1250"/>
      <c r="N46" s="773" t="str">
        <f t="shared" si="5"/>
        <v/>
      </c>
      <c r="O46" s="774" t="str">
        <f>IF('Set up ~ Config'!$G$32=6,IF(OR($N46=7,$N46=8,$N46=9),1,IF(OR($N46=10,$N46=11,$N46=12),2,IF(OR($N46=1,$N46=2,$N46=3),3,IF(OR($N46=4,$N46=5,$N46=6),4,"")))),IF(OR($N46=9,$N46=10,$N46=11),1,IF(OR($N46=12,$N46=1,$N46=2),2,IF(OR($N46=3,$N46=4,$N46=5),3,IF(OR($N46=6,$N46=7,$N46=8),4,"")))))</f>
        <v/>
      </c>
      <c r="P46" s="40"/>
      <c r="Q46" s="41"/>
      <c r="R46" s="42"/>
      <c r="S46" s="755">
        <f t="shared" si="2"/>
        <v>0</v>
      </c>
      <c r="T46" s="42"/>
      <c r="U46" s="42"/>
      <c r="V46" s="42"/>
      <c r="W46" s="42"/>
      <c r="X46" s="42"/>
      <c r="Y46" s="42"/>
      <c r="Z46" s="42"/>
      <c r="AA46" s="42"/>
      <c r="AB46" s="43"/>
      <c r="AC46" s="44"/>
      <c r="AD46" s="45"/>
      <c r="AE46" s="42"/>
      <c r="AF46" s="42"/>
      <c r="AG46" s="42"/>
      <c r="AH46" s="42"/>
      <c r="AI46" s="43"/>
      <c r="AJ46" s="43"/>
      <c r="AK46" s="42"/>
      <c r="AL46" s="41"/>
      <c r="AM46" s="45"/>
      <c r="AN46" s="42"/>
      <c r="AO46" s="46"/>
      <c r="AP46" s="46"/>
      <c r="AQ46" s="46"/>
      <c r="AR46" s="46"/>
      <c r="AS46" s="46"/>
      <c r="AT46" s="46"/>
      <c r="AU46" s="47"/>
      <c r="AV46" s="45"/>
      <c r="AW46" s="42"/>
      <c r="AX46" s="42"/>
      <c r="AY46" s="42"/>
      <c r="AZ46" s="42"/>
      <c r="BA46" s="42"/>
      <c r="BB46" s="42"/>
      <c r="BC46" s="43"/>
      <c r="BD46" s="44"/>
      <c r="BE46" s="45"/>
      <c r="BF46" s="42"/>
      <c r="BG46" s="42"/>
      <c r="BH46" s="44"/>
      <c r="BI46" s="41"/>
      <c r="BJ46" s="42"/>
      <c r="BK46" s="44"/>
      <c r="BL46" s="45"/>
      <c r="BM46" s="42"/>
      <c r="BN46" s="44"/>
      <c r="BO46" s="893"/>
      <c r="BP46" s="37">
        <f t="shared" si="3"/>
        <v>0</v>
      </c>
    </row>
    <row r="47" spans="1:68" ht="25.5" customHeight="1" x14ac:dyDescent="0.15">
      <c r="A47" s="17">
        <f t="shared" si="4"/>
        <v>32</v>
      </c>
      <c r="B47" s="1042"/>
      <c r="C47" s="1043"/>
      <c r="D47" s="880"/>
      <c r="E47" s="953"/>
      <c r="F47" s="883"/>
      <c r="G47" s="882"/>
      <c r="H47" s="1048"/>
      <c r="I47" s="684" t="str">
        <f t="shared" si="0"/>
        <v/>
      </c>
      <c r="J47" s="754">
        <f t="shared" si="1"/>
        <v>0</v>
      </c>
      <c r="K47" s="1252"/>
      <c r="L47" s="1250"/>
      <c r="M47" s="1250"/>
      <c r="N47" s="773" t="str">
        <f t="shared" si="5"/>
        <v/>
      </c>
      <c r="O47" s="774" t="str">
        <f>IF('Set up ~ Config'!$G$32=6,IF(OR($N47=7,$N47=8,$N47=9),1,IF(OR($N47=10,$N47=11,$N47=12),2,IF(OR($N47=1,$N47=2,$N47=3),3,IF(OR($N47=4,$N47=5,$N47=6),4,"")))),IF(OR($N47=9,$N47=10,$N47=11),1,IF(OR($N47=12,$N47=1,$N47=2),2,IF(OR($N47=3,$N47=4,$N47=5),3,IF(OR($N47=6,$N47=7,$N47=8),4,"")))))</f>
        <v/>
      </c>
      <c r="P47" s="40"/>
      <c r="Q47" s="41"/>
      <c r="R47" s="42"/>
      <c r="S47" s="755">
        <f t="shared" si="2"/>
        <v>0</v>
      </c>
      <c r="T47" s="42"/>
      <c r="U47" s="42"/>
      <c r="V47" s="42"/>
      <c r="W47" s="42"/>
      <c r="X47" s="42"/>
      <c r="Y47" s="42"/>
      <c r="Z47" s="42"/>
      <c r="AA47" s="42"/>
      <c r="AB47" s="43"/>
      <c r="AC47" s="44"/>
      <c r="AD47" s="45"/>
      <c r="AE47" s="42"/>
      <c r="AF47" s="42"/>
      <c r="AG47" s="42"/>
      <c r="AH47" s="42"/>
      <c r="AI47" s="43"/>
      <c r="AJ47" s="43"/>
      <c r="AK47" s="42"/>
      <c r="AL47" s="41"/>
      <c r="AM47" s="45"/>
      <c r="AN47" s="42"/>
      <c r="AO47" s="46"/>
      <c r="AP47" s="46"/>
      <c r="AQ47" s="46"/>
      <c r="AR47" s="46"/>
      <c r="AS47" s="46"/>
      <c r="AT47" s="46"/>
      <c r="AU47" s="47"/>
      <c r="AV47" s="45"/>
      <c r="AW47" s="42"/>
      <c r="AX47" s="42"/>
      <c r="AY47" s="42"/>
      <c r="AZ47" s="42"/>
      <c r="BA47" s="42"/>
      <c r="BB47" s="42"/>
      <c r="BC47" s="43"/>
      <c r="BD47" s="44"/>
      <c r="BE47" s="45"/>
      <c r="BF47" s="42"/>
      <c r="BG47" s="42"/>
      <c r="BH47" s="44"/>
      <c r="BI47" s="41"/>
      <c r="BJ47" s="42"/>
      <c r="BK47" s="44"/>
      <c r="BL47" s="45"/>
      <c r="BM47" s="42"/>
      <c r="BN47" s="44"/>
      <c r="BO47" s="893"/>
      <c r="BP47" s="37">
        <f t="shared" si="3"/>
        <v>0</v>
      </c>
    </row>
    <row r="48" spans="1:68" ht="25.5" customHeight="1" x14ac:dyDescent="0.15">
      <c r="A48" s="17">
        <f t="shared" si="4"/>
        <v>33</v>
      </c>
      <c r="B48" s="1042"/>
      <c r="C48" s="1043"/>
      <c r="D48" s="880"/>
      <c r="E48" s="953"/>
      <c r="F48" s="883"/>
      <c r="G48" s="882"/>
      <c r="H48" s="1048"/>
      <c r="I48" s="684" t="str">
        <f t="shared" si="0"/>
        <v/>
      </c>
      <c r="J48" s="754">
        <f t="shared" si="1"/>
        <v>0</v>
      </c>
      <c r="K48" s="1252"/>
      <c r="L48" s="1250"/>
      <c r="M48" s="1250"/>
      <c r="N48" s="773" t="str">
        <f t="shared" si="5"/>
        <v/>
      </c>
      <c r="O48" s="774" t="str">
        <f>IF('Set up ~ Config'!$G$32=6,IF(OR($N48=7,$N48=8,$N48=9),1,IF(OR($N48=10,$N48=11,$N48=12),2,IF(OR($N48=1,$N48=2,$N48=3),3,IF(OR($N48=4,$N48=5,$N48=6),4,"")))),IF(OR($N48=9,$N48=10,$N48=11),1,IF(OR($N48=12,$N48=1,$N48=2),2,IF(OR($N48=3,$N48=4,$N48=5),3,IF(OR($N48=6,$N48=7,$N48=8),4,"")))))</f>
        <v/>
      </c>
      <c r="P48" s="40"/>
      <c r="Q48" s="41"/>
      <c r="R48" s="42"/>
      <c r="S48" s="755">
        <f t="shared" si="2"/>
        <v>0</v>
      </c>
      <c r="T48" s="42"/>
      <c r="U48" s="42"/>
      <c r="V48" s="42"/>
      <c r="W48" s="42"/>
      <c r="X48" s="42"/>
      <c r="Y48" s="42"/>
      <c r="Z48" s="42"/>
      <c r="AA48" s="42"/>
      <c r="AB48" s="43"/>
      <c r="AC48" s="44"/>
      <c r="AD48" s="45"/>
      <c r="AE48" s="42"/>
      <c r="AF48" s="42"/>
      <c r="AG48" s="42"/>
      <c r="AH48" s="42"/>
      <c r="AI48" s="43"/>
      <c r="AJ48" s="43"/>
      <c r="AK48" s="42"/>
      <c r="AL48" s="41"/>
      <c r="AM48" s="45"/>
      <c r="AN48" s="42"/>
      <c r="AO48" s="46"/>
      <c r="AP48" s="46"/>
      <c r="AQ48" s="46"/>
      <c r="AR48" s="46"/>
      <c r="AS48" s="46"/>
      <c r="AT48" s="46"/>
      <c r="AU48" s="47"/>
      <c r="AV48" s="45"/>
      <c r="AW48" s="42"/>
      <c r="AX48" s="42"/>
      <c r="AY48" s="42"/>
      <c r="AZ48" s="42"/>
      <c r="BA48" s="42"/>
      <c r="BB48" s="42"/>
      <c r="BC48" s="43"/>
      <c r="BD48" s="44"/>
      <c r="BE48" s="45"/>
      <c r="BF48" s="42"/>
      <c r="BG48" s="42"/>
      <c r="BH48" s="44"/>
      <c r="BI48" s="41"/>
      <c r="BJ48" s="42"/>
      <c r="BK48" s="44"/>
      <c r="BL48" s="45"/>
      <c r="BM48" s="42"/>
      <c r="BN48" s="44"/>
      <c r="BO48" s="893"/>
      <c r="BP48" s="37">
        <f t="shared" si="3"/>
        <v>0</v>
      </c>
    </row>
    <row r="49" spans="1:68" ht="25.5" customHeight="1" x14ac:dyDescent="0.15">
      <c r="A49" s="17">
        <f t="shared" si="4"/>
        <v>34</v>
      </c>
      <c r="B49" s="1042"/>
      <c r="C49" s="1043"/>
      <c r="D49" s="880"/>
      <c r="E49" s="953"/>
      <c r="F49" s="883"/>
      <c r="G49" s="882"/>
      <c r="H49" s="1048"/>
      <c r="I49" s="684" t="str">
        <f t="shared" si="0"/>
        <v/>
      </c>
      <c r="J49" s="754">
        <f t="shared" si="1"/>
        <v>0</v>
      </c>
      <c r="K49" s="1252"/>
      <c r="L49" s="1250"/>
      <c r="M49" s="1250"/>
      <c r="N49" s="773" t="str">
        <f t="shared" si="5"/>
        <v/>
      </c>
      <c r="O49" s="774" t="str">
        <f>IF('Set up ~ Config'!$G$32=6,IF(OR($N49=7,$N49=8,$N49=9),1,IF(OR($N49=10,$N49=11,$N49=12),2,IF(OR($N49=1,$N49=2,$N49=3),3,IF(OR($N49=4,$N49=5,$N49=6),4,"")))),IF(OR($N49=9,$N49=10,$N49=11),1,IF(OR($N49=12,$N49=1,$N49=2),2,IF(OR($N49=3,$N49=4,$N49=5),3,IF(OR($N49=6,$N49=7,$N49=8),4,"")))))</f>
        <v/>
      </c>
      <c r="P49" s="40"/>
      <c r="Q49" s="41"/>
      <c r="R49" s="42"/>
      <c r="S49" s="755">
        <f t="shared" si="2"/>
        <v>0</v>
      </c>
      <c r="T49" s="42"/>
      <c r="U49" s="42"/>
      <c r="V49" s="42"/>
      <c r="W49" s="42"/>
      <c r="X49" s="42"/>
      <c r="Y49" s="42"/>
      <c r="Z49" s="42"/>
      <c r="AA49" s="42"/>
      <c r="AB49" s="43"/>
      <c r="AC49" s="44"/>
      <c r="AD49" s="45"/>
      <c r="AE49" s="42"/>
      <c r="AF49" s="42"/>
      <c r="AG49" s="42"/>
      <c r="AH49" s="42"/>
      <c r="AI49" s="43"/>
      <c r="AJ49" s="43"/>
      <c r="AK49" s="42"/>
      <c r="AL49" s="41"/>
      <c r="AM49" s="45"/>
      <c r="AN49" s="42"/>
      <c r="AO49" s="46"/>
      <c r="AP49" s="46"/>
      <c r="AQ49" s="46"/>
      <c r="AR49" s="46"/>
      <c r="AS49" s="46"/>
      <c r="AT49" s="46"/>
      <c r="AU49" s="47"/>
      <c r="AV49" s="45"/>
      <c r="AW49" s="42"/>
      <c r="AX49" s="42"/>
      <c r="AY49" s="42"/>
      <c r="AZ49" s="42"/>
      <c r="BA49" s="42"/>
      <c r="BB49" s="42"/>
      <c r="BC49" s="43"/>
      <c r="BD49" s="44"/>
      <c r="BE49" s="45"/>
      <c r="BF49" s="42"/>
      <c r="BG49" s="42"/>
      <c r="BH49" s="44"/>
      <c r="BI49" s="41"/>
      <c r="BJ49" s="42"/>
      <c r="BK49" s="44"/>
      <c r="BL49" s="45"/>
      <c r="BM49" s="42"/>
      <c r="BN49" s="44"/>
      <c r="BO49" s="893"/>
      <c r="BP49" s="37">
        <f t="shared" si="3"/>
        <v>0</v>
      </c>
    </row>
    <row r="50" spans="1:68" ht="25.5" customHeight="1" x14ac:dyDescent="0.15">
      <c r="A50" s="17">
        <f t="shared" si="4"/>
        <v>35</v>
      </c>
      <c r="B50" s="1042"/>
      <c r="C50" s="1043"/>
      <c r="D50" s="880"/>
      <c r="E50" s="953"/>
      <c r="F50" s="883"/>
      <c r="G50" s="882"/>
      <c r="H50" s="1048"/>
      <c r="I50" s="684" t="str">
        <f t="shared" si="0"/>
        <v/>
      </c>
      <c r="J50" s="754">
        <f t="shared" si="1"/>
        <v>0</v>
      </c>
      <c r="K50" s="1252"/>
      <c r="L50" s="1250"/>
      <c r="M50" s="1250"/>
      <c r="N50" s="773" t="str">
        <f t="shared" si="5"/>
        <v/>
      </c>
      <c r="O50" s="774" t="str">
        <f>IF('Set up ~ Config'!$G$32=6,IF(OR($N50=7,$N50=8,$N50=9),1,IF(OR($N50=10,$N50=11,$N50=12),2,IF(OR($N50=1,$N50=2,$N50=3),3,IF(OR($N50=4,$N50=5,$N50=6),4,"")))),IF(OR($N50=9,$N50=10,$N50=11),1,IF(OR($N50=12,$N50=1,$N50=2),2,IF(OR($N50=3,$N50=4,$N50=5),3,IF(OR($N50=6,$N50=7,$N50=8),4,"")))))</f>
        <v/>
      </c>
      <c r="P50" s="40"/>
      <c r="Q50" s="41"/>
      <c r="R50" s="42"/>
      <c r="S50" s="755">
        <f t="shared" si="2"/>
        <v>0</v>
      </c>
      <c r="T50" s="42"/>
      <c r="U50" s="42"/>
      <c r="V50" s="42"/>
      <c r="W50" s="42"/>
      <c r="X50" s="42"/>
      <c r="Y50" s="42"/>
      <c r="Z50" s="42"/>
      <c r="AA50" s="42"/>
      <c r="AB50" s="43"/>
      <c r="AC50" s="44"/>
      <c r="AD50" s="45"/>
      <c r="AE50" s="42"/>
      <c r="AF50" s="42"/>
      <c r="AG50" s="42"/>
      <c r="AH50" s="42"/>
      <c r="AI50" s="43"/>
      <c r="AJ50" s="43"/>
      <c r="AK50" s="42"/>
      <c r="AL50" s="41"/>
      <c r="AM50" s="45"/>
      <c r="AN50" s="42"/>
      <c r="AO50" s="46"/>
      <c r="AP50" s="46"/>
      <c r="AQ50" s="46"/>
      <c r="AR50" s="46"/>
      <c r="AS50" s="46"/>
      <c r="AT50" s="46"/>
      <c r="AU50" s="47"/>
      <c r="AV50" s="45"/>
      <c r="AW50" s="42"/>
      <c r="AX50" s="42"/>
      <c r="AY50" s="42"/>
      <c r="AZ50" s="42"/>
      <c r="BA50" s="42"/>
      <c r="BB50" s="42"/>
      <c r="BC50" s="43"/>
      <c r="BD50" s="44"/>
      <c r="BE50" s="45"/>
      <c r="BF50" s="42"/>
      <c r="BG50" s="42"/>
      <c r="BH50" s="44"/>
      <c r="BI50" s="41"/>
      <c r="BJ50" s="42"/>
      <c r="BK50" s="44"/>
      <c r="BL50" s="45"/>
      <c r="BM50" s="42"/>
      <c r="BN50" s="44"/>
      <c r="BO50" s="893"/>
      <c r="BP50" s="37">
        <f t="shared" si="3"/>
        <v>0</v>
      </c>
    </row>
    <row r="51" spans="1:68" ht="25.5" customHeight="1" x14ac:dyDescent="0.15">
      <c r="A51" s="17">
        <f t="shared" si="4"/>
        <v>36</v>
      </c>
      <c r="B51" s="1042"/>
      <c r="C51" s="1043"/>
      <c r="D51" s="880"/>
      <c r="E51" s="953"/>
      <c r="F51" s="883"/>
      <c r="G51" s="882"/>
      <c r="H51" s="1048"/>
      <c r="I51" s="684" t="str">
        <f t="shared" si="0"/>
        <v/>
      </c>
      <c r="J51" s="754">
        <f t="shared" si="1"/>
        <v>0</v>
      </c>
      <c r="K51" s="1252"/>
      <c r="L51" s="1250"/>
      <c r="M51" s="1250"/>
      <c r="N51" s="773" t="str">
        <f t="shared" si="5"/>
        <v/>
      </c>
      <c r="O51" s="774" t="str">
        <f>IF('Set up ~ Config'!$G$32=6,IF(OR($N51=7,$N51=8,$N51=9),1,IF(OR($N51=10,$N51=11,$N51=12),2,IF(OR($N51=1,$N51=2,$N51=3),3,IF(OR($N51=4,$N51=5,$N51=6),4,"")))),IF(OR($N51=9,$N51=10,$N51=11),1,IF(OR($N51=12,$N51=1,$N51=2),2,IF(OR($N51=3,$N51=4,$N51=5),3,IF(OR($N51=6,$N51=7,$N51=8),4,"")))))</f>
        <v/>
      </c>
      <c r="P51" s="40"/>
      <c r="Q51" s="41"/>
      <c r="R51" s="42"/>
      <c r="S51" s="755">
        <f t="shared" si="2"/>
        <v>0</v>
      </c>
      <c r="T51" s="42"/>
      <c r="U51" s="42"/>
      <c r="V51" s="42"/>
      <c r="W51" s="42"/>
      <c r="X51" s="42"/>
      <c r="Y51" s="42"/>
      <c r="Z51" s="42"/>
      <c r="AA51" s="42"/>
      <c r="AB51" s="43"/>
      <c r="AC51" s="44"/>
      <c r="AD51" s="45"/>
      <c r="AE51" s="42"/>
      <c r="AF51" s="42"/>
      <c r="AG51" s="42"/>
      <c r="AH51" s="42"/>
      <c r="AI51" s="43"/>
      <c r="AJ51" s="43"/>
      <c r="AK51" s="42"/>
      <c r="AL51" s="41"/>
      <c r="AM51" s="45"/>
      <c r="AN51" s="42"/>
      <c r="AO51" s="46"/>
      <c r="AP51" s="46"/>
      <c r="AQ51" s="46"/>
      <c r="AR51" s="46"/>
      <c r="AS51" s="46"/>
      <c r="AT51" s="46"/>
      <c r="AU51" s="47"/>
      <c r="AV51" s="45"/>
      <c r="AW51" s="42"/>
      <c r="AX51" s="42"/>
      <c r="AY51" s="42"/>
      <c r="AZ51" s="42"/>
      <c r="BA51" s="42"/>
      <c r="BB51" s="42"/>
      <c r="BC51" s="43"/>
      <c r="BD51" s="44"/>
      <c r="BE51" s="45"/>
      <c r="BF51" s="42"/>
      <c r="BG51" s="42"/>
      <c r="BH51" s="44"/>
      <c r="BI51" s="41"/>
      <c r="BJ51" s="42"/>
      <c r="BK51" s="44"/>
      <c r="BL51" s="45"/>
      <c r="BM51" s="42"/>
      <c r="BN51" s="44"/>
      <c r="BO51" s="893"/>
      <c r="BP51" s="37">
        <f t="shared" si="3"/>
        <v>0</v>
      </c>
    </row>
    <row r="52" spans="1:68" ht="25.5" customHeight="1" x14ac:dyDescent="0.15">
      <c r="A52" s="17">
        <f t="shared" si="4"/>
        <v>37</v>
      </c>
      <c r="B52" s="1042"/>
      <c r="C52" s="1043"/>
      <c r="D52" s="880"/>
      <c r="E52" s="953"/>
      <c r="F52" s="883"/>
      <c r="G52" s="882"/>
      <c r="H52" s="1048"/>
      <c r="I52" s="684" t="str">
        <f t="shared" si="0"/>
        <v/>
      </c>
      <c r="J52" s="754">
        <f t="shared" si="1"/>
        <v>0</v>
      </c>
      <c r="K52" s="1252"/>
      <c r="L52" s="1250"/>
      <c r="M52" s="1250"/>
      <c r="N52" s="773" t="str">
        <f t="shared" si="5"/>
        <v/>
      </c>
      <c r="O52" s="774" t="str">
        <f>IF('Set up ~ Config'!$G$32=6,IF(OR($N52=7,$N52=8,$N52=9),1,IF(OR($N52=10,$N52=11,$N52=12),2,IF(OR($N52=1,$N52=2,$N52=3),3,IF(OR($N52=4,$N52=5,$N52=6),4,"")))),IF(OR($N52=9,$N52=10,$N52=11),1,IF(OR($N52=12,$N52=1,$N52=2),2,IF(OR($N52=3,$N52=4,$N52=5),3,IF(OR($N52=6,$N52=7,$N52=8),4,"")))))</f>
        <v/>
      </c>
      <c r="P52" s="40"/>
      <c r="Q52" s="41"/>
      <c r="R52" s="42"/>
      <c r="S52" s="755">
        <f t="shared" si="2"/>
        <v>0</v>
      </c>
      <c r="T52" s="42"/>
      <c r="U52" s="42"/>
      <c r="V52" s="42"/>
      <c r="W52" s="42"/>
      <c r="X52" s="42"/>
      <c r="Y52" s="42"/>
      <c r="Z52" s="42"/>
      <c r="AA52" s="42"/>
      <c r="AB52" s="43"/>
      <c r="AC52" s="44"/>
      <c r="AD52" s="45"/>
      <c r="AE52" s="42"/>
      <c r="AF52" s="42"/>
      <c r="AG52" s="42"/>
      <c r="AH52" s="42"/>
      <c r="AI52" s="43"/>
      <c r="AJ52" s="43"/>
      <c r="AK52" s="42"/>
      <c r="AL52" s="41"/>
      <c r="AM52" s="45"/>
      <c r="AN52" s="42"/>
      <c r="AO52" s="46"/>
      <c r="AP52" s="46"/>
      <c r="AQ52" s="46"/>
      <c r="AR52" s="46"/>
      <c r="AS52" s="46"/>
      <c r="AT52" s="46"/>
      <c r="AU52" s="47"/>
      <c r="AV52" s="45"/>
      <c r="AW52" s="42"/>
      <c r="AX52" s="42"/>
      <c r="AY52" s="42"/>
      <c r="AZ52" s="42"/>
      <c r="BA52" s="42"/>
      <c r="BB52" s="42"/>
      <c r="BC52" s="43"/>
      <c r="BD52" s="44"/>
      <c r="BE52" s="45"/>
      <c r="BF52" s="42"/>
      <c r="BG52" s="42"/>
      <c r="BH52" s="44"/>
      <c r="BI52" s="41"/>
      <c r="BJ52" s="42"/>
      <c r="BK52" s="44"/>
      <c r="BL52" s="45"/>
      <c r="BM52" s="42"/>
      <c r="BN52" s="44"/>
      <c r="BO52" s="893"/>
      <c r="BP52" s="37">
        <f t="shared" si="3"/>
        <v>0</v>
      </c>
    </row>
    <row r="53" spans="1:68" ht="25.5" customHeight="1" x14ac:dyDescent="0.15">
      <c r="A53" s="17">
        <f t="shared" si="4"/>
        <v>38</v>
      </c>
      <c r="B53" s="1042"/>
      <c r="C53" s="1043"/>
      <c r="D53" s="880"/>
      <c r="E53" s="953"/>
      <c r="F53" s="883"/>
      <c r="G53" s="882"/>
      <c r="H53" s="1048"/>
      <c r="I53" s="684" t="str">
        <f t="shared" si="0"/>
        <v/>
      </c>
      <c r="J53" s="754">
        <f t="shared" si="1"/>
        <v>0</v>
      </c>
      <c r="K53" s="1252"/>
      <c r="L53" s="1250"/>
      <c r="M53" s="1250"/>
      <c r="N53" s="773" t="str">
        <f t="shared" si="5"/>
        <v/>
      </c>
      <c r="O53" s="774" t="str">
        <f>IF('Set up ~ Config'!$G$32=6,IF(OR($N53=7,$N53=8,$N53=9),1,IF(OR($N53=10,$N53=11,$N53=12),2,IF(OR($N53=1,$N53=2,$N53=3),3,IF(OR($N53=4,$N53=5,$N53=6),4,"")))),IF(OR($N53=9,$N53=10,$N53=11),1,IF(OR($N53=12,$N53=1,$N53=2),2,IF(OR($N53=3,$N53=4,$N53=5),3,IF(OR($N53=6,$N53=7,$N53=8),4,"")))))</f>
        <v/>
      </c>
      <c r="P53" s="40"/>
      <c r="Q53" s="41"/>
      <c r="R53" s="42"/>
      <c r="S53" s="755">
        <f t="shared" si="2"/>
        <v>0</v>
      </c>
      <c r="T53" s="42"/>
      <c r="U53" s="42"/>
      <c r="V53" s="42"/>
      <c r="W53" s="42"/>
      <c r="X53" s="42"/>
      <c r="Y53" s="42"/>
      <c r="Z53" s="42"/>
      <c r="AA53" s="42"/>
      <c r="AB53" s="43"/>
      <c r="AC53" s="44"/>
      <c r="AD53" s="45"/>
      <c r="AE53" s="42"/>
      <c r="AF53" s="42"/>
      <c r="AG53" s="42"/>
      <c r="AH53" s="42"/>
      <c r="AI53" s="43"/>
      <c r="AJ53" s="43"/>
      <c r="AK53" s="42"/>
      <c r="AL53" s="41"/>
      <c r="AM53" s="45"/>
      <c r="AN53" s="42"/>
      <c r="AO53" s="46"/>
      <c r="AP53" s="46"/>
      <c r="AQ53" s="46"/>
      <c r="AR53" s="46"/>
      <c r="AS53" s="46"/>
      <c r="AT53" s="46"/>
      <c r="AU53" s="47"/>
      <c r="AV53" s="45"/>
      <c r="AW53" s="42"/>
      <c r="AX53" s="42"/>
      <c r="AY53" s="42"/>
      <c r="AZ53" s="42"/>
      <c r="BA53" s="42"/>
      <c r="BB53" s="42"/>
      <c r="BC53" s="43"/>
      <c r="BD53" s="44"/>
      <c r="BE53" s="45"/>
      <c r="BF53" s="42"/>
      <c r="BG53" s="42"/>
      <c r="BH53" s="44"/>
      <c r="BI53" s="41"/>
      <c r="BJ53" s="42"/>
      <c r="BK53" s="44"/>
      <c r="BL53" s="45"/>
      <c r="BM53" s="42"/>
      <c r="BN53" s="44"/>
      <c r="BO53" s="893"/>
      <c r="BP53" s="37">
        <f t="shared" si="3"/>
        <v>0</v>
      </c>
    </row>
    <row r="54" spans="1:68" ht="25.5" customHeight="1" x14ac:dyDescent="0.15">
      <c r="A54" s="17">
        <f t="shared" si="4"/>
        <v>39</v>
      </c>
      <c r="B54" s="1042"/>
      <c r="C54" s="1043"/>
      <c r="D54" s="880"/>
      <c r="E54" s="953"/>
      <c r="F54" s="883"/>
      <c r="G54" s="882"/>
      <c r="H54" s="1048"/>
      <c r="I54" s="684" t="str">
        <f t="shared" si="0"/>
        <v/>
      </c>
      <c r="J54" s="754">
        <f t="shared" si="1"/>
        <v>0</v>
      </c>
      <c r="K54" s="1252"/>
      <c r="L54" s="1250"/>
      <c r="M54" s="1250"/>
      <c r="N54" s="773" t="str">
        <f t="shared" si="5"/>
        <v/>
      </c>
      <c r="O54" s="774" t="str">
        <f>IF('Set up ~ Config'!$G$32=6,IF(OR($N54=7,$N54=8,$N54=9),1,IF(OR($N54=10,$N54=11,$N54=12),2,IF(OR($N54=1,$N54=2,$N54=3),3,IF(OR($N54=4,$N54=5,$N54=6),4,"")))),IF(OR($N54=9,$N54=10,$N54=11),1,IF(OR($N54=12,$N54=1,$N54=2),2,IF(OR($N54=3,$N54=4,$N54=5),3,IF(OR($N54=6,$N54=7,$N54=8),4,"")))))</f>
        <v/>
      </c>
      <c r="P54" s="40"/>
      <c r="Q54" s="41"/>
      <c r="R54" s="42"/>
      <c r="S54" s="755">
        <f t="shared" si="2"/>
        <v>0</v>
      </c>
      <c r="T54" s="42"/>
      <c r="U54" s="42"/>
      <c r="V54" s="42"/>
      <c r="W54" s="42"/>
      <c r="X54" s="42"/>
      <c r="Y54" s="42"/>
      <c r="Z54" s="42"/>
      <c r="AA54" s="42"/>
      <c r="AB54" s="43"/>
      <c r="AC54" s="44"/>
      <c r="AD54" s="45"/>
      <c r="AE54" s="42"/>
      <c r="AF54" s="42"/>
      <c r="AG54" s="42"/>
      <c r="AH54" s="42"/>
      <c r="AI54" s="43"/>
      <c r="AJ54" s="43"/>
      <c r="AK54" s="42"/>
      <c r="AL54" s="41"/>
      <c r="AM54" s="45"/>
      <c r="AN54" s="42"/>
      <c r="AO54" s="46"/>
      <c r="AP54" s="46"/>
      <c r="AQ54" s="46"/>
      <c r="AR54" s="46"/>
      <c r="AS54" s="46"/>
      <c r="AT54" s="46"/>
      <c r="AU54" s="47"/>
      <c r="AV54" s="45"/>
      <c r="AW54" s="42"/>
      <c r="AX54" s="42"/>
      <c r="AY54" s="42"/>
      <c r="AZ54" s="42"/>
      <c r="BA54" s="42"/>
      <c r="BB54" s="42"/>
      <c r="BC54" s="43"/>
      <c r="BD54" s="44"/>
      <c r="BE54" s="45"/>
      <c r="BF54" s="42"/>
      <c r="BG54" s="42"/>
      <c r="BH54" s="44"/>
      <c r="BI54" s="41"/>
      <c r="BJ54" s="42"/>
      <c r="BK54" s="44"/>
      <c r="BL54" s="45"/>
      <c r="BM54" s="42"/>
      <c r="BN54" s="44"/>
      <c r="BO54" s="893"/>
      <c r="BP54" s="37">
        <f t="shared" si="3"/>
        <v>0</v>
      </c>
    </row>
    <row r="55" spans="1:68" ht="25.5" customHeight="1" x14ac:dyDescent="0.15">
      <c r="A55" s="17">
        <f t="shared" si="4"/>
        <v>40</v>
      </c>
      <c r="B55" s="1042"/>
      <c r="C55" s="1043"/>
      <c r="D55" s="880"/>
      <c r="E55" s="953"/>
      <c r="F55" s="883"/>
      <c r="G55" s="882"/>
      <c r="H55" s="1048"/>
      <c r="I55" s="684" t="str">
        <f t="shared" si="0"/>
        <v/>
      </c>
      <c r="J55" s="754">
        <f t="shared" si="1"/>
        <v>0</v>
      </c>
      <c r="K55" s="1252"/>
      <c r="L55" s="1250"/>
      <c r="M55" s="1250"/>
      <c r="N55" s="773" t="str">
        <f t="shared" si="5"/>
        <v/>
      </c>
      <c r="O55" s="774" t="str">
        <f>IF('Set up ~ Config'!$G$32=6,IF(OR($N55=7,$N55=8,$N55=9),1,IF(OR($N55=10,$N55=11,$N55=12),2,IF(OR($N55=1,$N55=2,$N55=3),3,IF(OR($N55=4,$N55=5,$N55=6),4,"")))),IF(OR($N55=9,$N55=10,$N55=11),1,IF(OR($N55=12,$N55=1,$N55=2),2,IF(OR($N55=3,$N55=4,$N55=5),3,IF(OR($N55=6,$N55=7,$N55=8),4,"")))))</f>
        <v/>
      </c>
      <c r="P55" s="40"/>
      <c r="Q55" s="41"/>
      <c r="R55" s="42"/>
      <c r="S55" s="755">
        <f t="shared" si="2"/>
        <v>0</v>
      </c>
      <c r="T55" s="42"/>
      <c r="U55" s="42"/>
      <c r="V55" s="42"/>
      <c r="W55" s="42"/>
      <c r="X55" s="42"/>
      <c r="Y55" s="42"/>
      <c r="Z55" s="42"/>
      <c r="AA55" s="42"/>
      <c r="AB55" s="43"/>
      <c r="AC55" s="44"/>
      <c r="AD55" s="45"/>
      <c r="AE55" s="42"/>
      <c r="AF55" s="42"/>
      <c r="AG55" s="42"/>
      <c r="AH55" s="42"/>
      <c r="AI55" s="43"/>
      <c r="AJ55" s="43"/>
      <c r="AK55" s="42"/>
      <c r="AL55" s="41"/>
      <c r="AM55" s="45"/>
      <c r="AN55" s="42"/>
      <c r="AO55" s="46"/>
      <c r="AP55" s="46"/>
      <c r="AQ55" s="46"/>
      <c r="AR55" s="46"/>
      <c r="AS55" s="46"/>
      <c r="AT55" s="46"/>
      <c r="AU55" s="47"/>
      <c r="AV55" s="45"/>
      <c r="AW55" s="42"/>
      <c r="AX55" s="42"/>
      <c r="AY55" s="42"/>
      <c r="AZ55" s="42"/>
      <c r="BA55" s="42"/>
      <c r="BB55" s="42"/>
      <c r="BC55" s="43"/>
      <c r="BD55" s="44"/>
      <c r="BE55" s="45"/>
      <c r="BF55" s="42"/>
      <c r="BG55" s="42"/>
      <c r="BH55" s="44"/>
      <c r="BI55" s="41"/>
      <c r="BJ55" s="42"/>
      <c r="BK55" s="44"/>
      <c r="BL55" s="45"/>
      <c r="BM55" s="42"/>
      <c r="BN55" s="44"/>
      <c r="BO55" s="893"/>
      <c r="BP55" s="37">
        <f t="shared" si="3"/>
        <v>0</v>
      </c>
    </row>
    <row r="56" spans="1:68" ht="25.5" customHeight="1" x14ac:dyDescent="0.15">
      <c r="A56" s="17">
        <f t="shared" si="4"/>
        <v>41</v>
      </c>
      <c r="B56" s="1042"/>
      <c r="C56" s="1043"/>
      <c r="D56" s="880"/>
      <c r="E56" s="953"/>
      <c r="F56" s="883"/>
      <c r="G56" s="882"/>
      <c r="H56" s="1048"/>
      <c r="I56" s="684" t="str">
        <f t="shared" si="0"/>
        <v/>
      </c>
      <c r="J56" s="754">
        <f t="shared" si="1"/>
        <v>0</v>
      </c>
      <c r="K56" s="1252"/>
      <c r="L56" s="1250"/>
      <c r="M56" s="1250"/>
      <c r="N56" s="773" t="str">
        <f t="shared" si="5"/>
        <v/>
      </c>
      <c r="O56" s="774" t="str">
        <f>IF('Set up ~ Config'!$G$32=6,IF(OR($N56=7,$N56=8,$N56=9),1,IF(OR($N56=10,$N56=11,$N56=12),2,IF(OR($N56=1,$N56=2,$N56=3),3,IF(OR($N56=4,$N56=5,$N56=6),4,"")))),IF(OR($N56=9,$N56=10,$N56=11),1,IF(OR($N56=12,$N56=1,$N56=2),2,IF(OR($N56=3,$N56=4,$N56=5),3,IF(OR($N56=6,$N56=7,$N56=8),4,"")))))</f>
        <v/>
      </c>
      <c r="P56" s="40"/>
      <c r="Q56" s="41"/>
      <c r="R56" s="42"/>
      <c r="S56" s="755">
        <f t="shared" si="2"/>
        <v>0</v>
      </c>
      <c r="T56" s="42"/>
      <c r="U56" s="42"/>
      <c r="V56" s="42"/>
      <c r="W56" s="42"/>
      <c r="X56" s="42"/>
      <c r="Y56" s="42"/>
      <c r="Z56" s="42"/>
      <c r="AA56" s="42"/>
      <c r="AB56" s="43"/>
      <c r="AC56" s="44"/>
      <c r="AD56" s="45"/>
      <c r="AE56" s="42"/>
      <c r="AF56" s="42"/>
      <c r="AG56" s="42"/>
      <c r="AH56" s="42"/>
      <c r="AI56" s="43"/>
      <c r="AJ56" s="43"/>
      <c r="AK56" s="42"/>
      <c r="AL56" s="41"/>
      <c r="AM56" s="45"/>
      <c r="AN56" s="42"/>
      <c r="AO56" s="46"/>
      <c r="AP56" s="46"/>
      <c r="AQ56" s="46"/>
      <c r="AR56" s="46"/>
      <c r="AS56" s="46"/>
      <c r="AT56" s="46"/>
      <c r="AU56" s="47"/>
      <c r="AV56" s="45"/>
      <c r="AW56" s="42"/>
      <c r="AX56" s="42"/>
      <c r="AY56" s="42"/>
      <c r="AZ56" s="42"/>
      <c r="BA56" s="42"/>
      <c r="BB56" s="42"/>
      <c r="BC56" s="43"/>
      <c r="BD56" s="44"/>
      <c r="BE56" s="45"/>
      <c r="BF56" s="42"/>
      <c r="BG56" s="42"/>
      <c r="BH56" s="44"/>
      <c r="BI56" s="41"/>
      <c r="BJ56" s="42"/>
      <c r="BK56" s="44"/>
      <c r="BL56" s="45"/>
      <c r="BM56" s="42"/>
      <c r="BN56" s="44"/>
      <c r="BO56" s="893"/>
      <c r="BP56" s="37">
        <f t="shared" si="3"/>
        <v>0</v>
      </c>
    </row>
    <row r="57" spans="1:68" ht="25.5" customHeight="1" x14ac:dyDescent="0.15">
      <c r="A57" s="17">
        <f t="shared" si="4"/>
        <v>42</v>
      </c>
      <c r="B57" s="1042"/>
      <c r="C57" s="1043"/>
      <c r="D57" s="880"/>
      <c r="E57" s="953"/>
      <c r="F57" s="883"/>
      <c r="G57" s="882"/>
      <c r="H57" s="1048"/>
      <c r="I57" s="684" t="str">
        <f t="shared" si="0"/>
        <v/>
      </c>
      <c r="J57" s="754">
        <f t="shared" si="1"/>
        <v>0</v>
      </c>
      <c r="K57" s="1252"/>
      <c r="L57" s="1250"/>
      <c r="M57" s="1250"/>
      <c r="N57" s="773" t="str">
        <f t="shared" si="5"/>
        <v/>
      </c>
      <c r="O57" s="774" t="str">
        <f>IF('Set up ~ Config'!$G$32=6,IF(OR($N57=7,$N57=8,$N57=9),1,IF(OR($N57=10,$N57=11,$N57=12),2,IF(OR($N57=1,$N57=2,$N57=3),3,IF(OR($N57=4,$N57=5,$N57=6),4,"")))),IF(OR($N57=9,$N57=10,$N57=11),1,IF(OR($N57=12,$N57=1,$N57=2),2,IF(OR($N57=3,$N57=4,$N57=5),3,IF(OR($N57=6,$N57=7,$N57=8),4,"")))))</f>
        <v/>
      </c>
      <c r="P57" s="40"/>
      <c r="Q57" s="41"/>
      <c r="R57" s="42"/>
      <c r="S57" s="755">
        <f t="shared" si="2"/>
        <v>0</v>
      </c>
      <c r="T57" s="42"/>
      <c r="U57" s="42"/>
      <c r="V57" s="42"/>
      <c r="W57" s="42"/>
      <c r="X57" s="42"/>
      <c r="Y57" s="42"/>
      <c r="Z57" s="42"/>
      <c r="AA57" s="42"/>
      <c r="AB57" s="43"/>
      <c r="AC57" s="44"/>
      <c r="AD57" s="45"/>
      <c r="AE57" s="42"/>
      <c r="AF57" s="42"/>
      <c r="AG57" s="42"/>
      <c r="AH57" s="42"/>
      <c r="AI57" s="43"/>
      <c r="AJ57" s="43"/>
      <c r="AK57" s="42"/>
      <c r="AL57" s="41"/>
      <c r="AM57" s="45"/>
      <c r="AN57" s="42"/>
      <c r="AO57" s="46"/>
      <c r="AP57" s="46"/>
      <c r="AQ57" s="46"/>
      <c r="AR57" s="46"/>
      <c r="AS57" s="46"/>
      <c r="AT57" s="46"/>
      <c r="AU57" s="47"/>
      <c r="AV57" s="45"/>
      <c r="AW57" s="42"/>
      <c r="AX57" s="42"/>
      <c r="AY57" s="42"/>
      <c r="AZ57" s="42"/>
      <c r="BA57" s="42"/>
      <c r="BB57" s="42"/>
      <c r="BC57" s="43"/>
      <c r="BD57" s="44"/>
      <c r="BE57" s="45"/>
      <c r="BF57" s="42"/>
      <c r="BG57" s="42"/>
      <c r="BH57" s="44"/>
      <c r="BI57" s="41"/>
      <c r="BJ57" s="42"/>
      <c r="BK57" s="44"/>
      <c r="BL57" s="45"/>
      <c r="BM57" s="42"/>
      <c r="BN57" s="44"/>
      <c r="BO57" s="893"/>
      <c r="BP57" s="37">
        <f t="shared" si="3"/>
        <v>0</v>
      </c>
    </row>
    <row r="58" spans="1:68" ht="25.5" customHeight="1" x14ac:dyDescent="0.15">
      <c r="A58" s="17">
        <f t="shared" si="4"/>
        <v>43</v>
      </c>
      <c r="B58" s="1042"/>
      <c r="C58" s="1043"/>
      <c r="D58" s="880"/>
      <c r="E58" s="953"/>
      <c r="F58" s="883"/>
      <c r="G58" s="882"/>
      <c r="H58" s="1048"/>
      <c r="I58" s="684" t="str">
        <f t="shared" si="0"/>
        <v/>
      </c>
      <c r="J58" s="754">
        <f t="shared" si="1"/>
        <v>0</v>
      </c>
      <c r="K58" s="1252"/>
      <c r="L58" s="1250"/>
      <c r="M58" s="1250"/>
      <c r="N58" s="773" t="str">
        <f t="shared" si="5"/>
        <v/>
      </c>
      <c r="O58" s="774" t="str">
        <f>IF('Set up ~ Config'!$G$32=6,IF(OR($N58=7,$N58=8,$N58=9),1,IF(OR($N58=10,$N58=11,$N58=12),2,IF(OR($N58=1,$N58=2,$N58=3),3,IF(OR($N58=4,$N58=5,$N58=6),4,"")))),IF(OR($N58=9,$N58=10,$N58=11),1,IF(OR($N58=12,$N58=1,$N58=2),2,IF(OR($N58=3,$N58=4,$N58=5),3,IF(OR($N58=6,$N58=7,$N58=8),4,"")))))</f>
        <v/>
      </c>
      <c r="P58" s="40"/>
      <c r="Q58" s="41"/>
      <c r="R58" s="42"/>
      <c r="S58" s="755">
        <f t="shared" si="2"/>
        <v>0</v>
      </c>
      <c r="T58" s="42"/>
      <c r="U58" s="42"/>
      <c r="V58" s="42"/>
      <c r="W58" s="42"/>
      <c r="X58" s="42"/>
      <c r="Y58" s="42"/>
      <c r="Z58" s="42"/>
      <c r="AA58" s="42"/>
      <c r="AB58" s="43"/>
      <c r="AC58" s="44"/>
      <c r="AD58" s="45"/>
      <c r="AE58" s="42"/>
      <c r="AF58" s="42"/>
      <c r="AG58" s="42"/>
      <c r="AH58" s="42"/>
      <c r="AI58" s="43"/>
      <c r="AJ58" s="43"/>
      <c r="AK58" s="42"/>
      <c r="AL58" s="41"/>
      <c r="AM58" s="45"/>
      <c r="AN58" s="42"/>
      <c r="AO58" s="46"/>
      <c r="AP58" s="46"/>
      <c r="AQ58" s="46"/>
      <c r="AR58" s="46"/>
      <c r="AS58" s="46"/>
      <c r="AT58" s="46"/>
      <c r="AU58" s="47"/>
      <c r="AV58" s="45"/>
      <c r="AW58" s="42"/>
      <c r="AX58" s="42"/>
      <c r="AY58" s="42"/>
      <c r="AZ58" s="42"/>
      <c r="BA58" s="42"/>
      <c r="BB58" s="42"/>
      <c r="BC58" s="43"/>
      <c r="BD58" s="44"/>
      <c r="BE58" s="45"/>
      <c r="BF58" s="42"/>
      <c r="BG58" s="42"/>
      <c r="BH58" s="44"/>
      <c r="BI58" s="41"/>
      <c r="BJ58" s="42"/>
      <c r="BK58" s="44"/>
      <c r="BL58" s="45"/>
      <c r="BM58" s="42"/>
      <c r="BN58" s="44"/>
      <c r="BO58" s="893"/>
      <c r="BP58" s="37">
        <f t="shared" si="3"/>
        <v>0</v>
      </c>
    </row>
    <row r="59" spans="1:68" ht="25.5" customHeight="1" x14ac:dyDescent="0.15">
      <c r="A59" s="17">
        <f t="shared" si="4"/>
        <v>44</v>
      </c>
      <c r="B59" s="1042"/>
      <c r="C59" s="1043"/>
      <c r="D59" s="880"/>
      <c r="E59" s="953"/>
      <c r="F59" s="884"/>
      <c r="G59" s="882"/>
      <c r="H59" s="1048"/>
      <c r="I59" s="684" t="str">
        <f t="shared" si="0"/>
        <v/>
      </c>
      <c r="J59" s="754">
        <f t="shared" si="1"/>
        <v>0</v>
      </c>
      <c r="K59" s="1252"/>
      <c r="L59" s="1250"/>
      <c r="M59" s="1250"/>
      <c r="N59" s="773" t="str">
        <f t="shared" si="5"/>
        <v/>
      </c>
      <c r="O59" s="774" t="str">
        <f>IF('Set up ~ Config'!$G$32=6,IF(OR($N59=7,$N59=8,$N59=9),1,IF(OR($N59=10,$N59=11,$N59=12),2,IF(OR($N59=1,$N59=2,$N59=3),3,IF(OR($N59=4,$N59=5,$N59=6),4,"")))),IF(OR($N59=9,$N59=10,$N59=11),1,IF(OR($N59=12,$N59=1,$N59=2),2,IF(OR($N59=3,$N59=4,$N59=5),3,IF(OR($N59=6,$N59=7,$N59=8),4,"")))))</f>
        <v/>
      </c>
      <c r="P59" s="40"/>
      <c r="Q59" s="41"/>
      <c r="R59" s="42"/>
      <c r="S59" s="755">
        <f t="shared" si="2"/>
        <v>0</v>
      </c>
      <c r="T59" s="42"/>
      <c r="U59" s="42"/>
      <c r="V59" s="42"/>
      <c r="W59" s="42"/>
      <c r="X59" s="42"/>
      <c r="Y59" s="42"/>
      <c r="Z59" s="42"/>
      <c r="AA59" s="42"/>
      <c r="AB59" s="43"/>
      <c r="AC59" s="44"/>
      <c r="AD59" s="45"/>
      <c r="AE59" s="42"/>
      <c r="AF59" s="42"/>
      <c r="AG59" s="42"/>
      <c r="AH59" s="42"/>
      <c r="AI59" s="43"/>
      <c r="AJ59" s="43"/>
      <c r="AK59" s="42"/>
      <c r="AL59" s="41"/>
      <c r="AM59" s="45"/>
      <c r="AN59" s="42"/>
      <c r="AO59" s="46"/>
      <c r="AP59" s="46"/>
      <c r="AQ59" s="46"/>
      <c r="AR59" s="46"/>
      <c r="AS59" s="46"/>
      <c r="AT59" s="46"/>
      <c r="AU59" s="47"/>
      <c r="AV59" s="45"/>
      <c r="AW59" s="42"/>
      <c r="AX59" s="42"/>
      <c r="AY59" s="42"/>
      <c r="AZ59" s="42"/>
      <c r="BA59" s="42"/>
      <c r="BB59" s="42"/>
      <c r="BC59" s="43"/>
      <c r="BD59" s="44"/>
      <c r="BE59" s="45"/>
      <c r="BF59" s="42"/>
      <c r="BG59" s="42"/>
      <c r="BH59" s="44"/>
      <c r="BI59" s="41"/>
      <c r="BJ59" s="42"/>
      <c r="BK59" s="44"/>
      <c r="BL59" s="45"/>
      <c r="BM59" s="42"/>
      <c r="BN59" s="44"/>
      <c r="BO59" s="893"/>
      <c r="BP59" s="37">
        <f t="shared" si="3"/>
        <v>0</v>
      </c>
    </row>
    <row r="60" spans="1:68" ht="25.5" customHeight="1" x14ac:dyDescent="0.15">
      <c r="A60" s="17">
        <f t="shared" si="4"/>
        <v>45</v>
      </c>
      <c r="B60" s="1042"/>
      <c r="C60" s="1043"/>
      <c r="D60" s="880"/>
      <c r="E60" s="953"/>
      <c r="F60" s="883"/>
      <c r="G60" s="882"/>
      <c r="H60" s="1048"/>
      <c r="I60" s="684" t="str">
        <f t="shared" si="0"/>
        <v/>
      </c>
      <c r="J60" s="754">
        <f t="shared" si="1"/>
        <v>0</v>
      </c>
      <c r="K60" s="1252"/>
      <c r="L60" s="1250"/>
      <c r="M60" s="1250"/>
      <c r="N60" s="773" t="str">
        <f t="shared" si="5"/>
        <v/>
      </c>
      <c r="O60" s="774" t="str">
        <f>IF('Set up ~ Config'!$G$32=6,IF(OR($N60=7,$N60=8,$N60=9),1,IF(OR($N60=10,$N60=11,$N60=12),2,IF(OR($N60=1,$N60=2,$N60=3),3,IF(OR($N60=4,$N60=5,$N60=6),4,"")))),IF(OR($N60=9,$N60=10,$N60=11),1,IF(OR($N60=12,$N60=1,$N60=2),2,IF(OR($N60=3,$N60=4,$N60=5),3,IF(OR($N60=6,$N60=7,$N60=8),4,"")))))</f>
        <v/>
      </c>
      <c r="P60" s="40"/>
      <c r="Q60" s="41"/>
      <c r="R60" s="42"/>
      <c r="S60" s="755">
        <f t="shared" si="2"/>
        <v>0</v>
      </c>
      <c r="T60" s="42"/>
      <c r="U60" s="42"/>
      <c r="V60" s="42"/>
      <c r="W60" s="42"/>
      <c r="X60" s="42"/>
      <c r="Y60" s="42"/>
      <c r="Z60" s="42"/>
      <c r="AA60" s="42"/>
      <c r="AB60" s="43"/>
      <c r="AC60" s="44"/>
      <c r="AD60" s="45"/>
      <c r="AE60" s="42"/>
      <c r="AF60" s="42"/>
      <c r="AG60" s="42"/>
      <c r="AH60" s="42"/>
      <c r="AI60" s="43"/>
      <c r="AJ60" s="43"/>
      <c r="AK60" s="42"/>
      <c r="AL60" s="41"/>
      <c r="AM60" s="45"/>
      <c r="AN60" s="42"/>
      <c r="AO60" s="46"/>
      <c r="AP60" s="46"/>
      <c r="AQ60" s="46"/>
      <c r="AR60" s="46"/>
      <c r="AS60" s="46"/>
      <c r="AT60" s="46"/>
      <c r="AU60" s="47"/>
      <c r="AV60" s="45"/>
      <c r="AW60" s="42"/>
      <c r="AX60" s="42"/>
      <c r="AY60" s="42"/>
      <c r="AZ60" s="42"/>
      <c r="BA60" s="42"/>
      <c r="BB60" s="42"/>
      <c r="BC60" s="43"/>
      <c r="BD60" s="44"/>
      <c r="BE60" s="45"/>
      <c r="BF60" s="42"/>
      <c r="BG60" s="42"/>
      <c r="BH60" s="44"/>
      <c r="BI60" s="41"/>
      <c r="BJ60" s="42"/>
      <c r="BK60" s="44"/>
      <c r="BL60" s="45"/>
      <c r="BM60" s="42"/>
      <c r="BN60" s="44"/>
      <c r="BO60" s="893"/>
      <c r="BP60" s="37">
        <f t="shared" si="3"/>
        <v>0</v>
      </c>
    </row>
    <row r="61" spans="1:68" ht="25.5" customHeight="1" x14ac:dyDescent="0.15">
      <c r="A61" s="17">
        <f t="shared" si="4"/>
        <v>46</v>
      </c>
      <c r="B61" s="1042"/>
      <c r="C61" s="1043"/>
      <c r="D61" s="880"/>
      <c r="E61" s="953"/>
      <c r="F61" s="883"/>
      <c r="G61" s="882"/>
      <c r="H61" s="1048"/>
      <c r="I61" s="684" t="str">
        <f t="shared" si="0"/>
        <v/>
      </c>
      <c r="J61" s="754">
        <f t="shared" si="1"/>
        <v>0</v>
      </c>
      <c r="K61" s="1252"/>
      <c r="L61" s="1250"/>
      <c r="M61" s="1250"/>
      <c r="N61" s="773" t="str">
        <f t="shared" si="5"/>
        <v/>
      </c>
      <c r="O61" s="774" t="str">
        <f>IF('Set up ~ Config'!$G$32=6,IF(OR($N61=7,$N61=8,$N61=9),1,IF(OR($N61=10,$N61=11,$N61=12),2,IF(OR($N61=1,$N61=2,$N61=3),3,IF(OR($N61=4,$N61=5,$N61=6),4,"")))),IF(OR($N61=9,$N61=10,$N61=11),1,IF(OR($N61=12,$N61=1,$N61=2),2,IF(OR($N61=3,$N61=4,$N61=5),3,IF(OR($N61=6,$N61=7,$N61=8),4,"")))))</f>
        <v/>
      </c>
      <c r="P61" s="40"/>
      <c r="Q61" s="41"/>
      <c r="R61" s="42"/>
      <c r="S61" s="755">
        <f t="shared" si="2"/>
        <v>0</v>
      </c>
      <c r="T61" s="42"/>
      <c r="U61" s="42"/>
      <c r="V61" s="42"/>
      <c r="W61" s="42"/>
      <c r="X61" s="42"/>
      <c r="Y61" s="42"/>
      <c r="Z61" s="42"/>
      <c r="AA61" s="42"/>
      <c r="AB61" s="43"/>
      <c r="AC61" s="44"/>
      <c r="AD61" s="45"/>
      <c r="AE61" s="42"/>
      <c r="AF61" s="42"/>
      <c r="AG61" s="42"/>
      <c r="AH61" s="42"/>
      <c r="AI61" s="43"/>
      <c r="AJ61" s="43"/>
      <c r="AK61" s="42"/>
      <c r="AL61" s="41"/>
      <c r="AM61" s="45"/>
      <c r="AN61" s="42"/>
      <c r="AO61" s="46"/>
      <c r="AP61" s="46"/>
      <c r="AQ61" s="46"/>
      <c r="AR61" s="46"/>
      <c r="AS61" s="46"/>
      <c r="AT61" s="46"/>
      <c r="AU61" s="47"/>
      <c r="AV61" s="45"/>
      <c r="AW61" s="42"/>
      <c r="AX61" s="42"/>
      <c r="AY61" s="42"/>
      <c r="AZ61" s="42"/>
      <c r="BA61" s="42"/>
      <c r="BB61" s="42"/>
      <c r="BC61" s="43"/>
      <c r="BD61" s="44"/>
      <c r="BE61" s="45"/>
      <c r="BF61" s="42"/>
      <c r="BG61" s="42"/>
      <c r="BH61" s="44"/>
      <c r="BI61" s="41"/>
      <c r="BJ61" s="42"/>
      <c r="BK61" s="44"/>
      <c r="BL61" s="45"/>
      <c r="BM61" s="42"/>
      <c r="BN61" s="44"/>
      <c r="BO61" s="893"/>
      <c r="BP61" s="37">
        <f t="shared" si="3"/>
        <v>0</v>
      </c>
    </row>
    <row r="62" spans="1:68" ht="25.5" customHeight="1" x14ac:dyDescent="0.15">
      <c r="A62" s="17">
        <f t="shared" si="4"/>
        <v>47</v>
      </c>
      <c r="B62" s="1042"/>
      <c r="C62" s="1043"/>
      <c r="D62" s="880"/>
      <c r="E62" s="953"/>
      <c r="F62" s="883"/>
      <c r="G62" s="882"/>
      <c r="H62" s="1048"/>
      <c r="I62" s="684" t="str">
        <f t="shared" si="0"/>
        <v/>
      </c>
      <c r="J62" s="754">
        <f t="shared" si="1"/>
        <v>0</v>
      </c>
      <c r="K62" s="1252"/>
      <c r="L62" s="1250"/>
      <c r="M62" s="1250"/>
      <c r="N62" s="773" t="str">
        <f t="shared" si="5"/>
        <v/>
      </c>
      <c r="O62" s="774" t="str">
        <f>IF('Set up ~ Config'!$G$32=6,IF(OR($N62=7,$N62=8,$N62=9),1,IF(OR($N62=10,$N62=11,$N62=12),2,IF(OR($N62=1,$N62=2,$N62=3),3,IF(OR($N62=4,$N62=5,$N62=6),4,"")))),IF(OR($N62=9,$N62=10,$N62=11),1,IF(OR($N62=12,$N62=1,$N62=2),2,IF(OR($N62=3,$N62=4,$N62=5),3,IF(OR($N62=6,$N62=7,$N62=8),4,"")))))</f>
        <v/>
      </c>
      <c r="P62" s="40"/>
      <c r="Q62" s="41"/>
      <c r="R62" s="42"/>
      <c r="S62" s="755">
        <f t="shared" si="2"/>
        <v>0</v>
      </c>
      <c r="T62" s="42"/>
      <c r="U62" s="42"/>
      <c r="V62" s="42"/>
      <c r="W62" s="42"/>
      <c r="X62" s="42"/>
      <c r="Y62" s="42"/>
      <c r="Z62" s="42"/>
      <c r="AA62" s="42"/>
      <c r="AB62" s="43"/>
      <c r="AC62" s="44"/>
      <c r="AD62" s="45"/>
      <c r="AE62" s="42"/>
      <c r="AF62" s="42"/>
      <c r="AG62" s="42"/>
      <c r="AH62" s="42"/>
      <c r="AI62" s="43"/>
      <c r="AJ62" s="43"/>
      <c r="AK62" s="42"/>
      <c r="AL62" s="41"/>
      <c r="AM62" s="45"/>
      <c r="AN62" s="42"/>
      <c r="AO62" s="46"/>
      <c r="AP62" s="46"/>
      <c r="AQ62" s="46"/>
      <c r="AR62" s="46"/>
      <c r="AS62" s="46"/>
      <c r="AT62" s="46"/>
      <c r="AU62" s="47"/>
      <c r="AV62" s="45"/>
      <c r="AW62" s="42"/>
      <c r="AX62" s="42"/>
      <c r="AY62" s="42"/>
      <c r="AZ62" s="42"/>
      <c r="BA62" s="42"/>
      <c r="BB62" s="42"/>
      <c r="BC62" s="43"/>
      <c r="BD62" s="44"/>
      <c r="BE62" s="45"/>
      <c r="BF62" s="42"/>
      <c r="BG62" s="42"/>
      <c r="BH62" s="44"/>
      <c r="BI62" s="41"/>
      <c r="BJ62" s="42"/>
      <c r="BK62" s="44"/>
      <c r="BL62" s="45"/>
      <c r="BM62" s="42"/>
      <c r="BN62" s="44"/>
      <c r="BO62" s="893"/>
      <c r="BP62" s="37">
        <f t="shared" si="3"/>
        <v>0</v>
      </c>
    </row>
    <row r="63" spans="1:68" ht="25.5" customHeight="1" x14ac:dyDescent="0.15">
      <c r="A63" s="17">
        <f t="shared" si="4"/>
        <v>48</v>
      </c>
      <c r="B63" s="1042"/>
      <c r="C63" s="1043"/>
      <c r="D63" s="880"/>
      <c r="E63" s="953"/>
      <c r="F63" s="883"/>
      <c r="G63" s="882"/>
      <c r="H63" s="1048"/>
      <c r="I63" s="684" t="str">
        <f t="shared" si="0"/>
        <v/>
      </c>
      <c r="J63" s="754">
        <f t="shared" si="1"/>
        <v>0</v>
      </c>
      <c r="K63" s="1252"/>
      <c r="L63" s="1250"/>
      <c r="M63" s="1250"/>
      <c r="N63" s="773" t="str">
        <f t="shared" si="5"/>
        <v/>
      </c>
      <c r="O63" s="774" t="str">
        <f>IF('Set up ~ Config'!$G$32=6,IF(OR($N63=7,$N63=8,$N63=9),1,IF(OR($N63=10,$N63=11,$N63=12),2,IF(OR($N63=1,$N63=2,$N63=3),3,IF(OR($N63=4,$N63=5,$N63=6),4,"")))),IF(OR($N63=9,$N63=10,$N63=11),1,IF(OR($N63=12,$N63=1,$N63=2),2,IF(OR($N63=3,$N63=4,$N63=5),3,IF(OR($N63=6,$N63=7,$N63=8),4,"")))))</f>
        <v/>
      </c>
      <c r="P63" s="40"/>
      <c r="Q63" s="41"/>
      <c r="R63" s="42"/>
      <c r="S63" s="755">
        <f t="shared" si="2"/>
        <v>0</v>
      </c>
      <c r="T63" s="42"/>
      <c r="U63" s="42"/>
      <c r="V63" s="42"/>
      <c r="W63" s="42"/>
      <c r="X63" s="42"/>
      <c r="Y63" s="42"/>
      <c r="Z63" s="42"/>
      <c r="AA63" s="42"/>
      <c r="AB63" s="43"/>
      <c r="AC63" s="44"/>
      <c r="AD63" s="45"/>
      <c r="AE63" s="42"/>
      <c r="AF63" s="42"/>
      <c r="AG63" s="42"/>
      <c r="AH63" s="42"/>
      <c r="AI63" s="43"/>
      <c r="AJ63" s="43"/>
      <c r="AK63" s="42"/>
      <c r="AL63" s="41"/>
      <c r="AM63" s="45"/>
      <c r="AN63" s="42"/>
      <c r="AO63" s="46"/>
      <c r="AP63" s="46"/>
      <c r="AQ63" s="46"/>
      <c r="AR63" s="46"/>
      <c r="AS63" s="46"/>
      <c r="AT63" s="46"/>
      <c r="AU63" s="47"/>
      <c r="AV63" s="45"/>
      <c r="AW63" s="42"/>
      <c r="AX63" s="42"/>
      <c r="AY63" s="42"/>
      <c r="AZ63" s="42"/>
      <c r="BA63" s="42"/>
      <c r="BB63" s="42"/>
      <c r="BC63" s="43"/>
      <c r="BD63" s="44"/>
      <c r="BE63" s="45"/>
      <c r="BF63" s="42"/>
      <c r="BG63" s="42"/>
      <c r="BH63" s="44"/>
      <c r="BI63" s="41"/>
      <c r="BJ63" s="42"/>
      <c r="BK63" s="44"/>
      <c r="BL63" s="45"/>
      <c r="BM63" s="42"/>
      <c r="BN63" s="44"/>
      <c r="BO63" s="893"/>
      <c r="BP63" s="37">
        <f t="shared" si="3"/>
        <v>0</v>
      </c>
    </row>
    <row r="64" spans="1:68" ht="25.5" customHeight="1" x14ac:dyDescent="0.15">
      <c r="A64" s="17">
        <f t="shared" si="4"/>
        <v>49</v>
      </c>
      <c r="B64" s="1042"/>
      <c r="C64" s="1043"/>
      <c r="D64" s="880"/>
      <c r="E64" s="953"/>
      <c r="F64" s="883"/>
      <c r="G64" s="882"/>
      <c r="H64" s="1048"/>
      <c r="I64" s="684" t="str">
        <f t="shared" si="0"/>
        <v/>
      </c>
      <c r="J64" s="754">
        <f t="shared" si="1"/>
        <v>0</v>
      </c>
      <c r="K64" s="1252"/>
      <c r="L64" s="1250"/>
      <c r="M64" s="1250"/>
      <c r="N64" s="773" t="str">
        <f t="shared" si="5"/>
        <v/>
      </c>
      <c r="O64" s="774" t="str">
        <f>IF('Set up ~ Config'!$G$32=6,IF(OR($N64=7,$N64=8,$N64=9),1,IF(OR($N64=10,$N64=11,$N64=12),2,IF(OR($N64=1,$N64=2,$N64=3),3,IF(OR($N64=4,$N64=5,$N64=6),4,"")))),IF(OR($N64=9,$N64=10,$N64=11),1,IF(OR($N64=12,$N64=1,$N64=2),2,IF(OR($N64=3,$N64=4,$N64=5),3,IF(OR($N64=6,$N64=7,$N64=8),4,"")))))</f>
        <v/>
      </c>
      <c r="P64" s="40"/>
      <c r="Q64" s="41"/>
      <c r="R64" s="42"/>
      <c r="S64" s="755">
        <f t="shared" si="2"/>
        <v>0</v>
      </c>
      <c r="T64" s="42"/>
      <c r="U64" s="42"/>
      <c r="V64" s="42"/>
      <c r="W64" s="42"/>
      <c r="X64" s="42"/>
      <c r="Y64" s="42"/>
      <c r="Z64" s="42"/>
      <c r="AA64" s="42"/>
      <c r="AB64" s="43"/>
      <c r="AC64" s="44"/>
      <c r="AD64" s="45"/>
      <c r="AE64" s="42"/>
      <c r="AF64" s="42"/>
      <c r="AG64" s="42"/>
      <c r="AH64" s="42"/>
      <c r="AI64" s="43"/>
      <c r="AJ64" s="43"/>
      <c r="AK64" s="42"/>
      <c r="AL64" s="41"/>
      <c r="AM64" s="45"/>
      <c r="AN64" s="42"/>
      <c r="AO64" s="64"/>
      <c r="AP64" s="46"/>
      <c r="AQ64" s="46"/>
      <c r="AR64" s="46"/>
      <c r="AS64" s="46"/>
      <c r="AT64" s="46"/>
      <c r="AU64" s="47"/>
      <c r="AV64" s="45"/>
      <c r="AW64" s="42"/>
      <c r="AX64" s="42"/>
      <c r="AY64" s="42"/>
      <c r="AZ64" s="42"/>
      <c r="BA64" s="42"/>
      <c r="BB64" s="42"/>
      <c r="BC64" s="43"/>
      <c r="BD64" s="44"/>
      <c r="BE64" s="45"/>
      <c r="BF64" s="42"/>
      <c r="BG64" s="42"/>
      <c r="BH64" s="44"/>
      <c r="BI64" s="41"/>
      <c r="BJ64" s="42"/>
      <c r="BK64" s="44"/>
      <c r="BL64" s="45"/>
      <c r="BM64" s="42"/>
      <c r="BN64" s="44"/>
      <c r="BO64" s="893"/>
      <c r="BP64" s="37">
        <f t="shared" si="3"/>
        <v>0</v>
      </c>
    </row>
    <row r="65" spans="1:68" ht="25.5" customHeight="1" x14ac:dyDescent="0.15">
      <c r="A65" s="17">
        <f t="shared" si="4"/>
        <v>50</v>
      </c>
      <c r="B65" s="1042"/>
      <c r="C65" s="1043"/>
      <c r="D65" s="880"/>
      <c r="E65" s="953"/>
      <c r="F65" s="883"/>
      <c r="G65" s="882"/>
      <c r="H65" s="1048"/>
      <c r="I65" s="684" t="str">
        <f t="shared" si="0"/>
        <v/>
      </c>
      <c r="J65" s="754">
        <f t="shared" si="1"/>
        <v>0</v>
      </c>
      <c r="K65" s="1252"/>
      <c r="L65" s="1250"/>
      <c r="M65" s="1250"/>
      <c r="N65" s="773" t="str">
        <f t="shared" si="5"/>
        <v/>
      </c>
      <c r="O65" s="774" t="str">
        <f>IF('Set up ~ Config'!$G$32=6,IF(OR($N65=7,$N65=8,$N65=9),1,IF(OR($N65=10,$N65=11,$N65=12),2,IF(OR($N65=1,$N65=2,$N65=3),3,IF(OR($N65=4,$N65=5,$N65=6),4,"")))),IF(OR($N65=9,$N65=10,$N65=11),1,IF(OR($N65=12,$N65=1,$N65=2),2,IF(OR($N65=3,$N65=4,$N65=5),3,IF(OR($N65=6,$N65=7,$N65=8),4,"")))))</f>
        <v/>
      </c>
      <c r="P65" s="40"/>
      <c r="Q65" s="41"/>
      <c r="R65" s="42"/>
      <c r="S65" s="755">
        <f t="shared" si="2"/>
        <v>0</v>
      </c>
      <c r="T65" s="42"/>
      <c r="U65" s="42"/>
      <c r="V65" s="42"/>
      <c r="W65" s="42"/>
      <c r="X65" s="42"/>
      <c r="Y65" s="42"/>
      <c r="Z65" s="42"/>
      <c r="AA65" s="42"/>
      <c r="AB65" s="43"/>
      <c r="AC65" s="44"/>
      <c r="AD65" s="45"/>
      <c r="AE65" s="42"/>
      <c r="AF65" s="42"/>
      <c r="AG65" s="42"/>
      <c r="AH65" s="42"/>
      <c r="AI65" s="43"/>
      <c r="AJ65" s="43"/>
      <c r="AK65" s="42"/>
      <c r="AL65" s="41"/>
      <c r="AM65" s="45"/>
      <c r="AN65" s="42"/>
      <c r="AO65" s="58"/>
      <c r="AP65" s="46"/>
      <c r="AQ65" s="46"/>
      <c r="AR65" s="46"/>
      <c r="AS65" s="46"/>
      <c r="AT65" s="46"/>
      <c r="AU65" s="47"/>
      <c r="AV65" s="45"/>
      <c r="AW65" s="42"/>
      <c r="AX65" s="42"/>
      <c r="AY65" s="42"/>
      <c r="AZ65" s="42"/>
      <c r="BA65" s="42"/>
      <c r="BB65" s="42"/>
      <c r="BC65" s="43"/>
      <c r="BD65" s="44"/>
      <c r="BE65" s="45"/>
      <c r="BF65" s="42"/>
      <c r="BG65" s="42"/>
      <c r="BH65" s="44"/>
      <c r="BI65" s="41"/>
      <c r="BJ65" s="42"/>
      <c r="BK65" s="44"/>
      <c r="BL65" s="45"/>
      <c r="BM65" s="42"/>
      <c r="BN65" s="44"/>
      <c r="BO65" s="893"/>
      <c r="BP65" s="37">
        <f t="shared" si="3"/>
        <v>0</v>
      </c>
    </row>
    <row r="66" spans="1:68" ht="25.5" customHeight="1" x14ac:dyDescent="0.15">
      <c r="A66" s="17">
        <f t="shared" si="4"/>
        <v>51</v>
      </c>
      <c r="B66" s="1042"/>
      <c r="C66" s="1043"/>
      <c r="D66" s="880"/>
      <c r="E66" s="953"/>
      <c r="F66" s="883"/>
      <c r="G66" s="882"/>
      <c r="H66" s="1048"/>
      <c r="I66" s="684" t="str">
        <f t="shared" si="0"/>
        <v/>
      </c>
      <c r="J66" s="754">
        <f t="shared" si="1"/>
        <v>0</v>
      </c>
      <c r="K66" s="1252"/>
      <c r="L66" s="1250"/>
      <c r="M66" s="1250"/>
      <c r="N66" s="773" t="str">
        <f t="shared" si="5"/>
        <v/>
      </c>
      <c r="O66" s="774" t="str">
        <f>IF('Set up ~ Config'!$G$32=6,IF(OR($N66=7,$N66=8,$N66=9),1,IF(OR($N66=10,$N66=11,$N66=12),2,IF(OR($N66=1,$N66=2,$N66=3),3,IF(OR($N66=4,$N66=5,$N66=6),4,"")))),IF(OR($N66=9,$N66=10,$N66=11),1,IF(OR($N66=12,$N66=1,$N66=2),2,IF(OR($N66=3,$N66=4,$N66=5),3,IF(OR($N66=6,$N66=7,$N66=8),4,"")))))</f>
        <v/>
      </c>
      <c r="P66" s="40"/>
      <c r="Q66" s="41"/>
      <c r="R66" s="42"/>
      <c r="S66" s="755">
        <f t="shared" si="2"/>
        <v>0</v>
      </c>
      <c r="T66" s="42"/>
      <c r="U66" s="42"/>
      <c r="V66" s="42"/>
      <c r="W66" s="42"/>
      <c r="X66" s="42"/>
      <c r="Y66" s="42"/>
      <c r="Z66" s="42"/>
      <c r="AA66" s="42"/>
      <c r="AB66" s="43"/>
      <c r="AC66" s="44"/>
      <c r="AD66" s="45"/>
      <c r="AE66" s="42"/>
      <c r="AF66" s="42"/>
      <c r="AG66" s="42"/>
      <c r="AH66" s="42"/>
      <c r="AI66" s="43"/>
      <c r="AJ66" s="43"/>
      <c r="AK66" s="42"/>
      <c r="AL66" s="41"/>
      <c r="AM66" s="45"/>
      <c r="AN66" s="42"/>
      <c r="AO66" s="58"/>
      <c r="AP66" s="46"/>
      <c r="AQ66" s="46"/>
      <c r="AR66" s="46"/>
      <c r="AS66" s="46"/>
      <c r="AT66" s="46"/>
      <c r="AU66" s="47"/>
      <c r="AV66" s="45"/>
      <c r="AW66" s="42"/>
      <c r="AX66" s="42"/>
      <c r="AY66" s="42"/>
      <c r="AZ66" s="42"/>
      <c r="BA66" s="42"/>
      <c r="BB66" s="42"/>
      <c r="BC66" s="43"/>
      <c r="BD66" s="44"/>
      <c r="BE66" s="45"/>
      <c r="BF66" s="42"/>
      <c r="BG66" s="42"/>
      <c r="BH66" s="44"/>
      <c r="BI66" s="41"/>
      <c r="BJ66" s="42"/>
      <c r="BK66" s="44"/>
      <c r="BL66" s="45"/>
      <c r="BM66" s="42"/>
      <c r="BN66" s="44"/>
      <c r="BO66" s="893"/>
      <c r="BP66" s="37">
        <f t="shared" si="3"/>
        <v>0</v>
      </c>
    </row>
    <row r="67" spans="1:68" ht="25.5" customHeight="1" x14ac:dyDescent="0.15">
      <c r="A67" s="17">
        <f t="shared" si="4"/>
        <v>52</v>
      </c>
      <c r="B67" s="1042"/>
      <c r="C67" s="1043"/>
      <c r="D67" s="880"/>
      <c r="E67" s="953"/>
      <c r="F67" s="883"/>
      <c r="G67" s="882"/>
      <c r="H67" s="1048"/>
      <c r="I67" s="684" t="str">
        <f t="shared" si="0"/>
        <v/>
      </c>
      <c r="J67" s="754">
        <f t="shared" si="1"/>
        <v>0</v>
      </c>
      <c r="K67" s="1252"/>
      <c r="L67" s="1250"/>
      <c r="M67" s="1250"/>
      <c r="N67" s="773" t="str">
        <f t="shared" si="5"/>
        <v/>
      </c>
      <c r="O67" s="774" t="str">
        <f>IF('Set up ~ Config'!$G$32=6,IF(OR($N67=7,$N67=8,$N67=9),1,IF(OR($N67=10,$N67=11,$N67=12),2,IF(OR($N67=1,$N67=2,$N67=3),3,IF(OR($N67=4,$N67=5,$N67=6),4,"")))),IF(OR($N67=9,$N67=10,$N67=11),1,IF(OR($N67=12,$N67=1,$N67=2),2,IF(OR($N67=3,$N67=4,$N67=5),3,IF(OR($N67=6,$N67=7,$N67=8),4,"")))))</f>
        <v/>
      </c>
      <c r="P67" s="40"/>
      <c r="Q67" s="41"/>
      <c r="R67" s="42"/>
      <c r="S67" s="755">
        <f t="shared" si="2"/>
        <v>0</v>
      </c>
      <c r="T67" s="42"/>
      <c r="U67" s="42"/>
      <c r="V67" s="42"/>
      <c r="W67" s="42"/>
      <c r="X67" s="42"/>
      <c r="Y67" s="42"/>
      <c r="Z67" s="42"/>
      <c r="AA67" s="42"/>
      <c r="AB67" s="43"/>
      <c r="AC67" s="44"/>
      <c r="AD67" s="45"/>
      <c r="AE67" s="42"/>
      <c r="AF67" s="42"/>
      <c r="AG67" s="42"/>
      <c r="AH67" s="42"/>
      <c r="AI67" s="43"/>
      <c r="AJ67" s="43"/>
      <c r="AK67" s="42"/>
      <c r="AL67" s="41"/>
      <c r="AM67" s="45"/>
      <c r="AN67" s="42"/>
      <c r="AO67" s="58"/>
      <c r="AP67" s="46"/>
      <c r="AQ67" s="46"/>
      <c r="AR67" s="46"/>
      <c r="AS67" s="46"/>
      <c r="AT67" s="46"/>
      <c r="AU67" s="47"/>
      <c r="AV67" s="45"/>
      <c r="AW67" s="42"/>
      <c r="AX67" s="42"/>
      <c r="AY67" s="42"/>
      <c r="AZ67" s="42"/>
      <c r="BA67" s="42"/>
      <c r="BB67" s="42"/>
      <c r="BC67" s="43"/>
      <c r="BD67" s="44"/>
      <c r="BE67" s="45"/>
      <c r="BF67" s="42"/>
      <c r="BG67" s="42"/>
      <c r="BH67" s="44"/>
      <c r="BI67" s="41"/>
      <c r="BJ67" s="42"/>
      <c r="BK67" s="44"/>
      <c r="BL67" s="45"/>
      <c r="BM67" s="42"/>
      <c r="BN67" s="44"/>
      <c r="BO67" s="893"/>
      <c r="BP67" s="37">
        <f t="shared" si="3"/>
        <v>0</v>
      </c>
    </row>
    <row r="68" spans="1:68" ht="25.5" customHeight="1" x14ac:dyDescent="0.15">
      <c r="A68" s="17">
        <f t="shared" si="4"/>
        <v>53</v>
      </c>
      <c r="B68" s="1042"/>
      <c r="C68" s="1043"/>
      <c r="D68" s="880"/>
      <c r="E68" s="953"/>
      <c r="F68" s="883"/>
      <c r="G68" s="882"/>
      <c r="H68" s="1048"/>
      <c r="I68" s="684" t="str">
        <f t="shared" si="0"/>
        <v/>
      </c>
      <c r="J68" s="754">
        <f t="shared" si="1"/>
        <v>0</v>
      </c>
      <c r="K68" s="1252"/>
      <c r="L68" s="1250"/>
      <c r="M68" s="1250"/>
      <c r="N68" s="773" t="str">
        <f t="shared" si="5"/>
        <v/>
      </c>
      <c r="O68" s="774" t="str">
        <f>IF('Set up ~ Config'!$G$32=6,IF(OR($N68=7,$N68=8,$N68=9),1,IF(OR($N68=10,$N68=11,$N68=12),2,IF(OR($N68=1,$N68=2,$N68=3),3,IF(OR($N68=4,$N68=5,$N68=6),4,"")))),IF(OR($N68=9,$N68=10,$N68=11),1,IF(OR($N68=12,$N68=1,$N68=2),2,IF(OR($N68=3,$N68=4,$N68=5),3,IF(OR($N68=6,$N68=7,$N68=8),4,"")))))</f>
        <v/>
      </c>
      <c r="P68" s="40"/>
      <c r="Q68" s="41"/>
      <c r="R68" s="42"/>
      <c r="S68" s="755">
        <f t="shared" si="2"/>
        <v>0</v>
      </c>
      <c r="T68" s="42"/>
      <c r="U68" s="42"/>
      <c r="V68" s="42"/>
      <c r="W68" s="42"/>
      <c r="X68" s="42"/>
      <c r="Y68" s="42"/>
      <c r="Z68" s="42"/>
      <c r="AA68" s="42"/>
      <c r="AB68" s="43"/>
      <c r="AC68" s="44"/>
      <c r="AD68" s="45"/>
      <c r="AE68" s="42"/>
      <c r="AF68" s="42"/>
      <c r="AG68" s="42"/>
      <c r="AH68" s="42"/>
      <c r="AI68" s="43"/>
      <c r="AJ68" s="43"/>
      <c r="AK68" s="42"/>
      <c r="AL68" s="41"/>
      <c r="AM68" s="45"/>
      <c r="AN68" s="42"/>
      <c r="AO68" s="58"/>
      <c r="AP68" s="46"/>
      <c r="AQ68" s="46"/>
      <c r="AR68" s="46"/>
      <c r="AS68" s="46"/>
      <c r="AT68" s="46"/>
      <c r="AU68" s="47"/>
      <c r="AV68" s="45"/>
      <c r="AW68" s="42"/>
      <c r="AX68" s="42"/>
      <c r="AY68" s="42"/>
      <c r="AZ68" s="42"/>
      <c r="BA68" s="42"/>
      <c r="BB68" s="42"/>
      <c r="BC68" s="43"/>
      <c r="BD68" s="44"/>
      <c r="BE68" s="45"/>
      <c r="BF68" s="42"/>
      <c r="BG68" s="42"/>
      <c r="BH68" s="44"/>
      <c r="BI68" s="41"/>
      <c r="BJ68" s="42"/>
      <c r="BK68" s="44"/>
      <c r="BL68" s="45"/>
      <c r="BM68" s="42"/>
      <c r="BN68" s="44"/>
      <c r="BO68" s="893"/>
      <c r="BP68" s="37">
        <f t="shared" si="3"/>
        <v>0</v>
      </c>
    </row>
    <row r="69" spans="1:68" ht="25.5" customHeight="1" x14ac:dyDescent="0.15">
      <c r="A69" s="17">
        <f t="shared" si="4"/>
        <v>54</v>
      </c>
      <c r="B69" s="1042"/>
      <c r="C69" s="1043"/>
      <c r="D69" s="880"/>
      <c r="E69" s="953"/>
      <c r="F69" s="883"/>
      <c r="G69" s="882"/>
      <c r="H69" s="1048"/>
      <c r="I69" s="684" t="str">
        <f t="shared" si="0"/>
        <v/>
      </c>
      <c r="J69" s="754">
        <f t="shared" si="1"/>
        <v>0</v>
      </c>
      <c r="K69" s="1252"/>
      <c r="L69" s="1250"/>
      <c r="M69" s="1250"/>
      <c r="N69" s="773" t="str">
        <f t="shared" si="5"/>
        <v/>
      </c>
      <c r="O69" s="774" t="str">
        <f>IF('Set up ~ Config'!$G$32=6,IF(OR($N69=7,$N69=8,$N69=9),1,IF(OR($N69=10,$N69=11,$N69=12),2,IF(OR($N69=1,$N69=2,$N69=3),3,IF(OR($N69=4,$N69=5,$N69=6),4,"")))),IF(OR($N69=9,$N69=10,$N69=11),1,IF(OR($N69=12,$N69=1,$N69=2),2,IF(OR($N69=3,$N69=4,$N69=5),3,IF(OR($N69=6,$N69=7,$N69=8),4,"")))))</f>
        <v/>
      </c>
      <c r="P69" s="40"/>
      <c r="Q69" s="41"/>
      <c r="R69" s="42"/>
      <c r="S69" s="755">
        <f t="shared" si="2"/>
        <v>0</v>
      </c>
      <c r="T69" s="42"/>
      <c r="U69" s="42"/>
      <c r="V69" s="42"/>
      <c r="W69" s="42"/>
      <c r="X69" s="42"/>
      <c r="Y69" s="42"/>
      <c r="Z69" s="42"/>
      <c r="AA69" s="42"/>
      <c r="AB69" s="43"/>
      <c r="AC69" s="44"/>
      <c r="AD69" s="45"/>
      <c r="AE69" s="42"/>
      <c r="AF69" s="42"/>
      <c r="AG69" s="42"/>
      <c r="AH69" s="42"/>
      <c r="AI69" s="43"/>
      <c r="AJ69" s="43"/>
      <c r="AK69" s="42"/>
      <c r="AL69" s="41"/>
      <c r="AM69" s="45"/>
      <c r="AN69" s="42"/>
      <c r="AO69" s="58"/>
      <c r="AP69" s="46"/>
      <c r="AQ69" s="46"/>
      <c r="AR69" s="46"/>
      <c r="AS69" s="46"/>
      <c r="AT69" s="46"/>
      <c r="AU69" s="47"/>
      <c r="AV69" s="45"/>
      <c r="AW69" s="42"/>
      <c r="AX69" s="42"/>
      <c r="AY69" s="42"/>
      <c r="AZ69" s="42"/>
      <c r="BA69" s="42"/>
      <c r="BB69" s="42"/>
      <c r="BC69" s="43"/>
      <c r="BD69" s="44"/>
      <c r="BE69" s="45"/>
      <c r="BF69" s="42"/>
      <c r="BG69" s="42"/>
      <c r="BH69" s="44"/>
      <c r="BI69" s="41"/>
      <c r="BJ69" s="42"/>
      <c r="BK69" s="44"/>
      <c r="BL69" s="45"/>
      <c r="BM69" s="42"/>
      <c r="BN69" s="44"/>
      <c r="BO69" s="893"/>
      <c r="BP69" s="37">
        <f t="shared" si="3"/>
        <v>0</v>
      </c>
    </row>
    <row r="70" spans="1:68" ht="25.5" customHeight="1" x14ac:dyDescent="0.15">
      <c r="A70" s="17">
        <f t="shared" si="4"/>
        <v>55</v>
      </c>
      <c r="B70" s="1042"/>
      <c r="C70" s="1043"/>
      <c r="D70" s="880"/>
      <c r="E70" s="953"/>
      <c r="F70" s="883"/>
      <c r="G70" s="882"/>
      <c r="H70" s="1048"/>
      <c r="I70" s="684" t="str">
        <f t="shared" si="0"/>
        <v/>
      </c>
      <c r="J70" s="754">
        <f t="shared" si="1"/>
        <v>0</v>
      </c>
      <c r="K70" s="1252"/>
      <c r="L70" s="1250"/>
      <c r="M70" s="1250"/>
      <c r="N70" s="773" t="str">
        <f t="shared" si="5"/>
        <v/>
      </c>
      <c r="O70" s="774" t="str">
        <f>IF('Set up ~ Config'!$G$32=6,IF(OR($N70=7,$N70=8,$N70=9),1,IF(OR($N70=10,$N70=11,$N70=12),2,IF(OR($N70=1,$N70=2,$N70=3),3,IF(OR($N70=4,$N70=5,$N70=6),4,"")))),IF(OR($N70=9,$N70=10,$N70=11),1,IF(OR($N70=12,$N70=1,$N70=2),2,IF(OR($N70=3,$N70=4,$N70=5),3,IF(OR($N70=6,$N70=7,$N70=8),4,"")))))</f>
        <v/>
      </c>
      <c r="P70" s="40"/>
      <c r="Q70" s="41"/>
      <c r="R70" s="42"/>
      <c r="S70" s="755">
        <f t="shared" si="2"/>
        <v>0</v>
      </c>
      <c r="T70" s="42"/>
      <c r="U70" s="42"/>
      <c r="V70" s="42"/>
      <c r="W70" s="42"/>
      <c r="X70" s="42"/>
      <c r="Y70" s="42"/>
      <c r="Z70" s="42"/>
      <c r="AA70" s="42"/>
      <c r="AB70" s="43"/>
      <c r="AC70" s="44"/>
      <c r="AD70" s="45"/>
      <c r="AE70" s="42"/>
      <c r="AF70" s="42"/>
      <c r="AG70" s="42"/>
      <c r="AH70" s="42"/>
      <c r="AI70" s="43"/>
      <c r="AJ70" s="43"/>
      <c r="AK70" s="42"/>
      <c r="AL70" s="41"/>
      <c r="AM70" s="45"/>
      <c r="AN70" s="42"/>
      <c r="AO70" s="58"/>
      <c r="AP70" s="46"/>
      <c r="AQ70" s="46"/>
      <c r="AR70" s="46"/>
      <c r="AS70" s="46"/>
      <c r="AT70" s="46"/>
      <c r="AU70" s="47"/>
      <c r="AV70" s="45"/>
      <c r="AW70" s="42"/>
      <c r="AX70" s="42"/>
      <c r="AY70" s="42"/>
      <c r="AZ70" s="42"/>
      <c r="BA70" s="42"/>
      <c r="BB70" s="42"/>
      <c r="BC70" s="43"/>
      <c r="BD70" s="44"/>
      <c r="BE70" s="45"/>
      <c r="BF70" s="42"/>
      <c r="BG70" s="42"/>
      <c r="BH70" s="44"/>
      <c r="BI70" s="41"/>
      <c r="BJ70" s="42"/>
      <c r="BK70" s="44"/>
      <c r="BL70" s="45"/>
      <c r="BM70" s="42"/>
      <c r="BN70" s="44"/>
      <c r="BO70" s="893"/>
      <c r="BP70" s="37">
        <f t="shared" si="3"/>
        <v>0</v>
      </c>
    </row>
    <row r="71" spans="1:68" ht="25.5" customHeight="1" x14ac:dyDescent="0.15">
      <c r="A71" s="17">
        <f t="shared" si="4"/>
        <v>56</v>
      </c>
      <c r="B71" s="1042"/>
      <c r="C71" s="1043"/>
      <c r="D71" s="880"/>
      <c r="E71" s="953"/>
      <c r="F71" s="883"/>
      <c r="G71" s="882"/>
      <c r="H71" s="1048"/>
      <c r="I71" s="684" t="str">
        <f t="shared" si="0"/>
        <v/>
      </c>
      <c r="J71" s="754">
        <f t="shared" si="1"/>
        <v>0</v>
      </c>
      <c r="K71" s="1252"/>
      <c r="L71" s="1250"/>
      <c r="M71" s="1250"/>
      <c r="N71" s="773" t="str">
        <f t="shared" si="5"/>
        <v/>
      </c>
      <c r="O71" s="774" t="str">
        <f>IF('Set up ~ Config'!$G$32=6,IF(OR($N71=7,$N71=8,$N71=9),1,IF(OR($N71=10,$N71=11,$N71=12),2,IF(OR($N71=1,$N71=2,$N71=3),3,IF(OR($N71=4,$N71=5,$N71=6),4,"")))),IF(OR($N71=9,$N71=10,$N71=11),1,IF(OR($N71=12,$N71=1,$N71=2),2,IF(OR($N71=3,$N71=4,$N71=5),3,IF(OR($N71=6,$N71=7,$N71=8),4,"")))))</f>
        <v/>
      </c>
      <c r="P71" s="40"/>
      <c r="Q71" s="41"/>
      <c r="R71" s="42"/>
      <c r="S71" s="755">
        <f t="shared" si="2"/>
        <v>0</v>
      </c>
      <c r="T71" s="42"/>
      <c r="U71" s="42"/>
      <c r="V71" s="42"/>
      <c r="W71" s="42"/>
      <c r="X71" s="42"/>
      <c r="Y71" s="42"/>
      <c r="Z71" s="42"/>
      <c r="AA71" s="42"/>
      <c r="AB71" s="43"/>
      <c r="AC71" s="44"/>
      <c r="AD71" s="45"/>
      <c r="AE71" s="42"/>
      <c r="AF71" s="42"/>
      <c r="AG71" s="42"/>
      <c r="AH71" s="42"/>
      <c r="AI71" s="43"/>
      <c r="AJ71" s="43"/>
      <c r="AK71" s="42"/>
      <c r="AL71" s="41"/>
      <c r="AM71" s="45"/>
      <c r="AN71" s="42"/>
      <c r="AO71" s="64"/>
      <c r="AP71" s="46"/>
      <c r="AQ71" s="46"/>
      <c r="AR71" s="46"/>
      <c r="AS71" s="46"/>
      <c r="AT71" s="46"/>
      <c r="AU71" s="47"/>
      <c r="AV71" s="45"/>
      <c r="AW71" s="42"/>
      <c r="AX71" s="42"/>
      <c r="AY71" s="42"/>
      <c r="AZ71" s="42"/>
      <c r="BA71" s="42"/>
      <c r="BB71" s="42"/>
      <c r="BC71" s="43"/>
      <c r="BD71" s="44"/>
      <c r="BE71" s="45"/>
      <c r="BF71" s="42"/>
      <c r="BG71" s="42"/>
      <c r="BH71" s="44"/>
      <c r="BI71" s="41"/>
      <c r="BJ71" s="42"/>
      <c r="BK71" s="44"/>
      <c r="BL71" s="45"/>
      <c r="BM71" s="42"/>
      <c r="BN71" s="44"/>
      <c r="BO71" s="893"/>
      <c r="BP71" s="37">
        <f t="shared" si="3"/>
        <v>0</v>
      </c>
    </row>
    <row r="72" spans="1:68" ht="25.5" customHeight="1" x14ac:dyDescent="0.15">
      <c r="A72" s="17">
        <f t="shared" si="4"/>
        <v>57</v>
      </c>
      <c r="B72" s="1042"/>
      <c r="C72" s="1043"/>
      <c r="D72" s="880"/>
      <c r="E72" s="953"/>
      <c r="F72" s="883"/>
      <c r="G72" s="882"/>
      <c r="H72" s="1048"/>
      <c r="I72" s="684" t="str">
        <f t="shared" si="0"/>
        <v/>
      </c>
      <c r="J72" s="754">
        <f t="shared" si="1"/>
        <v>0</v>
      </c>
      <c r="K72" s="1252"/>
      <c r="L72" s="1250"/>
      <c r="M72" s="1250"/>
      <c r="N72" s="773" t="str">
        <f t="shared" si="5"/>
        <v/>
      </c>
      <c r="O72" s="774" t="str">
        <f>IF('Set up ~ Config'!$G$32=6,IF(OR($N72=7,$N72=8,$N72=9),1,IF(OR($N72=10,$N72=11,$N72=12),2,IF(OR($N72=1,$N72=2,$N72=3),3,IF(OR($N72=4,$N72=5,$N72=6),4,"")))),IF(OR($N72=9,$N72=10,$N72=11),1,IF(OR($N72=12,$N72=1,$N72=2),2,IF(OR($N72=3,$N72=4,$N72=5),3,IF(OR($N72=6,$N72=7,$N72=8),4,"")))))</f>
        <v/>
      </c>
      <c r="P72" s="40"/>
      <c r="Q72" s="54"/>
      <c r="R72" s="46"/>
      <c r="S72" s="755">
        <f t="shared" si="2"/>
        <v>0</v>
      </c>
      <c r="T72" s="46"/>
      <c r="U72" s="46"/>
      <c r="V72" s="46"/>
      <c r="W72" s="46"/>
      <c r="X72" s="46"/>
      <c r="Y72" s="46"/>
      <c r="Z72" s="46"/>
      <c r="AA72" s="46"/>
      <c r="AB72" s="55"/>
      <c r="AC72" s="47"/>
      <c r="AD72" s="45"/>
      <c r="AE72" s="42"/>
      <c r="AF72" s="42"/>
      <c r="AG72" s="42"/>
      <c r="AH72" s="42"/>
      <c r="AI72" s="43"/>
      <c r="AJ72" s="43"/>
      <c r="AK72" s="42"/>
      <c r="AL72" s="41"/>
      <c r="AM72" s="45"/>
      <c r="AN72" s="42"/>
      <c r="AO72" s="46"/>
      <c r="AP72" s="46"/>
      <c r="AQ72" s="46"/>
      <c r="AR72" s="46"/>
      <c r="AS72" s="46"/>
      <c r="AT72" s="46"/>
      <c r="AU72" s="47"/>
      <c r="AV72" s="45"/>
      <c r="AW72" s="42"/>
      <c r="AX72" s="42"/>
      <c r="AY72" s="42"/>
      <c r="AZ72" s="42"/>
      <c r="BA72" s="42"/>
      <c r="BB72" s="42"/>
      <c r="BC72" s="43"/>
      <c r="BD72" s="44"/>
      <c r="BE72" s="45"/>
      <c r="BF72" s="42"/>
      <c r="BG72" s="42"/>
      <c r="BH72" s="44"/>
      <c r="BI72" s="41"/>
      <c r="BJ72" s="42"/>
      <c r="BK72" s="44"/>
      <c r="BL72" s="45"/>
      <c r="BM72" s="42"/>
      <c r="BN72" s="44"/>
      <c r="BO72" s="893"/>
      <c r="BP72" s="37">
        <f t="shared" si="3"/>
        <v>0</v>
      </c>
    </row>
    <row r="73" spans="1:68" ht="25.5" customHeight="1" x14ac:dyDescent="0.15">
      <c r="A73" s="17">
        <f t="shared" si="4"/>
        <v>58</v>
      </c>
      <c r="B73" s="1042"/>
      <c r="C73" s="1043"/>
      <c r="D73" s="880"/>
      <c r="E73" s="953"/>
      <c r="F73" s="883"/>
      <c r="G73" s="882"/>
      <c r="H73" s="1048"/>
      <c r="I73" s="684" t="str">
        <f t="shared" si="0"/>
        <v/>
      </c>
      <c r="J73" s="754">
        <f t="shared" si="1"/>
        <v>0</v>
      </c>
      <c r="K73" s="1252"/>
      <c r="L73" s="1250"/>
      <c r="M73" s="1250"/>
      <c r="N73" s="773" t="str">
        <f t="shared" si="5"/>
        <v/>
      </c>
      <c r="O73" s="774" t="str">
        <f>IF('Set up ~ Config'!$G$32=6,IF(OR($N73=7,$N73=8,$N73=9),1,IF(OR($N73=10,$N73=11,$N73=12),2,IF(OR($N73=1,$N73=2,$N73=3),3,IF(OR($N73=4,$N73=5,$N73=6),4,"")))),IF(OR($N73=9,$N73=10,$N73=11),1,IF(OR($N73=12,$N73=1,$N73=2),2,IF(OR($N73=3,$N73=4,$N73=5),3,IF(OR($N73=6,$N73=7,$N73=8),4,"")))))</f>
        <v/>
      </c>
      <c r="P73" s="40"/>
      <c r="Q73" s="54"/>
      <c r="R73" s="46"/>
      <c r="S73" s="755">
        <f t="shared" si="2"/>
        <v>0</v>
      </c>
      <c r="T73" s="46"/>
      <c r="U73" s="46"/>
      <c r="V73" s="46"/>
      <c r="W73" s="46"/>
      <c r="X73" s="46"/>
      <c r="Y73" s="46"/>
      <c r="Z73" s="46"/>
      <c r="AA73" s="46"/>
      <c r="AB73" s="55"/>
      <c r="AC73" s="47"/>
      <c r="AD73" s="45"/>
      <c r="AE73" s="42"/>
      <c r="AF73" s="42"/>
      <c r="AG73" s="42"/>
      <c r="AH73" s="42"/>
      <c r="AI73" s="43"/>
      <c r="AJ73" s="43"/>
      <c r="AK73" s="42"/>
      <c r="AL73" s="41"/>
      <c r="AM73" s="45"/>
      <c r="AN73" s="42"/>
      <c r="AO73" s="46"/>
      <c r="AP73" s="46"/>
      <c r="AQ73" s="46"/>
      <c r="AR73" s="46"/>
      <c r="AS73" s="46"/>
      <c r="AT73" s="46"/>
      <c r="AU73" s="47"/>
      <c r="AV73" s="45"/>
      <c r="AW73" s="42"/>
      <c r="AX73" s="42"/>
      <c r="AY73" s="42"/>
      <c r="AZ73" s="42"/>
      <c r="BA73" s="42"/>
      <c r="BB73" s="42"/>
      <c r="BC73" s="43"/>
      <c r="BD73" s="44"/>
      <c r="BE73" s="45"/>
      <c r="BF73" s="42"/>
      <c r="BG73" s="42"/>
      <c r="BH73" s="44"/>
      <c r="BI73" s="41"/>
      <c r="BJ73" s="42"/>
      <c r="BK73" s="44"/>
      <c r="BL73" s="45"/>
      <c r="BM73" s="42"/>
      <c r="BN73" s="44"/>
      <c r="BO73" s="893"/>
      <c r="BP73" s="37">
        <f t="shared" si="3"/>
        <v>0</v>
      </c>
    </row>
    <row r="74" spans="1:68" ht="25.5" customHeight="1" x14ac:dyDescent="0.15">
      <c r="A74" s="17">
        <f t="shared" si="4"/>
        <v>59</v>
      </c>
      <c r="B74" s="1042"/>
      <c r="C74" s="1043"/>
      <c r="D74" s="880"/>
      <c r="E74" s="953"/>
      <c r="F74" s="883"/>
      <c r="G74" s="882"/>
      <c r="H74" s="1048"/>
      <c r="I74" s="684" t="str">
        <f t="shared" si="0"/>
        <v/>
      </c>
      <c r="J74" s="754">
        <f t="shared" si="1"/>
        <v>0</v>
      </c>
      <c r="K74" s="1252"/>
      <c r="L74" s="1250"/>
      <c r="M74" s="1250"/>
      <c r="N74" s="773" t="str">
        <f t="shared" si="5"/>
        <v/>
      </c>
      <c r="O74" s="774" t="str">
        <f>IF('Set up ~ Config'!$G$32=6,IF(OR($N74=7,$N74=8,$N74=9),1,IF(OR($N74=10,$N74=11,$N74=12),2,IF(OR($N74=1,$N74=2,$N74=3),3,IF(OR($N74=4,$N74=5,$N74=6),4,"")))),IF(OR($N74=9,$N74=10,$N74=11),1,IF(OR($N74=12,$N74=1,$N74=2),2,IF(OR($N74=3,$N74=4,$N74=5),3,IF(OR($N74=6,$N74=7,$N74=8),4,"")))))</f>
        <v/>
      </c>
      <c r="P74" s="40"/>
      <c r="Q74" s="54"/>
      <c r="R74" s="46"/>
      <c r="S74" s="755">
        <f t="shared" si="2"/>
        <v>0</v>
      </c>
      <c r="T74" s="46"/>
      <c r="U74" s="46"/>
      <c r="V74" s="46"/>
      <c r="W74" s="46"/>
      <c r="X74" s="46"/>
      <c r="Y74" s="46"/>
      <c r="Z74" s="46"/>
      <c r="AA74" s="46"/>
      <c r="AB74" s="55"/>
      <c r="AC74" s="47"/>
      <c r="AD74" s="45"/>
      <c r="AE74" s="42"/>
      <c r="AF74" s="42"/>
      <c r="AG74" s="42"/>
      <c r="AH74" s="42"/>
      <c r="AI74" s="43"/>
      <c r="AJ74" s="43"/>
      <c r="AK74" s="42"/>
      <c r="AL74" s="41"/>
      <c r="AM74" s="45"/>
      <c r="AN74" s="42"/>
      <c r="AO74" s="46"/>
      <c r="AP74" s="46"/>
      <c r="AQ74" s="46"/>
      <c r="AR74" s="46"/>
      <c r="AS74" s="46"/>
      <c r="AT74" s="46"/>
      <c r="AU74" s="47"/>
      <c r="AV74" s="45"/>
      <c r="AW74" s="42"/>
      <c r="AX74" s="42"/>
      <c r="AY74" s="42"/>
      <c r="AZ74" s="42"/>
      <c r="BA74" s="42"/>
      <c r="BB74" s="42"/>
      <c r="BC74" s="43"/>
      <c r="BD74" s="44"/>
      <c r="BE74" s="45"/>
      <c r="BF74" s="42"/>
      <c r="BG74" s="42"/>
      <c r="BH74" s="44"/>
      <c r="BI74" s="41"/>
      <c r="BJ74" s="42"/>
      <c r="BK74" s="44"/>
      <c r="BL74" s="45"/>
      <c r="BM74" s="42"/>
      <c r="BN74" s="44"/>
      <c r="BO74" s="893"/>
      <c r="BP74" s="37">
        <f t="shared" si="3"/>
        <v>0</v>
      </c>
    </row>
    <row r="75" spans="1:68" ht="25.5" customHeight="1" thickTop="1" thickBot="1" x14ac:dyDescent="0.2">
      <c r="A75" s="17">
        <f t="shared" si="4"/>
        <v>60</v>
      </c>
      <c r="B75" s="1042"/>
      <c r="C75" s="1043"/>
      <c r="D75" s="880"/>
      <c r="E75" s="953"/>
      <c r="F75" s="883"/>
      <c r="G75" s="882"/>
      <c r="H75" s="1048"/>
      <c r="I75" s="684" t="str">
        <f t="shared" si="0"/>
        <v/>
      </c>
      <c r="J75" s="754">
        <f t="shared" si="1"/>
        <v>0</v>
      </c>
      <c r="K75" s="1252"/>
      <c r="L75" s="1250"/>
      <c r="M75" s="1250"/>
      <c r="N75" s="773" t="str">
        <f t="shared" si="5"/>
        <v/>
      </c>
      <c r="O75" s="774" t="str">
        <f>IF('Set up ~ Config'!$G$32=6,IF(OR($N75=7,$N75=8,$N75=9),1,IF(OR($N75=10,$N75=11,$N75=12),2,IF(OR($N75=1,$N75=2,$N75=3),3,IF(OR($N75=4,$N75=5,$N75=6),4,"")))),IF(OR($N75=9,$N75=10,$N75=11),1,IF(OR($N75=12,$N75=1,$N75=2),2,IF(OR($N75=3,$N75=4,$N75=5),3,IF(OR($N75=6,$N75=7,$N75=8),4,"")))))</f>
        <v/>
      </c>
      <c r="P75" s="40"/>
      <c r="Q75" s="54"/>
      <c r="R75" s="46"/>
      <c r="S75" s="755">
        <f t="shared" si="2"/>
        <v>0</v>
      </c>
      <c r="T75" s="46"/>
      <c r="U75" s="46"/>
      <c r="V75" s="46"/>
      <c r="W75" s="46"/>
      <c r="X75" s="46"/>
      <c r="Y75" s="46"/>
      <c r="Z75" s="46"/>
      <c r="AA75" s="46"/>
      <c r="AB75" s="55"/>
      <c r="AC75" s="47"/>
      <c r="AD75" s="45"/>
      <c r="AE75" s="42"/>
      <c r="AF75" s="42"/>
      <c r="AG75" s="42"/>
      <c r="AH75" s="42"/>
      <c r="AI75" s="43"/>
      <c r="AJ75" s="43"/>
      <c r="AK75" s="42"/>
      <c r="AL75" s="41"/>
      <c r="AM75" s="45"/>
      <c r="AN75" s="42"/>
      <c r="AO75" s="46"/>
      <c r="AP75" s="46"/>
      <c r="AQ75" s="46"/>
      <c r="AR75" s="46"/>
      <c r="AS75" s="46"/>
      <c r="AT75" s="46"/>
      <c r="AU75" s="47"/>
      <c r="AV75" s="45"/>
      <c r="AW75" s="42"/>
      <c r="AX75" s="42"/>
      <c r="AY75" s="42"/>
      <c r="AZ75" s="42"/>
      <c r="BA75" s="42"/>
      <c r="BB75" s="42"/>
      <c r="BC75" s="43"/>
      <c r="BD75" s="44"/>
      <c r="BE75" s="45"/>
      <c r="BF75" s="42"/>
      <c r="BG75" s="42"/>
      <c r="BH75" s="44"/>
      <c r="BI75" s="41"/>
      <c r="BJ75" s="42"/>
      <c r="BK75" s="44"/>
      <c r="BL75" s="45"/>
      <c r="BM75" s="42"/>
      <c r="BN75" s="44"/>
      <c r="BO75" s="893"/>
      <c r="BP75" s="37">
        <f t="shared" si="3"/>
        <v>0</v>
      </c>
    </row>
    <row r="76" spans="1:68" ht="25.5" customHeight="1" thickTop="1" thickBot="1" x14ac:dyDescent="0.2">
      <c r="A76" s="17">
        <f t="shared" si="4"/>
        <v>61</v>
      </c>
      <c r="B76" s="1042"/>
      <c r="C76" s="1043"/>
      <c r="D76" s="880"/>
      <c r="E76" s="953"/>
      <c r="F76" s="883"/>
      <c r="G76" s="882"/>
      <c r="H76" s="1048"/>
      <c r="I76" s="684" t="str">
        <f t="shared" si="0"/>
        <v/>
      </c>
      <c r="J76" s="754">
        <f t="shared" si="1"/>
        <v>0</v>
      </c>
      <c r="K76" s="1252"/>
      <c r="L76" s="1250"/>
      <c r="M76" s="1250"/>
      <c r="N76" s="773" t="str">
        <f t="shared" si="5"/>
        <v/>
      </c>
      <c r="O76" s="774" t="str">
        <f>IF('Set up ~ Config'!$G$32=6,IF(OR($N76=7,$N76=8,$N76=9),1,IF(OR($N76=10,$N76=11,$N76=12),2,IF(OR($N76=1,$N76=2,$N76=3),3,IF(OR($N76=4,$N76=5,$N76=6),4,"")))),IF(OR($N76=9,$N76=10,$N76=11),1,IF(OR($N76=12,$N76=1,$N76=2),2,IF(OR($N76=3,$N76=4,$N76=5),3,IF(OR($N76=6,$N76=7,$N76=8),4,"")))))</f>
        <v/>
      </c>
      <c r="P76" s="40"/>
      <c r="Q76" s="54"/>
      <c r="R76" s="46"/>
      <c r="S76" s="755">
        <f t="shared" si="2"/>
        <v>0</v>
      </c>
      <c r="T76" s="46"/>
      <c r="U76" s="46"/>
      <c r="V76" s="46"/>
      <c r="W76" s="46"/>
      <c r="X76" s="46"/>
      <c r="Y76" s="46"/>
      <c r="Z76" s="46"/>
      <c r="AA76" s="46"/>
      <c r="AB76" s="55"/>
      <c r="AC76" s="47"/>
      <c r="AD76" s="45"/>
      <c r="AE76" s="42"/>
      <c r="AF76" s="42"/>
      <c r="AG76" s="42"/>
      <c r="AH76" s="42"/>
      <c r="AI76" s="43"/>
      <c r="AJ76" s="43"/>
      <c r="AK76" s="42"/>
      <c r="AL76" s="41"/>
      <c r="AM76" s="45"/>
      <c r="AN76" s="42"/>
      <c r="AO76" s="46"/>
      <c r="AP76" s="46"/>
      <c r="AQ76" s="46"/>
      <c r="AR76" s="46"/>
      <c r="AS76" s="46"/>
      <c r="AT76" s="46"/>
      <c r="AU76" s="47"/>
      <c r="AV76" s="45"/>
      <c r="AW76" s="42"/>
      <c r="AX76" s="42"/>
      <c r="AY76" s="42"/>
      <c r="AZ76" s="42"/>
      <c r="BA76" s="42"/>
      <c r="BB76" s="42"/>
      <c r="BC76" s="43"/>
      <c r="BD76" s="44"/>
      <c r="BE76" s="45"/>
      <c r="BF76" s="42"/>
      <c r="BG76" s="42"/>
      <c r="BH76" s="44"/>
      <c r="BI76" s="41"/>
      <c r="BJ76" s="42"/>
      <c r="BK76" s="44"/>
      <c r="BL76" s="45"/>
      <c r="BM76" s="42"/>
      <c r="BN76" s="44"/>
      <c r="BO76" s="893"/>
      <c r="BP76" s="37">
        <f t="shared" si="3"/>
        <v>0</v>
      </c>
    </row>
    <row r="77" spans="1:68" ht="25.5" customHeight="1" thickTop="1" thickBot="1" x14ac:dyDescent="0.2">
      <c r="A77" s="17">
        <f t="shared" si="4"/>
        <v>62</v>
      </c>
      <c r="B77" s="1042"/>
      <c r="C77" s="1043"/>
      <c r="D77" s="880"/>
      <c r="E77" s="953"/>
      <c r="F77" s="883"/>
      <c r="G77" s="882"/>
      <c r="H77" s="1048"/>
      <c r="I77" s="684" t="str">
        <f t="shared" si="0"/>
        <v/>
      </c>
      <c r="J77" s="754">
        <f t="shared" si="1"/>
        <v>0</v>
      </c>
      <c r="K77" s="1252"/>
      <c r="L77" s="1250"/>
      <c r="M77" s="1250"/>
      <c r="N77" s="773" t="str">
        <f t="shared" si="5"/>
        <v/>
      </c>
      <c r="O77" s="774" t="str">
        <f>IF('Set up ~ Config'!$G$32=6,IF(OR($N77=7,$N77=8,$N77=9),1,IF(OR($N77=10,$N77=11,$N77=12),2,IF(OR($N77=1,$N77=2,$N77=3),3,IF(OR($N77=4,$N77=5,$N77=6),4,"")))),IF(OR($N77=9,$N77=10,$N77=11),1,IF(OR($N77=12,$N77=1,$N77=2),2,IF(OR($N77=3,$N77=4,$N77=5),3,IF(OR($N77=6,$N77=7,$N77=8),4,"")))))</f>
        <v/>
      </c>
      <c r="P77" s="40"/>
      <c r="Q77" s="54"/>
      <c r="R77" s="46"/>
      <c r="S77" s="755">
        <f t="shared" si="2"/>
        <v>0</v>
      </c>
      <c r="T77" s="46"/>
      <c r="U77" s="46"/>
      <c r="V77" s="46"/>
      <c r="W77" s="46"/>
      <c r="X77" s="46"/>
      <c r="Y77" s="46"/>
      <c r="Z77" s="46"/>
      <c r="AA77" s="46"/>
      <c r="AB77" s="55"/>
      <c r="AC77" s="47"/>
      <c r="AD77" s="45"/>
      <c r="AE77" s="42"/>
      <c r="AF77" s="42"/>
      <c r="AG77" s="42"/>
      <c r="AH77" s="42"/>
      <c r="AI77" s="43"/>
      <c r="AJ77" s="43"/>
      <c r="AK77" s="42"/>
      <c r="AL77" s="41"/>
      <c r="AM77" s="45"/>
      <c r="AN77" s="42"/>
      <c r="AO77" s="46"/>
      <c r="AP77" s="46"/>
      <c r="AQ77" s="46"/>
      <c r="AR77" s="46"/>
      <c r="AS77" s="46"/>
      <c r="AT77" s="46"/>
      <c r="AU77" s="47"/>
      <c r="AV77" s="45"/>
      <c r="AW77" s="42"/>
      <c r="AX77" s="42"/>
      <c r="AY77" s="42"/>
      <c r="AZ77" s="42"/>
      <c r="BA77" s="42"/>
      <c r="BB77" s="42"/>
      <c r="BC77" s="43"/>
      <c r="BD77" s="44"/>
      <c r="BE77" s="45"/>
      <c r="BF77" s="42"/>
      <c r="BG77" s="42"/>
      <c r="BH77" s="44"/>
      <c r="BI77" s="41"/>
      <c r="BJ77" s="42"/>
      <c r="BK77" s="44"/>
      <c r="BL77" s="45"/>
      <c r="BM77" s="42"/>
      <c r="BN77" s="44"/>
      <c r="BO77" s="893"/>
      <c r="BP77" s="37">
        <f t="shared" si="3"/>
        <v>0</v>
      </c>
    </row>
    <row r="78" spans="1:68" ht="25.5" customHeight="1" thickTop="1" thickBot="1" x14ac:dyDescent="0.2">
      <c r="A78" s="17">
        <f t="shared" si="4"/>
        <v>63</v>
      </c>
      <c r="B78" s="1042"/>
      <c r="C78" s="1043"/>
      <c r="D78" s="880"/>
      <c r="E78" s="953"/>
      <c r="F78" s="883"/>
      <c r="G78" s="882"/>
      <c r="H78" s="1048"/>
      <c r="I78" s="684" t="str">
        <f t="shared" si="0"/>
        <v/>
      </c>
      <c r="J78" s="754">
        <f t="shared" si="1"/>
        <v>0</v>
      </c>
      <c r="K78" s="1252"/>
      <c r="L78" s="1250"/>
      <c r="M78" s="1250"/>
      <c r="N78" s="773" t="str">
        <f t="shared" si="5"/>
        <v/>
      </c>
      <c r="O78" s="774" t="str">
        <f>IF('Set up ~ Config'!$G$32=6,IF(OR($N78=7,$N78=8,$N78=9),1,IF(OR($N78=10,$N78=11,$N78=12),2,IF(OR($N78=1,$N78=2,$N78=3),3,IF(OR($N78=4,$N78=5,$N78=6),4,"")))),IF(OR($N78=9,$N78=10,$N78=11),1,IF(OR($N78=12,$N78=1,$N78=2),2,IF(OR($N78=3,$N78=4,$N78=5),3,IF(OR($N78=6,$N78=7,$N78=8),4,"")))))</f>
        <v/>
      </c>
      <c r="P78" s="40"/>
      <c r="Q78" s="54"/>
      <c r="R78" s="46"/>
      <c r="S78" s="755">
        <f t="shared" si="2"/>
        <v>0</v>
      </c>
      <c r="T78" s="46"/>
      <c r="U78" s="46"/>
      <c r="V78" s="46"/>
      <c r="W78" s="46"/>
      <c r="X78" s="46"/>
      <c r="Y78" s="46"/>
      <c r="Z78" s="46"/>
      <c r="AA78" s="46"/>
      <c r="AB78" s="55"/>
      <c r="AC78" s="47"/>
      <c r="AD78" s="45"/>
      <c r="AE78" s="42"/>
      <c r="AF78" s="42"/>
      <c r="AG78" s="42"/>
      <c r="AH78" s="42"/>
      <c r="AI78" s="43"/>
      <c r="AJ78" s="43"/>
      <c r="AK78" s="42"/>
      <c r="AL78" s="41"/>
      <c r="AM78" s="45"/>
      <c r="AN78" s="42"/>
      <c r="AO78" s="46"/>
      <c r="AP78" s="46"/>
      <c r="AQ78" s="46"/>
      <c r="AR78" s="46"/>
      <c r="AS78" s="46"/>
      <c r="AT78" s="46"/>
      <c r="AU78" s="47"/>
      <c r="AV78" s="45"/>
      <c r="AW78" s="42"/>
      <c r="AX78" s="42"/>
      <c r="AY78" s="42"/>
      <c r="AZ78" s="42"/>
      <c r="BA78" s="42"/>
      <c r="BB78" s="42"/>
      <c r="BC78" s="43"/>
      <c r="BD78" s="44"/>
      <c r="BE78" s="45"/>
      <c r="BF78" s="42"/>
      <c r="BG78" s="42"/>
      <c r="BH78" s="44"/>
      <c r="BI78" s="41"/>
      <c r="BJ78" s="42"/>
      <c r="BK78" s="44"/>
      <c r="BL78" s="45"/>
      <c r="BM78" s="42"/>
      <c r="BN78" s="44"/>
      <c r="BO78" s="893"/>
      <c r="BP78" s="37">
        <f t="shared" si="3"/>
        <v>0</v>
      </c>
    </row>
    <row r="79" spans="1:68" ht="25.5" customHeight="1" x14ac:dyDescent="0.15">
      <c r="A79" s="17">
        <f t="shared" si="4"/>
        <v>64</v>
      </c>
      <c r="B79" s="1042"/>
      <c r="C79" s="1043"/>
      <c r="D79" s="880"/>
      <c r="E79" s="953"/>
      <c r="F79" s="883"/>
      <c r="G79" s="882"/>
      <c r="H79" s="1048"/>
      <c r="I79" s="684" t="str">
        <f t="shared" si="0"/>
        <v/>
      </c>
      <c r="J79" s="754">
        <f t="shared" si="1"/>
        <v>0</v>
      </c>
      <c r="K79" s="1252"/>
      <c r="L79" s="1250"/>
      <c r="M79" s="1250"/>
      <c r="N79" s="773" t="str">
        <f t="shared" si="5"/>
        <v/>
      </c>
      <c r="O79" s="774" t="str">
        <f>IF('Set up ~ Config'!$G$32=6,IF(OR($N79=7,$N79=8,$N79=9),1,IF(OR($N79=10,$N79=11,$N79=12),2,IF(OR($N79=1,$N79=2,$N79=3),3,IF(OR($N79=4,$N79=5,$N79=6),4,"")))),IF(OR($N79=9,$N79=10,$N79=11),1,IF(OR($N79=12,$N79=1,$N79=2),2,IF(OR($N79=3,$N79=4,$N79=5),3,IF(OR($N79=6,$N79=7,$N79=8),4,"")))))</f>
        <v/>
      </c>
      <c r="P79" s="40"/>
      <c r="Q79" s="54"/>
      <c r="R79" s="46"/>
      <c r="S79" s="755">
        <f t="shared" si="2"/>
        <v>0</v>
      </c>
      <c r="T79" s="46"/>
      <c r="U79" s="46"/>
      <c r="V79" s="46"/>
      <c r="W79" s="46"/>
      <c r="X79" s="46"/>
      <c r="Y79" s="46"/>
      <c r="Z79" s="46"/>
      <c r="AA79" s="46"/>
      <c r="AB79" s="55"/>
      <c r="AC79" s="47"/>
      <c r="AD79" s="45"/>
      <c r="AE79" s="42"/>
      <c r="AF79" s="42"/>
      <c r="AG79" s="42"/>
      <c r="AH79" s="42"/>
      <c r="AI79" s="43"/>
      <c r="AJ79" s="43"/>
      <c r="AK79" s="42"/>
      <c r="AL79" s="41"/>
      <c r="AM79" s="45"/>
      <c r="AN79" s="42"/>
      <c r="AO79" s="46"/>
      <c r="AP79" s="46"/>
      <c r="AQ79" s="46"/>
      <c r="AR79" s="46"/>
      <c r="AS79" s="46"/>
      <c r="AT79" s="46"/>
      <c r="AU79" s="47"/>
      <c r="AV79" s="45"/>
      <c r="AW79" s="42"/>
      <c r="AX79" s="42"/>
      <c r="AY79" s="42"/>
      <c r="AZ79" s="42"/>
      <c r="BA79" s="42"/>
      <c r="BB79" s="42"/>
      <c r="BC79" s="43"/>
      <c r="BD79" s="44"/>
      <c r="BE79" s="45"/>
      <c r="BF79" s="42"/>
      <c r="BG79" s="42"/>
      <c r="BH79" s="44"/>
      <c r="BI79" s="41"/>
      <c r="BJ79" s="42"/>
      <c r="BK79" s="44"/>
      <c r="BL79" s="45"/>
      <c r="BM79" s="42"/>
      <c r="BN79" s="44"/>
      <c r="BO79" s="893"/>
      <c r="BP79" s="37">
        <f t="shared" si="3"/>
        <v>0</v>
      </c>
    </row>
    <row r="80" spans="1:68" ht="25.5" customHeight="1" x14ac:dyDescent="0.15">
      <c r="A80" s="17">
        <f t="shared" si="4"/>
        <v>65</v>
      </c>
      <c r="B80" s="1042"/>
      <c r="C80" s="1043"/>
      <c r="D80" s="880"/>
      <c r="E80" s="953"/>
      <c r="F80" s="883"/>
      <c r="G80" s="882"/>
      <c r="H80" s="1048"/>
      <c r="I80" s="684" t="str">
        <f t="shared" ref="I80:I143" si="6">LEFT(H80,4)</f>
        <v/>
      </c>
      <c r="J80" s="754">
        <f t="shared" ref="J80:J143" si="7">G80-BP80</f>
        <v>0</v>
      </c>
      <c r="K80" s="1252"/>
      <c r="L80" s="1250"/>
      <c r="M80" s="1250"/>
      <c r="N80" s="773" t="str">
        <f t="shared" si="5"/>
        <v/>
      </c>
      <c r="O80" s="774" t="str">
        <f>IF('Set up ~ Config'!$G$32=6,IF(OR($N80=7,$N80=8,$N80=9),1,IF(OR($N80=10,$N80=11,$N80=12),2,IF(OR($N80=1,$N80=2,$N80=3),3,IF(OR($N80=4,$N80=5,$N80=6),4,"")))),IF(OR($N80=9,$N80=10,$N80=11),1,IF(OR($N80=12,$N80=1,$N80=2),2,IF(OR($N80=3,$N80=4,$N80=5),3,IF(OR($N80=6,$N80=7,$N80=8),4,"")))))</f>
        <v/>
      </c>
      <c r="P80" s="40"/>
      <c r="Q80" s="54"/>
      <c r="R80" s="46"/>
      <c r="S80" s="755">
        <f t="shared" ref="S80:S143" si="8">SUM(T80:W80)</f>
        <v>0</v>
      </c>
      <c r="T80" s="46"/>
      <c r="U80" s="46"/>
      <c r="V80" s="46"/>
      <c r="W80" s="46"/>
      <c r="X80" s="46"/>
      <c r="Y80" s="46"/>
      <c r="Z80" s="46"/>
      <c r="AA80" s="46"/>
      <c r="AB80" s="55"/>
      <c r="AC80" s="47"/>
      <c r="AD80" s="45"/>
      <c r="AE80" s="42"/>
      <c r="AF80" s="42"/>
      <c r="AG80" s="42"/>
      <c r="AH80" s="42"/>
      <c r="AI80" s="43"/>
      <c r="AJ80" s="43"/>
      <c r="AK80" s="42"/>
      <c r="AL80" s="41"/>
      <c r="AM80" s="45"/>
      <c r="AN80" s="42"/>
      <c r="AO80" s="46"/>
      <c r="AP80" s="46"/>
      <c r="AQ80" s="46"/>
      <c r="AR80" s="46"/>
      <c r="AS80" s="46"/>
      <c r="AT80" s="46"/>
      <c r="AU80" s="47"/>
      <c r="AV80" s="45"/>
      <c r="AW80" s="42"/>
      <c r="AX80" s="42"/>
      <c r="AY80" s="42"/>
      <c r="AZ80" s="42"/>
      <c r="BA80" s="42"/>
      <c r="BB80" s="42"/>
      <c r="BC80" s="43"/>
      <c r="BD80" s="44"/>
      <c r="BE80" s="45"/>
      <c r="BF80" s="42"/>
      <c r="BG80" s="42"/>
      <c r="BH80" s="44"/>
      <c r="BI80" s="41"/>
      <c r="BJ80" s="42"/>
      <c r="BK80" s="44"/>
      <c r="BL80" s="45"/>
      <c r="BM80" s="42"/>
      <c r="BN80" s="44"/>
      <c r="BO80" s="893"/>
      <c r="BP80" s="37">
        <f t="shared" ref="BP80:BP143" si="9">SUM(Q80:R80,T80:BO80)</f>
        <v>0</v>
      </c>
    </row>
    <row r="81" spans="1:68" ht="25.5" customHeight="1" x14ac:dyDescent="0.15">
      <c r="A81" s="17">
        <f t="shared" ref="A81:A144" si="10">$A80+1</f>
        <v>66</v>
      </c>
      <c r="B81" s="1042"/>
      <c r="C81" s="1043"/>
      <c r="D81" s="880"/>
      <c r="E81" s="953"/>
      <c r="F81" s="883"/>
      <c r="G81" s="882"/>
      <c r="H81" s="1048"/>
      <c r="I81" s="684" t="str">
        <f t="shared" si="6"/>
        <v/>
      </c>
      <c r="J81" s="754">
        <f t="shared" si="7"/>
        <v>0</v>
      </c>
      <c r="K81" s="1252"/>
      <c r="L81" s="1250"/>
      <c r="M81" s="1250"/>
      <c r="N81" s="773" t="str">
        <f t="shared" ref="N81:N144" si="11">IF($E81="","",MONTH($E81))</f>
        <v/>
      </c>
      <c r="O81" s="774" t="str">
        <f>IF('Set up ~ Config'!$G$32=6,IF(OR($N81=7,$N81=8,$N81=9),1,IF(OR($N81=10,$N81=11,$N81=12),2,IF(OR($N81=1,$N81=2,$N81=3),3,IF(OR($N81=4,$N81=5,$N81=6),4,"")))),IF(OR($N81=9,$N81=10,$N81=11),1,IF(OR($N81=12,$N81=1,$N81=2),2,IF(OR($N81=3,$N81=4,$N81=5),3,IF(OR($N81=6,$N81=7,$N81=8),4,"")))))</f>
        <v/>
      </c>
      <c r="P81" s="40"/>
      <c r="Q81" s="54"/>
      <c r="R81" s="46"/>
      <c r="S81" s="755">
        <f t="shared" si="8"/>
        <v>0</v>
      </c>
      <c r="T81" s="46"/>
      <c r="U81" s="46"/>
      <c r="V81" s="46"/>
      <c r="W81" s="46"/>
      <c r="X81" s="46"/>
      <c r="Y81" s="46"/>
      <c r="Z81" s="46"/>
      <c r="AA81" s="46"/>
      <c r="AB81" s="55"/>
      <c r="AC81" s="47"/>
      <c r="AD81" s="45"/>
      <c r="AE81" s="42"/>
      <c r="AF81" s="42"/>
      <c r="AG81" s="42"/>
      <c r="AH81" s="42"/>
      <c r="AI81" s="43"/>
      <c r="AJ81" s="43"/>
      <c r="AK81" s="42"/>
      <c r="AL81" s="41"/>
      <c r="AM81" s="45"/>
      <c r="AN81" s="42"/>
      <c r="AO81" s="46"/>
      <c r="AP81" s="46"/>
      <c r="AQ81" s="46"/>
      <c r="AR81" s="46"/>
      <c r="AS81" s="46"/>
      <c r="AT81" s="46"/>
      <c r="AU81" s="47"/>
      <c r="AV81" s="45"/>
      <c r="AW81" s="42"/>
      <c r="AX81" s="42"/>
      <c r="AY81" s="42"/>
      <c r="AZ81" s="42"/>
      <c r="BA81" s="42"/>
      <c r="BB81" s="42"/>
      <c r="BC81" s="43"/>
      <c r="BD81" s="44"/>
      <c r="BE81" s="45"/>
      <c r="BF81" s="42"/>
      <c r="BG81" s="42"/>
      <c r="BH81" s="44"/>
      <c r="BI81" s="41"/>
      <c r="BJ81" s="42"/>
      <c r="BK81" s="44"/>
      <c r="BL81" s="45"/>
      <c r="BM81" s="42"/>
      <c r="BN81" s="44"/>
      <c r="BO81" s="893"/>
      <c r="BP81" s="37">
        <f t="shared" si="9"/>
        <v>0</v>
      </c>
    </row>
    <row r="82" spans="1:68" ht="25.5" customHeight="1" x14ac:dyDescent="0.15">
      <c r="A82" s="17">
        <f t="shared" si="10"/>
        <v>67</v>
      </c>
      <c r="B82" s="1042"/>
      <c r="C82" s="1043"/>
      <c r="D82" s="880"/>
      <c r="E82" s="953"/>
      <c r="F82" s="883"/>
      <c r="G82" s="882"/>
      <c r="H82" s="1048"/>
      <c r="I82" s="684" t="str">
        <f t="shared" si="6"/>
        <v/>
      </c>
      <c r="J82" s="754">
        <f t="shared" si="7"/>
        <v>0</v>
      </c>
      <c r="K82" s="1252"/>
      <c r="L82" s="1250"/>
      <c r="M82" s="1250"/>
      <c r="N82" s="773" t="str">
        <f t="shared" si="11"/>
        <v/>
      </c>
      <c r="O82" s="774" t="str">
        <f>IF('Set up ~ Config'!$G$32=6,IF(OR($N82=7,$N82=8,$N82=9),1,IF(OR($N82=10,$N82=11,$N82=12),2,IF(OR($N82=1,$N82=2,$N82=3),3,IF(OR($N82=4,$N82=5,$N82=6),4,"")))),IF(OR($N82=9,$N82=10,$N82=11),1,IF(OR($N82=12,$N82=1,$N82=2),2,IF(OR($N82=3,$N82=4,$N82=5),3,IF(OR($N82=6,$N82=7,$N82=8),4,"")))))</f>
        <v/>
      </c>
      <c r="P82" s="40"/>
      <c r="Q82" s="54"/>
      <c r="R82" s="46"/>
      <c r="S82" s="755">
        <f t="shared" si="8"/>
        <v>0</v>
      </c>
      <c r="T82" s="46"/>
      <c r="U82" s="46"/>
      <c r="V82" s="46"/>
      <c r="W82" s="46"/>
      <c r="X82" s="46"/>
      <c r="Y82" s="46"/>
      <c r="Z82" s="46"/>
      <c r="AA82" s="46"/>
      <c r="AB82" s="55"/>
      <c r="AC82" s="47"/>
      <c r="AD82" s="45"/>
      <c r="AE82" s="42"/>
      <c r="AF82" s="42"/>
      <c r="AG82" s="42"/>
      <c r="AH82" s="42"/>
      <c r="AI82" s="43"/>
      <c r="AJ82" s="43"/>
      <c r="AK82" s="42"/>
      <c r="AL82" s="41"/>
      <c r="AM82" s="45"/>
      <c r="AN82" s="42"/>
      <c r="AO82" s="46"/>
      <c r="AP82" s="46"/>
      <c r="AQ82" s="46"/>
      <c r="AR82" s="46"/>
      <c r="AS82" s="46"/>
      <c r="AT82" s="46"/>
      <c r="AU82" s="47"/>
      <c r="AV82" s="45"/>
      <c r="AW82" s="42"/>
      <c r="AX82" s="42"/>
      <c r="AY82" s="42"/>
      <c r="AZ82" s="42"/>
      <c r="BA82" s="42"/>
      <c r="BB82" s="42"/>
      <c r="BC82" s="43"/>
      <c r="BD82" s="44"/>
      <c r="BE82" s="45"/>
      <c r="BF82" s="42"/>
      <c r="BG82" s="42"/>
      <c r="BH82" s="44"/>
      <c r="BI82" s="41"/>
      <c r="BJ82" s="42"/>
      <c r="BK82" s="44"/>
      <c r="BL82" s="45"/>
      <c r="BM82" s="42"/>
      <c r="BN82" s="44"/>
      <c r="BO82" s="49"/>
      <c r="BP82" s="37">
        <f t="shared" si="9"/>
        <v>0</v>
      </c>
    </row>
    <row r="83" spans="1:68" ht="25.5" customHeight="1" x14ac:dyDescent="0.15">
      <c r="A83" s="17">
        <f t="shared" si="10"/>
        <v>68</v>
      </c>
      <c r="B83" s="1042"/>
      <c r="C83" s="1043"/>
      <c r="D83" s="880"/>
      <c r="E83" s="953"/>
      <c r="F83" s="883"/>
      <c r="G83" s="882"/>
      <c r="H83" s="1048"/>
      <c r="I83" s="684" t="str">
        <f t="shared" si="6"/>
        <v/>
      </c>
      <c r="J83" s="754">
        <f t="shared" si="7"/>
        <v>0</v>
      </c>
      <c r="K83" s="1252"/>
      <c r="L83" s="1250"/>
      <c r="M83" s="1250"/>
      <c r="N83" s="773" t="str">
        <f t="shared" si="11"/>
        <v/>
      </c>
      <c r="O83" s="774" t="str">
        <f>IF('Set up ~ Config'!$G$32=6,IF(OR($N83=7,$N83=8,$N83=9),1,IF(OR($N83=10,$N83=11,$N83=12),2,IF(OR($N83=1,$N83=2,$N83=3),3,IF(OR($N83=4,$N83=5,$N83=6),4,"")))),IF(OR($N83=9,$N83=10,$N83=11),1,IF(OR($N83=12,$N83=1,$N83=2),2,IF(OR($N83=3,$N83=4,$N83=5),3,IF(OR($N83=6,$N83=7,$N83=8),4,"")))))</f>
        <v/>
      </c>
      <c r="P83" s="40"/>
      <c r="Q83" s="54"/>
      <c r="R83" s="46"/>
      <c r="S83" s="755">
        <f t="shared" si="8"/>
        <v>0</v>
      </c>
      <c r="T83" s="46"/>
      <c r="U83" s="46"/>
      <c r="V83" s="46"/>
      <c r="W83" s="46"/>
      <c r="X83" s="46"/>
      <c r="Y83" s="46"/>
      <c r="Z83" s="46"/>
      <c r="AA83" s="46"/>
      <c r="AB83" s="55"/>
      <c r="AC83" s="47"/>
      <c r="AD83" s="45"/>
      <c r="AE83" s="42"/>
      <c r="AF83" s="42"/>
      <c r="AG83" s="42"/>
      <c r="AH83" s="42"/>
      <c r="AI83" s="43"/>
      <c r="AJ83" s="43"/>
      <c r="AK83" s="42"/>
      <c r="AL83" s="41"/>
      <c r="AM83" s="45"/>
      <c r="AN83" s="42"/>
      <c r="AO83" s="46"/>
      <c r="AP83" s="46"/>
      <c r="AQ83" s="46"/>
      <c r="AR83" s="46"/>
      <c r="AS83" s="46"/>
      <c r="AT83" s="46"/>
      <c r="AU83" s="47"/>
      <c r="AV83" s="45"/>
      <c r="AW83" s="42"/>
      <c r="AX83" s="42"/>
      <c r="AY83" s="42"/>
      <c r="AZ83" s="42"/>
      <c r="BA83" s="42"/>
      <c r="BB83" s="42"/>
      <c r="BC83" s="43"/>
      <c r="BD83" s="44"/>
      <c r="BE83" s="45"/>
      <c r="BF83" s="42"/>
      <c r="BG83" s="42"/>
      <c r="BH83" s="44"/>
      <c r="BI83" s="41"/>
      <c r="BJ83" s="42"/>
      <c r="BK83" s="44"/>
      <c r="BL83" s="45"/>
      <c r="BM83" s="42"/>
      <c r="BN83" s="44"/>
      <c r="BO83" s="49"/>
      <c r="BP83" s="37">
        <f t="shared" si="9"/>
        <v>0</v>
      </c>
    </row>
    <row r="84" spans="1:68" ht="25.5" customHeight="1" x14ac:dyDescent="0.15">
      <c r="A84" s="17">
        <f t="shared" si="10"/>
        <v>69</v>
      </c>
      <c r="B84" s="1042"/>
      <c r="C84" s="1043"/>
      <c r="D84" s="880"/>
      <c r="E84" s="953"/>
      <c r="F84" s="883"/>
      <c r="G84" s="882"/>
      <c r="H84" s="1048"/>
      <c r="I84" s="684" t="str">
        <f t="shared" si="6"/>
        <v/>
      </c>
      <c r="J84" s="754">
        <f t="shared" si="7"/>
        <v>0</v>
      </c>
      <c r="K84" s="1252"/>
      <c r="L84" s="1250"/>
      <c r="M84" s="1250"/>
      <c r="N84" s="773" t="str">
        <f t="shared" si="11"/>
        <v/>
      </c>
      <c r="O84" s="774" t="str">
        <f>IF('Set up ~ Config'!$G$32=6,IF(OR($N84=7,$N84=8,$N84=9),1,IF(OR($N84=10,$N84=11,$N84=12),2,IF(OR($N84=1,$N84=2,$N84=3),3,IF(OR($N84=4,$N84=5,$N84=6),4,"")))),IF(OR($N84=9,$N84=10,$N84=11),1,IF(OR($N84=12,$N84=1,$N84=2),2,IF(OR($N84=3,$N84=4,$N84=5),3,IF(OR($N84=6,$N84=7,$N84=8),4,"")))))</f>
        <v/>
      </c>
      <c r="P84" s="40"/>
      <c r="Q84" s="54"/>
      <c r="R84" s="46"/>
      <c r="S84" s="755">
        <f t="shared" si="8"/>
        <v>0</v>
      </c>
      <c r="T84" s="46"/>
      <c r="U84" s="46"/>
      <c r="V84" s="46"/>
      <c r="W84" s="46"/>
      <c r="X84" s="46"/>
      <c r="Y84" s="46"/>
      <c r="Z84" s="46"/>
      <c r="AA84" s="46"/>
      <c r="AB84" s="55"/>
      <c r="AC84" s="47"/>
      <c r="AD84" s="45"/>
      <c r="AE84" s="42"/>
      <c r="AF84" s="42"/>
      <c r="AG84" s="42"/>
      <c r="AH84" s="42"/>
      <c r="AI84" s="43"/>
      <c r="AJ84" s="43"/>
      <c r="AK84" s="42"/>
      <c r="AL84" s="41"/>
      <c r="AM84" s="45"/>
      <c r="AN84" s="42"/>
      <c r="AO84" s="46"/>
      <c r="AP84" s="46"/>
      <c r="AQ84" s="46"/>
      <c r="AR84" s="46"/>
      <c r="AS84" s="46"/>
      <c r="AT84" s="46"/>
      <c r="AU84" s="47"/>
      <c r="AV84" s="45"/>
      <c r="AW84" s="42"/>
      <c r="AX84" s="42"/>
      <c r="AY84" s="42"/>
      <c r="AZ84" s="42"/>
      <c r="BA84" s="42"/>
      <c r="BB84" s="42"/>
      <c r="BC84" s="43"/>
      <c r="BD84" s="44"/>
      <c r="BE84" s="45"/>
      <c r="BF84" s="42"/>
      <c r="BG84" s="42"/>
      <c r="BH84" s="44"/>
      <c r="BI84" s="41"/>
      <c r="BJ84" s="42"/>
      <c r="BK84" s="44"/>
      <c r="BL84" s="45"/>
      <c r="BM84" s="42"/>
      <c r="BN84" s="44"/>
      <c r="BO84" s="49"/>
      <c r="BP84" s="37">
        <f t="shared" si="9"/>
        <v>0</v>
      </c>
    </row>
    <row r="85" spans="1:68" ht="25.5" customHeight="1" x14ac:dyDescent="0.15">
      <c r="A85" s="17">
        <f t="shared" si="10"/>
        <v>70</v>
      </c>
      <c r="B85" s="1042"/>
      <c r="C85" s="1043"/>
      <c r="D85" s="880"/>
      <c r="E85" s="953"/>
      <c r="F85" s="883"/>
      <c r="G85" s="882"/>
      <c r="H85" s="1048"/>
      <c r="I85" s="684" t="str">
        <f t="shared" si="6"/>
        <v/>
      </c>
      <c r="J85" s="754">
        <f t="shared" si="7"/>
        <v>0</v>
      </c>
      <c r="K85" s="1252"/>
      <c r="L85" s="1250"/>
      <c r="M85" s="1250"/>
      <c r="N85" s="773" t="str">
        <f t="shared" si="11"/>
        <v/>
      </c>
      <c r="O85" s="774" t="str">
        <f>IF('Set up ~ Config'!$G$32=6,IF(OR($N85=7,$N85=8,$N85=9),1,IF(OR($N85=10,$N85=11,$N85=12),2,IF(OR($N85=1,$N85=2,$N85=3),3,IF(OR($N85=4,$N85=5,$N85=6),4,"")))),IF(OR($N85=9,$N85=10,$N85=11),1,IF(OR($N85=12,$N85=1,$N85=2),2,IF(OR($N85=3,$N85=4,$N85=5),3,IF(OR($N85=6,$N85=7,$N85=8),4,"")))))</f>
        <v/>
      </c>
      <c r="P85" s="40"/>
      <c r="Q85" s="54"/>
      <c r="R85" s="46"/>
      <c r="S85" s="755">
        <f t="shared" si="8"/>
        <v>0</v>
      </c>
      <c r="T85" s="46"/>
      <c r="U85" s="46"/>
      <c r="V85" s="46"/>
      <c r="W85" s="46"/>
      <c r="X85" s="46"/>
      <c r="Y85" s="46"/>
      <c r="Z85" s="46"/>
      <c r="AA85" s="46"/>
      <c r="AB85" s="55"/>
      <c r="AC85" s="47"/>
      <c r="AD85" s="45"/>
      <c r="AE85" s="42"/>
      <c r="AF85" s="42"/>
      <c r="AG85" s="42"/>
      <c r="AH85" s="42"/>
      <c r="AI85" s="43"/>
      <c r="AJ85" s="43"/>
      <c r="AK85" s="42"/>
      <c r="AL85" s="41"/>
      <c r="AM85" s="45"/>
      <c r="AN85" s="42"/>
      <c r="AO85" s="46"/>
      <c r="AP85" s="46"/>
      <c r="AQ85" s="46"/>
      <c r="AR85" s="46"/>
      <c r="AS85" s="46"/>
      <c r="AT85" s="46"/>
      <c r="AU85" s="47"/>
      <c r="AV85" s="45"/>
      <c r="AW85" s="42"/>
      <c r="AX85" s="42"/>
      <c r="AY85" s="42"/>
      <c r="AZ85" s="42"/>
      <c r="BA85" s="42"/>
      <c r="BB85" s="42"/>
      <c r="BC85" s="43"/>
      <c r="BD85" s="44"/>
      <c r="BE85" s="45"/>
      <c r="BF85" s="42"/>
      <c r="BG85" s="42"/>
      <c r="BH85" s="44"/>
      <c r="BI85" s="41"/>
      <c r="BJ85" s="42"/>
      <c r="BK85" s="44"/>
      <c r="BL85" s="45"/>
      <c r="BM85" s="42"/>
      <c r="BN85" s="44"/>
      <c r="BO85" s="49"/>
      <c r="BP85" s="37">
        <f t="shared" si="9"/>
        <v>0</v>
      </c>
    </row>
    <row r="86" spans="1:68" ht="25.5" customHeight="1" x14ac:dyDescent="0.15">
      <c r="A86" s="17">
        <f t="shared" si="10"/>
        <v>71</v>
      </c>
      <c r="B86" s="1042"/>
      <c r="C86" s="1043"/>
      <c r="D86" s="880"/>
      <c r="E86" s="953"/>
      <c r="F86" s="883"/>
      <c r="G86" s="882"/>
      <c r="H86" s="1048"/>
      <c r="I86" s="684" t="str">
        <f t="shared" si="6"/>
        <v/>
      </c>
      <c r="J86" s="754">
        <f t="shared" si="7"/>
        <v>0</v>
      </c>
      <c r="K86" s="1252"/>
      <c r="L86" s="1250"/>
      <c r="M86" s="1250"/>
      <c r="N86" s="773" t="str">
        <f t="shared" si="11"/>
        <v/>
      </c>
      <c r="O86" s="774" t="str">
        <f>IF('Set up ~ Config'!$G$32=6,IF(OR($N86=7,$N86=8,$N86=9),1,IF(OR($N86=10,$N86=11,$N86=12),2,IF(OR($N86=1,$N86=2,$N86=3),3,IF(OR($N86=4,$N86=5,$N86=6),4,"")))),IF(OR($N86=9,$N86=10,$N86=11),1,IF(OR($N86=12,$N86=1,$N86=2),2,IF(OR($N86=3,$N86=4,$N86=5),3,IF(OR($N86=6,$N86=7,$N86=8),4,"")))))</f>
        <v/>
      </c>
      <c r="P86" s="40"/>
      <c r="Q86" s="54"/>
      <c r="R86" s="46"/>
      <c r="S86" s="755">
        <f t="shared" si="8"/>
        <v>0</v>
      </c>
      <c r="T86" s="46"/>
      <c r="U86" s="46"/>
      <c r="V86" s="46"/>
      <c r="W86" s="46"/>
      <c r="X86" s="46"/>
      <c r="Y86" s="46"/>
      <c r="Z86" s="46"/>
      <c r="AA86" s="46"/>
      <c r="AB86" s="55"/>
      <c r="AC86" s="47"/>
      <c r="AD86" s="45"/>
      <c r="AE86" s="42"/>
      <c r="AF86" s="42"/>
      <c r="AG86" s="42"/>
      <c r="AH86" s="42"/>
      <c r="AI86" s="43"/>
      <c r="AJ86" s="43"/>
      <c r="AK86" s="42"/>
      <c r="AL86" s="41"/>
      <c r="AM86" s="45"/>
      <c r="AN86" s="42"/>
      <c r="AO86" s="46"/>
      <c r="AP86" s="46"/>
      <c r="AQ86" s="46"/>
      <c r="AR86" s="46"/>
      <c r="AS86" s="46"/>
      <c r="AT86" s="46"/>
      <c r="AU86" s="47"/>
      <c r="AV86" s="45"/>
      <c r="AW86" s="42"/>
      <c r="AX86" s="42"/>
      <c r="AY86" s="42"/>
      <c r="AZ86" s="42"/>
      <c r="BA86" s="42"/>
      <c r="BB86" s="42"/>
      <c r="BC86" s="43"/>
      <c r="BD86" s="44"/>
      <c r="BE86" s="45"/>
      <c r="BF86" s="42"/>
      <c r="BG86" s="42"/>
      <c r="BH86" s="44"/>
      <c r="BI86" s="41"/>
      <c r="BJ86" s="42"/>
      <c r="BK86" s="44"/>
      <c r="BL86" s="45"/>
      <c r="BM86" s="42"/>
      <c r="BN86" s="44"/>
      <c r="BO86" s="49"/>
      <c r="BP86" s="37">
        <f t="shared" si="9"/>
        <v>0</v>
      </c>
    </row>
    <row r="87" spans="1:68" ht="25.5" customHeight="1" x14ac:dyDescent="0.15">
      <c r="A87" s="17">
        <f t="shared" si="10"/>
        <v>72</v>
      </c>
      <c r="B87" s="1042"/>
      <c r="C87" s="1043"/>
      <c r="D87" s="880"/>
      <c r="E87" s="953"/>
      <c r="F87" s="883"/>
      <c r="G87" s="882"/>
      <c r="H87" s="1048"/>
      <c r="I87" s="684" t="str">
        <f t="shared" si="6"/>
        <v/>
      </c>
      <c r="J87" s="754">
        <f t="shared" si="7"/>
        <v>0</v>
      </c>
      <c r="K87" s="1252"/>
      <c r="L87" s="1250"/>
      <c r="M87" s="1250"/>
      <c r="N87" s="773" t="str">
        <f t="shared" si="11"/>
        <v/>
      </c>
      <c r="O87" s="774" t="str">
        <f>IF('Set up ~ Config'!$G$32=6,IF(OR($N87=7,$N87=8,$N87=9),1,IF(OR($N87=10,$N87=11,$N87=12),2,IF(OR($N87=1,$N87=2,$N87=3),3,IF(OR($N87=4,$N87=5,$N87=6),4,"")))),IF(OR($N87=9,$N87=10,$N87=11),1,IF(OR($N87=12,$N87=1,$N87=2),2,IF(OR($N87=3,$N87=4,$N87=5),3,IF(OR($N87=6,$N87=7,$N87=8),4,"")))))</f>
        <v/>
      </c>
      <c r="P87" s="40"/>
      <c r="Q87" s="54"/>
      <c r="R87" s="46"/>
      <c r="S87" s="755">
        <f t="shared" si="8"/>
        <v>0</v>
      </c>
      <c r="T87" s="46"/>
      <c r="U87" s="46"/>
      <c r="V87" s="46"/>
      <c r="W87" s="46"/>
      <c r="X87" s="46"/>
      <c r="Y87" s="46"/>
      <c r="Z87" s="46"/>
      <c r="AA87" s="46"/>
      <c r="AB87" s="55"/>
      <c r="AC87" s="47"/>
      <c r="AD87" s="45"/>
      <c r="AE87" s="42"/>
      <c r="AF87" s="42"/>
      <c r="AG87" s="42"/>
      <c r="AH87" s="42"/>
      <c r="AI87" s="43"/>
      <c r="AJ87" s="43"/>
      <c r="AK87" s="42"/>
      <c r="AL87" s="41"/>
      <c r="AM87" s="45"/>
      <c r="AN87" s="42"/>
      <c r="AO87" s="46"/>
      <c r="AP87" s="46"/>
      <c r="AQ87" s="46"/>
      <c r="AR87" s="46"/>
      <c r="AS87" s="46"/>
      <c r="AT87" s="46"/>
      <c r="AU87" s="47"/>
      <c r="AV87" s="45"/>
      <c r="AW87" s="42"/>
      <c r="AX87" s="42"/>
      <c r="AY87" s="42"/>
      <c r="AZ87" s="42"/>
      <c r="BA87" s="42"/>
      <c r="BB87" s="42"/>
      <c r="BC87" s="43"/>
      <c r="BD87" s="44"/>
      <c r="BE87" s="45"/>
      <c r="BF87" s="42"/>
      <c r="BG87" s="42"/>
      <c r="BH87" s="44"/>
      <c r="BI87" s="41"/>
      <c r="BJ87" s="42"/>
      <c r="BK87" s="44"/>
      <c r="BL87" s="45"/>
      <c r="BM87" s="42"/>
      <c r="BN87" s="44"/>
      <c r="BO87" s="49"/>
      <c r="BP87" s="37">
        <f t="shared" si="9"/>
        <v>0</v>
      </c>
    </row>
    <row r="88" spans="1:68" ht="25.5" customHeight="1" x14ac:dyDescent="0.15">
      <c r="A88" s="17">
        <f t="shared" si="10"/>
        <v>73</v>
      </c>
      <c r="B88" s="1044"/>
      <c r="C88" s="1045"/>
      <c r="D88" s="38"/>
      <c r="E88" s="954"/>
      <c r="F88" s="53"/>
      <c r="G88" s="39"/>
      <c r="H88" s="1050"/>
      <c r="I88" s="684" t="str">
        <f t="shared" si="6"/>
        <v/>
      </c>
      <c r="J88" s="754">
        <f t="shared" si="7"/>
        <v>0</v>
      </c>
      <c r="K88" s="1252"/>
      <c r="L88" s="1250"/>
      <c r="M88" s="1250"/>
      <c r="N88" s="773" t="str">
        <f t="shared" si="11"/>
        <v/>
      </c>
      <c r="O88" s="774" t="str">
        <f>IF('Set up ~ Config'!$G$32=6,IF(OR($N88=7,$N88=8,$N88=9),1,IF(OR($N88=10,$N88=11,$N88=12),2,IF(OR($N88=1,$N88=2,$N88=3),3,IF(OR($N88=4,$N88=5,$N88=6),4,"")))),IF(OR($N88=9,$N88=10,$N88=11),1,IF(OR($N88=12,$N88=1,$N88=2),2,IF(OR($N88=3,$N88=4,$N88=5),3,IF(OR($N88=6,$N88=7,$N88=8),4,"")))))</f>
        <v/>
      </c>
      <c r="P88" s="40"/>
      <c r="Q88" s="54"/>
      <c r="R88" s="46"/>
      <c r="S88" s="755">
        <f t="shared" si="8"/>
        <v>0</v>
      </c>
      <c r="T88" s="46"/>
      <c r="U88" s="46"/>
      <c r="V88" s="46"/>
      <c r="W88" s="46"/>
      <c r="X88" s="46"/>
      <c r="Y88" s="46"/>
      <c r="Z88" s="46"/>
      <c r="AA88" s="46"/>
      <c r="AB88" s="55"/>
      <c r="AC88" s="47"/>
      <c r="AD88" s="45"/>
      <c r="AE88" s="42"/>
      <c r="AF88" s="42"/>
      <c r="AG88" s="42"/>
      <c r="AH88" s="42"/>
      <c r="AI88" s="43"/>
      <c r="AJ88" s="43"/>
      <c r="AK88" s="42"/>
      <c r="AL88" s="41"/>
      <c r="AM88" s="45"/>
      <c r="AN88" s="42"/>
      <c r="AO88" s="46"/>
      <c r="AP88" s="46"/>
      <c r="AQ88" s="46"/>
      <c r="AR88" s="46"/>
      <c r="AS88" s="46"/>
      <c r="AT88" s="46"/>
      <c r="AU88" s="47"/>
      <c r="AV88" s="45"/>
      <c r="AW88" s="42"/>
      <c r="AX88" s="42"/>
      <c r="AY88" s="42"/>
      <c r="AZ88" s="42"/>
      <c r="BA88" s="42"/>
      <c r="BB88" s="42"/>
      <c r="BC88" s="43"/>
      <c r="BD88" s="44"/>
      <c r="BE88" s="45"/>
      <c r="BF88" s="42"/>
      <c r="BG88" s="42"/>
      <c r="BH88" s="44"/>
      <c r="BI88" s="41"/>
      <c r="BJ88" s="42"/>
      <c r="BK88" s="44"/>
      <c r="BL88" s="45"/>
      <c r="BM88" s="42"/>
      <c r="BN88" s="44"/>
      <c r="BO88" s="49"/>
      <c r="BP88" s="37">
        <f t="shared" si="9"/>
        <v>0</v>
      </c>
    </row>
    <row r="89" spans="1:68" ht="25.5" customHeight="1" x14ac:dyDescent="0.15">
      <c r="A89" s="17">
        <f t="shared" si="10"/>
        <v>74</v>
      </c>
      <c r="B89" s="1044"/>
      <c r="C89" s="1045"/>
      <c r="D89" s="38"/>
      <c r="E89" s="954"/>
      <c r="F89" s="53"/>
      <c r="G89" s="39"/>
      <c r="H89" s="1048"/>
      <c r="I89" s="684" t="str">
        <f t="shared" si="6"/>
        <v/>
      </c>
      <c r="J89" s="754">
        <f t="shared" si="7"/>
        <v>0</v>
      </c>
      <c r="K89" s="1252"/>
      <c r="L89" s="1250"/>
      <c r="M89" s="1250"/>
      <c r="N89" s="773" t="str">
        <f t="shared" si="11"/>
        <v/>
      </c>
      <c r="O89" s="774" t="str">
        <f>IF('Set up ~ Config'!$G$32=6,IF(OR($N89=7,$N89=8,$N89=9),1,IF(OR($N89=10,$N89=11,$N89=12),2,IF(OR($N89=1,$N89=2,$N89=3),3,IF(OR($N89=4,$N89=5,$N89=6),4,"")))),IF(OR($N89=9,$N89=10,$N89=11),1,IF(OR($N89=12,$N89=1,$N89=2),2,IF(OR($N89=3,$N89=4,$N89=5),3,IF(OR($N89=6,$N89=7,$N89=8),4,"")))))</f>
        <v/>
      </c>
      <c r="P89" s="40"/>
      <c r="Q89" s="54"/>
      <c r="R89" s="46"/>
      <c r="S89" s="755">
        <f t="shared" si="8"/>
        <v>0</v>
      </c>
      <c r="T89" s="46"/>
      <c r="U89" s="46"/>
      <c r="V89" s="46"/>
      <c r="W89" s="46"/>
      <c r="X89" s="46"/>
      <c r="Y89" s="46"/>
      <c r="Z89" s="46"/>
      <c r="AA89" s="46"/>
      <c r="AB89" s="55"/>
      <c r="AC89" s="47"/>
      <c r="AD89" s="45"/>
      <c r="AE89" s="42"/>
      <c r="AF89" s="42"/>
      <c r="AG89" s="42"/>
      <c r="AH89" s="42"/>
      <c r="AI89" s="43"/>
      <c r="AJ89" s="43"/>
      <c r="AK89" s="42"/>
      <c r="AL89" s="41"/>
      <c r="AM89" s="45"/>
      <c r="AN89" s="42"/>
      <c r="AO89" s="46"/>
      <c r="AP89" s="46"/>
      <c r="AQ89" s="46"/>
      <c r="AR89" s="46"/>
      <c r="AS89" s="46"/>
      <c r="AT89" s="46"/>
      <c r="AU89" s="47"/>
      <c r="AV89" s="45"/>
      <c r="AW89" s="42"/>
      <c r="AX89" s="42"/>
      <c r="AY89" s="42"/>
      <c r="AZ89" s="42"/>
      <c r="BA89" s="42"/>
      <c r="BB89" s="42"/>
      <c r="BC89" s="43"/>
      <c r="BD89" s="44"/>
      <c r="BE89" s="45"/>
      <c r="BF89" s="42"/>
      <c r="BG89" s="42"/>
      <c r="BH89" s="44"/>
      <c r="BI89" s="41"/>
      <c r="BJ89" s="42"/>
      <c r="BK89" s="44"/>
      <c r="BL89" s="45"/>
      <c r="BM89" s="42"/>
      <c r="BN89" s="44"/>
      <c r="BO89" s="49"/>
      <c r="BP89" s="37">
        <f t="shared" si="9"/>
        <v>0</v>
      </c>
    </row>
    <row r="90" spans="1:68" ht="25.5" customHeight="1" x14ac:dyDescent="0.15">
      <c r="A90" s="17">
        <f t="shared" si="10"/>
        <v>75</v>
      </c>
      <c r="B90" s="1044"/>
      <c r="C90" s="1045"/>
      <c r="D90" s="38"/>
      <c r="E90" s="954"/>
      <c r="F90" s="53"/>
      <c r="G90" s="39"/>
      <c r="H90" s="1048"/>
      <c r="I90" s="684" t="str">
        <f t="shared" si="6"/>
        <v/>
      </c>
      <c r="J90" s="754">
        <f t="shared" si="7"/>
        <v>0</v>
      </c>
      <c r="K90" s="1252"/>
      <c r="L90" s="1250"/>
      <c r="M90" s="1250"/>
      <c r="N90" s="773" t="str">
        <f t="shared" si="11"/>
        <v/>
      </c>
      <c r="O90" s="774" t="str">
        <f>IF('Set up ~ Config'!$G$32=6,IF(OR($N90=7,$N90=8,$N90=9),1,IF(OR($N90=10,$N90=11,$N90=12),2,IF(OR($N90=1,$N90=2,$N90=3),3,IF(OR($N90=4,$N90=5,$N90=6),4,"")))),IF(OR($N90=9,$N90=10,$N90=11),1,IF(OR($N90=12,$N90=1,$N90=2),2,IF(OR($N90=3,$N90=4,$N90=5),3,IF(OR($N90=6,$N90=7,$N90=8),4,"")))))</f>
        <v/>
      </c>
      <c r="P90" s="40"/>
      <c r="Q90" s="54"/>
      <c r="R90" s="46"/>
      <c r="S90" s="755">
        <f t="shared" si="8"/>
        <v>0</v>
      </c>
      <c r="T90" s="46"/>
      <c r="U90" s="46"/>
      <c r="V90" s="46"/>
      <c r="W90" s="46"/>
      <c r="X90" s="46"/>
      <c r="Y90" s="46"/>
      <c r="Z90" s="46"/>
      <c r="AA90" s="46"/>
      <c r="AB90" s="55"/>
      <c r="AC90" s="47"/>
      <c r="AD90" s="45"/>
      <c r="AE90" s="42"/>
      <c r="AF90" s="42"/>
      <c r="AG90" s="42"/>
      <c r="AH90" s="42"/>
      <c r="AI90" s="43"/>
      <c r="AJ90" s="43"/>
      <c r="AK90" s="42"/>
      <c r="AL90" s="41"/>
      <c r="AM90" s="45"/>
      <c r="AN90" s="42"/>
      <c r="AO90" s="46"/>
      <c r="AP90" s="46"/>
      <c r="AQ90" s="46"/>
      <c r="AR90" s="46"/>
      <c r="AS90" s="46"/>
      <c r="AT90" s="46"/>
      <c r="AU90" s="47"/>
      <c r="AV90" s="45"/>
      <c r="AW90" s="42"/>
      <c r="AX90" s="42"/>
      <c r="AY90" s="42"/>
      <c r="AZ90" s="42"/>
      <c r="BA90" s="42"/>
      <c r="BB90" s="42"/>
      <c r="BC90" s="43"/>
      <c r="BD90" s="44"/>
      <c r="BE90" s="45"/>
      <c r="BF90" s="42"/>
      <c r="BG90" s="42"/>
      <c r="BH90" s="44"/>
      <c r="BI90" s="41"/>
      <c r="BJ90" s="42"/>
      <c r="BK90" s="44"/>
      <c r="BL90" s="45"/>
      <c r="BM90" s="42"/>
      <c r="BN90" s="44"/>
      <c r="BO90" s="49"/>
      <c r="BP90" s="37">
        <f t="shared" si="9"/>
        <v>0</v>
      </c>
    </row>
    <row r="91" spans="1:68" ht="25.5" customHeight="1" x14ac:dyDescent="0.15">
      <c r="A91" s="17">
        <f t="shared" si="10"/>
        <v>76</v>
      </c>
      <c r="B91" s="1044"/>
      <c r="C91" s="1045"/>
      <c r="D91" s="38"/>
      <c r="E91" s="954"/>
      <c r="F91" s="53"/>
      <c r="G91" s="39"/>
      <c r="H91" s="1048"/>
      <c r="I91" s="684" t="str">
        <f t="shared" si="6"/>
        <v/>
      </c>
      <c r="J91" s="754">
        <f t="shared" si="7"/>
        <v>0</v>
      </c>
      <c r="K91" s="1252"/>
      <c r="L91" s="1250"/>
      <c r="M91" s="1250"/>
      <c r="N91" s="773" t="str">
        <f t="shared" si="11"/>
        <v/>
      </c>
      <c r="O91" s="774" t="str">
        <f>IF('Set up ~ Config'!$G$32=6,IF(OR($N91=7,$N91=8,$N91=9),1,IF(OR($N91=10,$N91=11,$N91=12),2,IF(OR($N91=1,$N91=2,$N91=3),3,IF(OR($N91=4,$N91=5,$N91=6),4,"")))),IF(OR($N91=9,$N91=10,$N91=11),1,IF(OR($N91=12,$N91=1,$N91=2),2,IF(OR($N91=3,$N91=4,$N91=5),3,IF(OR($N91=6,$N91=7,$N91=8),4,"")))))</f>
        <v/>
      </c>
      <c r="P91" s="40"/>
      <c r="Q91" s="54"/>
      <c r="R91" s="46"/>
      <c r="S91" s="755">
        <f t="shared" si="8"/>
        <v>0</v>
      </c>
      <c r="T91" s="46"/>
      <c r="U91" s="46"/>
      <c r="V91" s="46"/>
      <c r="W91" s="46"/>
      <c r="X91" s="46"/>
      <c r="Y91" s="46"/>
      <c r="Z91" s="46"/>
      <c r="AA91" s="46"/>
      <c r="AB91" s="55"/>
      <c r="AC91" s="47"/>
      <c r="AD91" s="45"/>
      <c r="AE91" s="42"/>
      <c r="AF91" s="42"/>
      <c r="AG91" s="42"/>
      <c r="AH91" s="42"/>
      <c r="AI91" s="43"/>
      <c r="AJ91" s="43"/>
      <c r="AK91" s="42"/>
      <c r="AL91" s="41"/>
      <c r="AM91" s="45"/>
      <c r="AN91" s="42"/>
      <c r="AO91" s="46"/>
      <c r="AP91" s="46"/>
      <c r="AQ91" s="46"/>
      <c r="AR91" s="46"/>
      <c r="AS91" s="46"/>
      <c r="AT91" s="46"/>
      <c r="AU91" s="47"/>
      <c r="AV91" s="45"/>
      <c r="AW91" s="42"/>
      <c r="AX91" s="42"/>
      <c r="AY91" s="42"/>
      <c r="AZ91" s="42"/>
      <c r="BA91" s="42"/>
      <c r="BB91" s="42"/>
      <c r="BC91" s="43"/>
      <c r="BD91" s="44"/>
      <c r="BE91" s="45"/>
      <c r="BF91" s="42"/>
      <c r="BG91" s="42"/>
      <c r="BH91" s="44"/>
      <c r="BI91" s="41"/>
      <c r="BJ91" s="42"/>
      <c r="BK91" s="44"/>
      <c r="BL91" s="45"/>
      <c r="BM91" s="42"/>
      <c r="BN91" s="44"/>
      <c r="BO91" s="49"/>
      <c r="BP91" s="37">
        <f t="shared" si="9"/>
        <v>0</v>
      </c>
    </row>
    <row r="92" spans="1:68" ht="25.5" customHeight="1" x14ac:dyDescent="0.15">
      <c r="A92" s="17">
        <f t="shared" si="10"/>
        <v>77</v>
      </c>
      <c r="B92" s="1044"/>
      <c r="C92" s="1045"/>
      <c r="D92" s="38"/>
      <c r="E92" s="954"/>
      <c r="F92" s="53"/>
      <c r="G92" s="39"/>
      <c r="H92" s="1048"/>
      <c r="I92" s="684" t="str">
        <f t="shared" si="6"/>
        <v/>
      </c>
      <c r="J92" s="754">
        <f t="shared" si="7"/>
        <v>0</v>
      </c>
      <c r="K92" s="1252"/>
      <c r="L92" s="1250"/>
      <c r="M92" s="1250"/>
      <c r="N92" s="773" t="str">
        <f t="shared" si="11"/>
        <v/>
      </c>
      <c r="O92" s="774" t="str">
        <f>IF('Set up ~ Config'!$G$32=6,IF(OR($N92=7,$N92=8,$N92=9),1,IF(OR($N92=10,$N92=11,$N92=12),2,IF(OR($N92=1,$N92=2,$N92=3),3,IF(OR($N92=4,$N92=5,$N92=6),4,"")))),IF(OR($N92=9,$N92=10,$N92=11),1,IF(OR($N92=12,$N92=1,$N92=2),2,IF(OR($N92=3,$N92=4,$N92=5),3,IF(OR($N92=6,$N92=7,$N92=8),4,"")))))</f>
        <v/>
      </c>
      <c r="P92" s="40"/>
      <c r="Q92" s="54"/>
      <c r="R92" s="46"/>
      <c r="S92" s="755">
        <f t="shared" si="8"/>
        <v>0</v>
      </c>
      <c r="T92" s="46"/>
      <c r="U92" s="46"/>
      <c r="V92" s="46"/>
      <c r="W92" s="46"/>
      <c r="X92" s="46"/>
      <c r="Y92" s="46"/>
      <c r="Z92" s="46"/>
      <c r="AA92" s="46"/>
      <c r="AB92" s="55"/>
      <c r="AC92" s="47"/>
      <c r="AD92" s="45"/>
      <c r="AE92" s="42"/>
      <c r="AF92" s="42"/>
      <c r="AG92" s="42"/>
      <c r="AH92" s="42"/>
      <c r="AI92" s="43"/>
      <c r="AJ92" s="43"/>
      <c r="AK92" s="42"/>
      <c r="AL92" s="41"/>
      <c r="AM92" s="45"/>
      <c r="AN92" s="42"/>
      <c r="AO92" s="46"/>
      <c r="AP92" s="46"/>
      <c r="AQ92" s="46"/>
      <c r="AR92" s="46"/>
      <c r="AS92" s="46"/>
      <c r="AT92" s="46"/>
      <c r="AU92" s="47"/>
      <c r="AV92" s="45"/>
      <c r="AW92" s="42"/>
      <c r="AX92" s="42"/>
      <c r="AY92" s="42"/>
      <c r="AZ92" s="42"/>
      <c r="BA92" s="42"/>
      <c r="BB92" s="42"/>
      <c r="BC92" s="43"/>
      <c r="BD92" s="44"/>
      <c r="BE92" s="45"/>
      <c r="BF92" s="42"/>
      <c r="BG92" s="42"/>
      <c r="BH92" s="44"/>
      <c r="BI92" s="41"/>
      <c r="BJ92" s="42"/>
      <c r="BK92" s="44"/>
      <c r="BL92" s="45"/>
      <c r="BM92" s="42"/>
      <c r="BN92" s="44"/>
      <c r="BO92" s="49"/>
      <c r="BP92" s="37">
        <f t="shared" si="9"/>
        <v>0</v>
      </c>
    </row>
    <row r="93" spans="1:68" ht="25.5" customHeight="1" x14ac:dyDescent="0.15">
      <c r="A93" s="17">
        <f t="shared" si="10"/>
        <v>78</v>
      </c>
      <c r="B93" s="1044"/>
      <c r="C93" s="1045"/>
      <c r="D93" s="38"/>
      <c r="E93" s="954"/>
      <c r="F93" s="53"/>
      <c r="G93" s="39"/>
      <c r="H93" s="1048"/>
      <c r="I93" s="684" t="str">
        <f t="shared" si="6"/>
        <v/>
      </c>
      <c r="J93" s="754">
        <f t="shared" si="7"/>
        <v>0</v>
      </c>
      <c r="K93" s="1252"/>
      <c r="L93" s="1250"/>
      <c r="M93" s="1250"/>
      <c r="N93" s="773" t="str">
        <f t="shared" si="11"/>
        <v/>
      </c>
      <c r="O93" s="774" t="str">
        <f>IF('Set up ~ Config'!$G$32=6,IF(OR($N93=7,$N93=8,$N93=9),1,IF(OR($N93=10,$N93=11,$N93=12),2,IF(OR($N93=1,$N93=2,$N93=3),3,IF(OR($N93=4,$N93=5,$N93=6),4,"")))),IF(OR($N93=9,$N93=10,$N93=11),1,IF(OR($N93=12,$N93=1,$N93=2),2,IF(OR($N93=3,$N93=4,$N93=5),3,IF(OR($N93=6,$N93=7,$N93=8),4,"")))))</f>
        <v/>
      </c>
      <c r="P93" s="40"/>
      <c r="Q93" s="54"/>
      <c r="R93" s="46"/>
      <c r="S93" s="755">
        <f t="shared" si="8"/>
        <v>0</v>
      </c>
      <c r="T93" s="46"/>
      <c r="U93" s="46"/>
      <c r="V93" s="46"/>
      <c r="W93" s="46"/>
      <c r="X93" s="46"/>
      <c r="Y93" s="46"/>
      <c r="Z93" s="46"/>
      <c r="AA93" s="46"/>
      <c r="AB93" s="55"/>
      <c r="AC93" s="47"/>
      <c r="AD93" s="45"/>
      <c r="AE93" s="42"/>
      <c r="AF93" s="42"/>
      <c r="AG93" s="42"/>
      <c r="AH93" s="42"/>
      <c r="AI93" s="43"/>
      <c r="AJ93" s="43"/>
      <c r="AK93" s="42"/>
      <c r="AL93" s="41"/>
      <c r="AM93" s="45"/>
      <c r="AN93" s="42"/>
      <c r="AO93" s="46"/>
      <c r="AP93" s="46"/>
      <c r="AQ93" s="46"/>
      <c r="AR93" s="46"/>
      <c r="AS93" s="46"/>
      <c r="AT93" s="46"/>
      <c r="AU93" s="47"/>
      <c r="AV93" s="45"/>
      <c r="AW93" s="42"/>
      <c r="AX93" s="42"/>
      <c r="AY93" s="42"/>
      <c r="AZ93" s="42"/>
      <c r="BA93" s="42"/>
      <c r="BB93" s="42"/>
      <c r="BC93" s="43"/>
      <c r="BD93" s="44"/>
      <c r="BE93" s="45"/>
      <c r="BF93" s="42"/>
      <c r="BG93" s="42"/>
      <c r="BH93" s="44"/>
      <c r="BI93" s="41"/>
      <c r="BJ93" s="42"/>
      <c r="BK93" s="44"/>
      <c r="BL93" s="45"/>
      <c r="BM93" s="42"/>
      <c r="BN93" s="44"/>
      <c r="BO93" s="49"/>
      <c r="BP93" s="37">
        <f t="shared" si="9"/>
        <v>0</v>
      </c>
    </row>
    <row r="94" spans="1:68" ht="25.5" customHeight="1" x14ac:dyDescent="0.15">
      <c r="A94" s="17">
        <f t="shared" si="10"/>
        <v>79</v>
      </c>
      <c r="B94" s="1044"/>
      <c r="C94" s="1045"/>
      <c r="D94" s="38"/>
      <c r="E94" s="954"/>
      <c r="F94" s="53"/>
      <c r="G94" s="39"/>
      <c r="H94" s="1048"/>
      <c r="I94" s="684" t="str">
        <f t="shared" si="6"/>
        <v/>
      </c>
      <c r="J94" s="754">
        <f t="shared" si="7"/>
        <v>0</v>
      </c>
      <c r="K94" s="1252"/>
      <c r="L94" s="1250"/>
      <c r="M94" s="1250"/>
      <c r="N94" s="773" t="str">
        <f t="shared" si="11"/>
        <v/>
      </c>
      <c r="O94" s="774" t="str">
        <f>IF('Set up ~ Config'!$G$32=6,IF(OR($N94=7,$N94=8,$N94=9),1,IF(OR($N94=10,$N94=11,$N94=12),2,IF(OR($N94=1,$N94=2,$N94=3),3,IF(OR($N94=4,$N94=5,$N94=6),4,"")))),IF(OR($N94=9,$N94=10,$N94=11),1,IF(OR($N94=12,$N94=1,$N94=2),2,IF(OR($N94=3,$N94=4,$N94=5),3,IF(OR($N94=6,$N94=7,$N94=8),4,"")))))</f>
        <v/>
      </c>
      <c r="P94" s="40"/>
      <c r="Q94" s="54"/>
      <c r="R94" s="46"/>
      <c r="S94" s="755">
        <f t="shared" si="8"/>
        <v>0</v>
      </c>
      <c r="T94" s="46"/>
      <c r="U94" s="46"/>
      <c r="V94" s="46"/>
      <c r="W94" s="46"/>
      <c r="X94" s="46"/>
      <c r="Y94" s="46"/>
      <c r="Z94" s="46"/>
      <c r="AA94" s="46"/>
      <c r="AB94" s="55"/>
      <c r="AC94" s="47"/>
      <c r="AD94" s="45"/>
      <c r="AE94" s="42"/>
      <c r="AF94" s="42"/>
      <c r="AG94" s="42"/>
      <c r="AH94" s="42"/>
      <c r="AI94" s="43"/>
      <c r="AJ94" s="43"/>
      <c r="AK94" s="42"/>
      <c r="AL94" s="41"/>
      <c r="AM94" s="45"/>
      <c r="AN94" s="42"/>
      <c r="AO94" s="46"/>
      <c r="AP94" s="46"/>
      <c r="AQ94" s="46"/>
      <c r="AR94" s="46"/>
      <c r="AS94" s="46"/>
      <c r="AT94" s="46"/>
      <c r="AU94" s="47"/>
      <c r="AV94" s="45"/>
      <c r="AW94" s="42"/>
      <c r="AX94" s="42"/>
      <c r="AY94" s="42"/>
      <c r="AZ94" s="42"/>
      <c r="BA94" s="42"/>
      <c r="BB94" s="42"/>
      <c r="BC94" s="43"/>
      <c r="BD94" s="44"/>
      <c r="BE94" s="45"/>
      <c r="BF94" s="42"/>
      <c r="BG94" s="42"/>
      <c r="BH94" s="44"/>
      <c r="BI94" s="41"/>
      <c r="BJ94" s="42"/>
      <c r="BK94" s="44"/>
      <c r="BL94" s="45"/>
      <c r="BM94" s="42"/>
      <c r="BN94" s="44"/>
      <c r="BO94" s="49"/>
      <c r="BP94" s="37">
        <f t="shared" si="9"/>
        <v>0</v>
      </c>
    </row>
    <row r="95" spans="1:68" ht="25.5" customHeight="1" x14ac:dyDescent="0.15">
      <c r="A95" s="17">
        <f t="shared" si="10"/>
        <v>80</v>
      </c>
      <c r="B95" s="1044"/>
      <c r="C95" s="1045"/>
      <c r="D95" s="38"/>
      <c r="E95" s="954"/>
      <c r="F95" s="53"/>
      <c r="G95" s="39"/>
      <c r="H95" s="1048"/>
      <c r="I95" s="684" t="str">
        <f t="shared" si="6"/>
        <v/>
      </c>
      <c r="J95" s="754">
        <f t="shared" si="7"/>
        <v>0</v>
      </c>
      <c r="K95" s="1252"/>
      <c r="L95" s="1250"/>
      <c r="M95" s="1250"/>
      <c r="N95" s="773" t="str">
        <f t="shared" si="11"/>
        <v/>
      </c>
      <c r="O95" s="774" t="str">
        <f>IF('Set up ~ Config'!$G$32=6,IF(OR($N95=7,$N95=8,$N95=9),1,IF(OR($N95=10,$N95=11,$N95=12),2,IF(OR($N95=1,$N95=2,$N95=3),3,IF(OR($N95=4,$N95=5,$N95=6),4,"")))),IF(OR($N95=9,$N95=10,$N95=11),1,IF(OR($N95=12,$N95=1,$N95=2),2,IF(OR($N95=3,$N95=4,$N95=5),3,IF(OR($N95=6,$N95=7,$N95=8),4,"")))))</f>
        <v/>
      </c>
      <c r="P95" s="40"/>
      <c r="Q95" s="54"/>
      <c r="R95" s="46"/>
      <c r="S95" s="755">
        <f t="shared" si="8"/>
        <v>0</v>
      </c>
      <c r="T95" s="46"/>
      <c r="U95" s="46"/>
      <c r="V95" s="46"/>
      <c r="W95" s="46"/>
      <c r="X95" s="46"/>
      <c r="Y95" s="46"/>
      <c r="Z95" s="46"/>
      <c r="AA95" s="46"/>
      <c r="AB95" s="55"/>
      <c r="AC95" s="47"/>
      <c r="AD95" s="45"/>
      <c r="AE95" s="42"/>
      <c r="AF95" s="42"/>
      <c r="AG95" s="42"/>
      <c r="AH95" s="42"/>
      <c r="AI95" s="43"/>
      <c r="AJ95" s="43"/>
      <c r="AK95" s="42"/>
      <c r="AL95" s="41"/>
      <c r="AM95" s="45"/>
      <c r="AN95" s="42"/>
      <c r="AO95" s="46"/>
      <c r="AP95" s="46"/>
      <c r="AQ95" s="46"/>
      <c r="AR95" s="46"/>
      <c r="AS95" s="46"/>
      <c r="AT95" s="46"/>
      <c r="AU95" s="47"/>
      <c r="AV95" s="45"/>
      <c r="AW95" s="42"/>
      <c r="AX95" s="42"/>
      <c r="AY95" s="42"/>
      <c r="AZ95" s="42"/>
      <c r="BA95" s="42"/>
      <c r="BB95" s="42"/>
      <c r="BC95" s="43"/>
      <c r="BD95" s="44"/>
      <c r="BE95" s="45"/>
      <c r="BF95" s="42"/>
      <c r="BG95" s="42"/>
      <c r="BH95" s="44"/>
      <c r="BI95" s="41"/>
      <c r="BJ95" s="42"/>
      <c r="BK95" s="44"/>
      <c r="BL95" s="45"/>
      <c r="BM95" s="42"/>
      <c r="BN95" s="44"/>
      <c r="BO95" s="49"/>
      <c r="BP95" s="37">
        <f t="shared" si="9"/>
        <v>0</v>
      </c>
    </row>
    <row r="96" spans="1:68" ht="25.5" customHeight="1" x14ac:dyDescent="0.15">
      <c r="A96" s="17">
        <f t="shared" si="10"/>
        <v>81</v>
      </c>
      <c r="B96" s="1044"/>
      <c r="C96" s="1045"/>
      <c r="D96" s="38"/>
      <c r="E96" s="954"/>
      <c r="F96" s="53"/>
      <c r="G96" s="39"/>
      <c r="H96" s="1048"/>
      <c r="I96" s="684" t="str">
        <f t="shared" si="6"/>
        <v/>
      </c>
      <c r="J96" s="754">
        <f t="shared" si="7"/>
        <v>0</v>
      </c>
      <c r="K96" s="1252"/>
      <c r="L96" s="1250"/>
      <c r="M96" s="1250"/>
      <c r="N96" s="773" t="str">
        <f t="shared" si="11"/>
        <v/>
      </c>
      <c r="O96" s="774" t="str">
        <f>IF('Set up ~ Config'!$G$32=6,IF(OR($N96=7,$N96=8,$N96=9),1,IF(OR($N96=10,$N96=11,$N96=12),2,IF(OR($N96=1,$N96=2,$N96=3),3,IF(OR($N96=4,$N96=5,$N96=6),4,"")))),IF(OR($N96=9,$N96=10,$N96=11),1,IF(OR($N96=12,$N96=1,$N96=2),2,IF(OR($N96=3,$N96=4,$N96=5),3,IF(OR($N96=6,$N96=7,$N96=8),4,"")))))</f>
        <v/>
      </c>
      <c r="P96" s="40"/>
      <c r="Q96" s="54"/>
      <c r="R96" s="46"/>
      <c r="S96" s="755">
        <f t="shared" si="8"/>
        <v>0</v>
      </c>
      <c r="T96" s="46"/>
      <c r="U96" s="46"/>
      <c r="V96" s="46"/>
      <c r="W96" s="46"/>
      <c r="X96" s="46"/>
      <c r="Y96" s="46"/>
      <c r="Z96" s="46"/>
      <c r="AA96" s="46"/>
      <c r="AB96" s="55"/>
      <c r="AC96" s="47"/>
      <c r="AD96" s="45"/>
      <c r="AE96" s="42"/>
      <c r="AF96" s="42"/>
      <c r="AG96" s="42"/>
      <c r="AH96" s="42"/>
      <c r="AI96" s="43"/>
      <c r="AJ96" s="43"/>
      <c r="AK96" s="42"/>
      <c r="AL96" s="41"/>
      <c r="AM96" s="45"/>
      <c r="AN96" s="42"/>
      <c r="AO96" s="46"/>
      <c r="AP96" s="46"/>
      <c r="AQ96" s="46"/>
      <c r="AR96" s="46"/>
      <c r="AS96" s="46"/>
      <c r="AT96" s="46"/>
      <c r="AU96" s="47"/>
      <c r="AV96" s="45"/>
      <c r="AW96" s="42"/>
      <c r="AX96" s="42"/>
      <c r="AY96" s="42"/>
      <c r="AZ96" s="42"/>
      <c r="BA96" s="42"/>
      <c r="BB96" s="42"/>
      <c r="BC96" s="43"/>
      <c r="BD96" s="44"/>
      <c r="BE96" s="45"/>
      <c r="BF96" s="42"/>
      <c r="BG96" s="42"/>
      <c r="BH96" s="44"/>
      <c r="BI96" s="41"/>
      <c r="BJ96" s="42"/>
      <c r="BK96" s="44"/>
      <c r="BL96" s="45"/>
      <c r="BM96" s="42"/>
      <c r="BN96" s="44"/>
      <c r="BO96" s="49"/>
      <c r="BP96" s="37">
        <f t="shared" si="9"/>
        <v>0</v>
      </c>
    </row>
    <row r="97" spans="1:68" ht="25.5" customHeight="1" x14ac:dyDescent="0.15">
      <c r="A97" s="17">
        <f t="shared" si="10"/>
        <v>82</v>
      </c>
      <c r="B97" s="1044"/>
      <c r="C97" s="1045"/>
      <c r="D97" s="38"/>
      <c r="E97" s="954"/>
      <c r="F97" s="53"/>
      <c r="G97" s="39"/>
      <c r="H97" s="1048"/>
      <c r="I97" s="684" t="str">
        <f t="shared" si="6"/>
        <v/>
      </c>
      <c r="J97" s="754">
        <f t="shared" si="7"/>
        <v>0</v>
      </c>
      <c r="K97" s="1252"/>
      <c r="L97" s="1250"/>
      <c r="M97" s="1250"/>
      <c r="N97" s="773" t="str">
        <f t="shared" si="11"/>
        <v/>
      </c>
      <c r="O97" s="774" t="str">
        <f>IF('Set up ~ Config'!$G$32=6,IF(OR($N97=7,$N97=8,$N97=9),1,IF(OR($N97=10,$N97=11,$N97=12),2,IF(OR($N97=1,$N97=2,$N97=3),3,IF(OR($N97=4,$N97=5,$N97=6),4,"")))),IF(OR($N97=9,$N97=10,$N97=11),1,IF(OR($N97=12,$N97=1,$N97=2),2,IF(OR($N97=3,$N97=4,$N97=5),3,IF(OR($N97=6,$N97=7,$N97=8),4,"")))))</f>
        <v/>
      </c>
      <c r="P97" s="40"/>
      <c r="Q97" s="54"/>
      <c r="R97" s="46"/>
      <c r="S97" s="755">
        <f t="shared" si="8"/>
        <v>0</v>
      </c>
      <c r="T97" s="46"/>
      <c r="U97" s="46"/>
      <c r="V97" s="46"/>
      <c r="W97" s="46"/>
      <c r="X97" s="46"/>
      <c r="Y97" s="46"/>
      <c r="Z97" s="46"/>
      <c r="AA97" s="46"/>
      <c r="AB97" s="55"/>
      <c r="AC97" s="47"/>
      <c r="AD97" s="45"/>
      <c r="AE97" s="42"/>
      <c r="AF97" s="42"/>
      <c r="AG97" s="42"/>
      <c r="AH97" s="42"/>
      <c r="AI97" s="43"/>
      <c r="AJ97" s="43"/>
      <c r="AK97" s="42"/>
      <c r="AL97" s="41"/>
      <c r="AM97" s="45"/>
      <c r="AN97" s="42"/>
      <c r="AO97" s="46"/>
      <c r="AP97" s="46"/>
      <c r="AQ97" s="46"/>
      <c r="AR97" s="46"/>
      <c r="AS97" s="46"/>
      <c r="AT97" s="46"/>
      <c r="AU97" s="47"/>
      <c r="AV97" s="45"/>
      <c r="AW97" s="42"/>
      <c r="AX97" s="42"/>
      <c r="AY97" s="42"/>
      <c r="AZ97" s="42"/>
      <c r="BA97" s="42"/>
      <c r="BB97" s="42"/>
      <c r="BC97" s="43"/>
      <c r="BD97" s="44"/>
      <c r="BE97" s="45"/>
      <c r="BF97" s="42"/>
      <c r="BG97" s="42"/>
      <c r="BH97" s="44"/>
      <c r="BI97" s="41"/>
      <c r="BJ97" s="42"/>
      <c r="BK97" s="44"/>
      <c r="BL97" s="45"/>
      <c r="BM97" s="42"/>
      <c r="BN97" s="44"/>
      <c r="BO97" s="49"/>
      <c r="BP97" s="37">
        <f t="shared" si="9"/>
        <v>0</v>
      </c>
    </row>
    <row r="98" spans="1:68" ht="25.5" customHeight="1" x14ac:dyDescent="0.15">
      <c r="A98" s="17">
        <f t="shared" si="10"/>
        <v>83</v>
      </c>
      <c r="B98" s="1044"/>
      <c r="C98" s="1045"/>
      <c r="D98" s="38"/>
      <c r="E98" s="954"/>
      <c r="F98" s="53"/>
      <c r="G98" s="39"/>
      <c r="H98" s="1048"/>
      <c r="I98" s="684" t="str">
        <f t="shared" si="6"/>
        <v/>
      </c>
      <c r="J98" s="754">
        <f t="shared" si="7"/>
        <v>0</v>
      </c>
      <c r="K98" s="1252"/>
      <c r="L98" s="1250"/>
      <c r="M98" s="1250"/>
      <c r="N98" s="773" t="str">
        <f t="shared" si="11"/>
        <v/>
      </c>
      <c r="O98" s="774" t="str">
        <f>IF('Set up ~ Config'!$G$32=6,IF(OR($N98=7,$N98=8,$N98=9),1,IF(OR($N98=10,$N98=11,$N98=12),2,IF(OR($N98=1,$N98=2,$N98=3),3,IF(OR($N98=4,$N98=5,$N98=6),4,"")))),IF(OR($N98=9,$N98=10,$N98=11),1,IF(OR($N98=12,$N98=1,$N98=2),2,IF(OR($N98=3,$N98=4,$N98=5),3,IF(OR($N98=6,$N98=7,$N98=8),4,"")))))</f>
        <v/>
      </c>
      <c r="P98" s="40"/>
      <c r="Q98" s="54"/>
      <c r="R98" s="46"/>
      <c r="S98" s="755">
        <f t="shared" si="8"/>
        <v>0</v>
      </c>
      <c r="T98" s="46"/>
      <c r="U98" s="46"/>
      <c r="V98" s="46"/>
      <c r="W98" s="46"/>
      <c r="X98" s="46"/>
      <c r="Y98" s="46"/>
      <c r="Z98" s="46"/>
      <c r="AA98" s="46"/>
      <c r="AB98" s="55"/>
      <c r="AC98" s="47"/>
      <c r="AD98" s="45"/>
      <c r="AE98" s="42"/>
      <c r="AF98" s="42"/>
      <c r="AG98" s="42"/>
      <c r="AH98" s="42"/>
      <c r="AI98" s="43"/>
      <c r="AJ98" s="43"/>
      <c r="AK98" s="42"/>
      <c r="AL98" s="41"/>
      <c r="AM98" s="45"/>
      <c r="AN98" s="42"/>
      <c r="AO98" s="46"/>
      <c r="AP98" s="46"/>
      <c r="AQ98" s="46"/>
      <c r="AR98" s="46"/>
      <c r="AS98" s="46"/>
      <c r="AT98" s="46"/>
      <c r="AU98" s="47"/>
      <c r="AV98" s="45"/>
      <c r="AW98" s="42"/>
      <c r="AX98" s="42"/>
      <c r="AY98" s="42"/>
      <c r="AZ98" s="42"/>
      <c r="BA98" s="42"/>
      <c r="BB98" s="42"/>
      <c r="BC98" s="43"/>
      <c r="BD98" s="44"/>
      <c r="BE98" s="45"/>
      <c r="BF98" s="42"/>
      <c r="BG98" s="42"/>
      <c r="BH98" s="44"/>
      <c r="BI98" s="41"/>
      <c r="BJ98" s="42"/>
      <c r="BK98" s="44"/>
      <c r="BL98" s="45"/>
      <c r="BM98" s="42"/>
      <c r="BN98" s="44"/>
      <c r="BO98" s="49"/>
      <c r="BP98" s="37">
        <f t="shared" si="9"/>
        <v>0</v>
      </c>
    </row>
    <row r="99" spans="1:68" ht="25.5" customHeight="1" x14ac:dyDescent="0.15">
      <c r="A99" s="17">
        <f t="shared" si="10"/>
        <v>84</v>
      </c>
      <c r="B99" s="1044"/>
      <c r="C99" s="1045"/>
      <c r="D99" s="38"/>
      <c r="E99" s="954"/>
      <c r="F99" s="50"/>
      <c r="G99" s="39"/>
      <c r="H99" s="1048"/>
      <c r="I99" s="684" t="str">
        <f t="shared" si="6"/>
        <v/>
      </c>
      <c r="J99" s="754">
        <f t="shared" si="7"/>
        <v>0</v>
      </c>
      <c r="K99" s="1252"/>
      <c r="L99" s="1250"/>
      <c r="M99" s="1250"/>
      <c r="N99" s="773" t="str">
        <f t="shared" si="11"/>
        <v/>
      </c>
      <c r="O99" s="774" t="str">
        <f>IF('Set up ~ Config'!$G$32=6,IF(OR($N99=7,$N99=8,$N99=9),1,IF(OR($N99=10,$N99=11,$N99=12),2,IF(OR($N99=1,$N99=2,$N99=3),3,IF(OR($N99=4,$N99=5,$N99=6),4,"")))),IF(OR($N99=9,$N99=10,$N99=11),1,IF(OR($N99=12,$N99=1,$N99=2),2,IF(OR($N99=3,$N99=4,$N99=5),3,IF(OR($N99=6,$N99=7,$N99=8),4,"")))))</f>
        <v/>
      </c>
      <c r="P99" s="40"/>
      <c r="Q99" s="54"/>
      <c r="R99" s="46"/>
      <c r="S99" s="755">
        <f t="shared" si="8"/>
        <v>0</v>
      </c>
      <c r="T99" s="46"/>
      <c r="U99" s="46"/>
      <c r="V99" s="46"/>
      <c r="W99" s="46"/>
      <c r="X99" s="46"/>
      <c r="Y99" s="46"/>
      <c r="Z99" s="46"/>
      <c r="AA99" s="46"/>
      <c r="AB99" s="55"/>
      <c r="AC99" s="47"/>
      <c r="AD99" s="45"/>
      <c r="AE99" s="42"/>
      <c r="AF99" s="42"/>
      <c r="AG99" s="42"/>
      <c r="AH99" s="42"/>
      <c r="AI99" s="43"/>
      <c r="AJ99" s="43"/>
      <c r="AK99" s="42"/>
      <c r="AL99" s="41"/>
      <c r="AM99" s="45"/>
      <c r="AN99" s="42"/>
      <c r="AO99" s="46"/>
      <c r="AP99" s="46"/>
      <c r="AQ99" s="46"/>
      <c r="AR99" s="46"/>
      <c r="AS99" s="46"/>
      <c r="AT99" s="46"/>
      <c r="AU99" s="47"/>
      <c r="AV99" s="45"/>
      <c r="AW99" s="42"/>
      <c r="AX99" s="42"/>
      <c r="AY99" s="42"/>
      <c r="AZ99" s="42"/>
      <c r="BA99" s="42"/>
      <c r="BB99" s="42"/>
      <c r="BC99" s="43"/>
      <c r="BD99" s="44"/>
      <c r="BE99" s="45"/>
      <c r="BF99" s="42"/>
      <c r="BG99" s="42"/>
      <c r="BH99" s="44"/>
      <c r="BI99" s="41"/>
      <c r="BJ99" s="42"/>
      <c r="BK99" s="44"/>
      <c r="BL99" s="45"/>
      <c r="BM99" s="42"/>
      <c r="BN99" s="44"/>
      <c r="BO99" s="49"/>
      <c r="BP99" s="37">
        <f t="shared" si="9"/>
        <v>0</v>
      </c>
    </row>
    <row r="100" spans="1:68" ht="25.5" customHeight="1" x14ac:dyDescent="0.15">
      <c r="A100" s="17">
        <f t="shared" si="10"/>
        <v>85</v>
      </c>
      <c r="B100" s="1044"/>
      <c r="C100" s="1045"/>
      <c r="D100" s="38"/>
      <c r="E100" s="954"/>
      <c r="F100" s="53"/>
      <c r="G100" s="39"/>
      <c r="H100" s="1048"/>
      <c r="I100" s="684" t="str">
        <f t="shared" si="6"/>
        <v/>
      </c>
      <c r="J100" s="754">
        <f t="shared" si="7"/>
        <v>0</v>
      </c>
      <c r="K100" s="1252"/>
      <c r="L100" s="1250"/>
      <c r="M100" s="1250"/>
      <c r="N100" s="773" t="str">
        <f t="shared" si="11"/>
        <v/>
      </c>
      <c r="O100" s="774" t="str">
        <f>IF('Set up ~ Config'!$G$32=6,IF(OR($N100=7,$N100=8,$N100=9),1,IF(OR($N100=10,$N100=11,$N100=12),2,IF(OR($N100=1,$N100=2,$N100=3),3,IF(OR($N100=4,$N100=5,$N100=6),4,"")))),IF(OR($N100=9,$N100=10,$N100=11),1,IF(OR($N100=12,$N100=1,$N100=2),2,IF(OR($N100=3,$N100=4,$N100=5),3,IF(OR($N100=6,$N100=7,$N100=8),4,"")))))</f>
        <v/>
      </c>
      <c r="P100" s="40"/>
      <c r="Q100" s="54"/>
      <c r="R100" s="46"/>
      <c r="S100" s="755">
        <f t="shared" si="8"/>
        <v>0</v>
      </c>
      <c r="T100" s="46"/>
      <c r="U100" s="46"/>
      <c r="V100" s="46"/>
      <c r="W100" s="46"/>
      <c r="X100" s="46"/>
      <c r="Y100" s="46"/>
      <c r="Z100" s="46"/>
      <c r="AA100" s="46"/>
      <c r="AB100" s="55"/>
      <c r="AC100" s="47"/>
      <c r="AD100" s="45"/>
      <c r="AE100" s="42"/>
      <c r="AF100" s="42"/>
      <c r="AG100" s="42"/>
      <c r="AH100" s="42"/>
      <c r="AI100" s="43"/>
      <c r="AJ100" s="43"/>
      <c r="AK100" s="42"/>
      <c r="AL100" s="41"/>
      <c r="AM100" s="45"/>
      <c r="AN100" s="42"/>
      <c r="AO100" s="46"/>
      <c r="AP100" s="46"/>
      <c r="AQ100" s="46"/>
      <c r="AR100" s="46"/>
      <c r="AS100" s="46"/>
      <c r="AT100" s="46"/>
      <c r="AU100" s="47"/>
      <c r="AV100" s="45"/>
      <c r="AW100" s="42"/>
      <c r="AX100" s="42"/>
      <c r="AY100" s="42"/>
      <c r="AZ100" s="42"/>
      <c r="BA100" s="42"/>
      <c r="BB100" s="42"/>
      <c r="BC100" s="43"/>
      <c r="BD100" s="44"/>
      <c r="BE100" s="45"/>
      <c r="BF100" s="42"/>
      <c r="BG100" s="42"/>
      <c r="BH100" s="44"/>
      <c r="BI100" s="41"/>
      <c r="BJ100" s="42"/>
      <c r="BK100" s="44"/>
      <c r="BL100" s="45"/>
      <c r="BM100" s="42"/>
      <c r="BN100" s="44"/>
      <c r="BO100" s="49"/>
      <c r="BP100" s="37">
        <f t="shared" si="9"/>
        <v>0</v>
      </c>
    </row>
    <row r="101" spans="1:68" ht="25.5" customHeight="1" x14ac:dyDescent="0.15">
      <c r="A101" s="17">
        <f t="shared" si="10"/>
        <v>86</v>
      </c>
      <c r="B101" s="1044"/>
      <c r="C101" s="1045"/>
      <c r="D101" s="38"/>
      <c r="E101" s="954"/>
      <c r="F101" s="50"/>
      <c r="G101" s="39"/>
      <c r="H101" s="1048"/>
      <c r="I101" s="684" t="str">
        <f t="shared" si="6"/>
        <v/>
      </c>
      <c r="J101" s="754">
        <f t="shared" si="7"/>
        <v>0</v>
      </c>
      <c r="K101" s="1252"/>
      <c r="L101" s="1250"/>
      <c r="M101" s="1250"/>
      <c r="N101" s="773" t="str">
        <f t="shared" si="11"/>
        <v/>
      </c>
      <c r="O101" s="774" t="str">
        <f>IF('Set up ~ Config'!$G$32=6,IF(OR($N101=7,$N101=8,$N101=9),1,IF(OR($N101=10,$N101=11,$N101=12),2,IF(OR($N101=1,$N101=2,$N101=3),3,IF(OR($N101=4,$N101=5,$N101=6),4,"")))),IF(OR($N101=9,$N101=10,$N101=11),1,IF(OR($N101=12,$N101=1,$N101=2),2,IF(OR($N101=3,$N101=4,$N101=5),3,IF(OR($N101=6,$N101=7,$N101=8),4,"")))))</f>
        <v/>
      </c>
      <c r="P101" s="40"/>
      <c r="Q101" s="54"/>
      <c r="R101" s="46"/>
      <c r="S101" s="755">
        <f t="shared" si="8"/>
        <v>0</v>
      </c>
      <c r="T101" s="46"/>
      <c r="U101" s="46"/>
      <c r="V101" s="46"/>
      <c r="W101" s="46"/>
      <c r="X101" s="46"/>
      <c r="Y101" s="46"/>
      <c r="Z101" s="46"/>
      <c r="AA101" s="46"/>
      <c r="AB101" s="55"/>
      <c r="AC101" s="47"/>
      <c r="AD101" s="45"/>
      <c r="AE101" s="42"/>
      <c r="AF101" s="42"/>
      <c r="AG101" s="42"/>
      <c r="AH101" s="42"/>
      <c r="AI101" s="43"/>
      <c r="AJ101" s="43"/>
      <c r="AK101" s="42"/>
      <c r="AL101" s="41"/>
      <c r="AM101" s="45"/>
      <c r="AN101" s="42"/>
      <c r="AO101" s="46"/>
      <c r="AP101" s="46"/>
      <c r="AQ101" s="46"/>
      <c r="AR101" s="46"/>
      <c r="AS101" s="46"/>
      <c r="AT101" s="46"/>
      <c r="AU101" s="47"/>
      <c r="AV101" s="45"/>
      <c r="AW101" s="42"/>
      <c r="AX101" s="42"/>
      <c r="AY101" s="42"/>
      <c r="AZ101" s="42"/>
      <c r="BA101" s="42"/>
      <c r="BB101" s="42"/>
      <c r="BC101" s="43"/>
      <c r="BD101" s="44"/>
      <c r="BE101" s="45"/>
      <c r="BF101" s="42"/>
      <c r="BG101" s="42"/>
      <c r="BH101" s="44"/>
      <c r="BI101" s="41"/>
      <c r="BJ101" s="42"/>
      <c r="BK101" s="44"/>
      <c r="BL101" s="45"/>
      <c r="BM101" s="42"/>
      <c r="BN101" s="44"/>
      <c r="BO101" s="49"/>
      <c r="BP101" s="37">
        <f t="shared" si="9"/>
        <v>0</v>
      </c>
    </row>
    <row r="102" spans="1:68" ht="25.5" customHeight="1" x14ac:dyDescent="0.15">
      <c r="A102" s="17">
        <f t="shared" si="10"/>
        <v>87</v>
      </c>
      <c r="B102" s="1044"/>
      <c r="C102" s="1045"/>
      <c r="D102" s="38"/>
      <c r="E102" s="954"/>
      <c r="F102" s="50"/>
      <c r="G102" s="39"/>
      <c r="H102" s="1050"/>
      <c r="I102" s="684" t="str">
        <f t="shared" si="6"/>
        <v/>
      </c>
      <c r="J102" s="754">
        <f t="shared" si="7"/>
        <v>0</v>
      </c>
      <c r="K102" s="1252"/>
      <c r="L102" s="1250"/>
      <c r="M102" s="1250"/>
      <c r="N102" s="773" t="str">
        <f t="shared" si="11"/>
        <v/>
      </c>
      <c r="O102" s="774" t="str">
        <f>IF('Set up ~ Config'!$G$32=6,IF(OR($N102=7,$N102=8,$N102=9),1,IF(OR($N102=10,$N102=11,$N102=12),2,IF(OR($N102=1,$N102=2,$N102=3),3,IF(OR($N102=4,$N102=5,$N102=6),4,"")))),IF(OR($N102=9,$N102=10,$N102=11),1,IF(OR($N102=12,$N102=1,$N102=2),2,IF(OR($N102=3,$N102=4,$N102=5),3,IF(OR($N102=6,$N102=7,$N102=8),4,"")))))</f>
        <v/>
      </c>
      <c r="P102" s="40"/>
      <c r="Q102" s="54"/>
      <c r="R102" s="46"/>
      <c r="S102" s="755">
        <f t="shared" si="8"/>
        <v>0</v>
      </c>
      <c r="T102" s="46"/>
      <c r="U102" s="46"/>
      <c r="V102" s="46"/>
      <c r="W102" s="46"/>
      <c r="X102" s="46"/>
      <c r="Y102" s="46"/>
      <c r="Z102" s="46"/>
      <c r="AA102" s="46"/>
      <c r="AB102" s="55"/>
      <c r="AC102" s="47"/>
      <c r="AD102" s="45"/>
      <c r="AE102" s="42"/>
      <c r="AF102" s="42"/>
      <c r="AG102" s="42"/>
      <c r="AH102" s="42"/>
      <c r="AI102" s="43"/>
      <c r="AJ102" s="43"/>
      <c r="AK102" s="42"/>
      <c r="AL102" s="41"/>
      <c r="AM102" s="45"/>
      <c r="AN102" s="42"/>
      <c r="AO102" s="46"/>
      <c r="AP102" s="46"/>
      <c r="AQ102" s="46"/>
      <c r="AR102" s="46"/>
      <c r="AS102" s="46"/>
      <c r="AT102" s="46"/>
      <c r="AU102" s="47"/>
      <c r="AV102" s="45"/>
      <c r="AW102" s="42"/>
      <c r="AX102" s="42"/>
      <c r="AY102" s="42"/>
      <c r="AZ102" s="42"/>
      <c r="BA102" s="42"/>
      <c r="BB102" s="42"/>
      <c r="BC102" s="43"/>
      <c r="BD102" s="44"/>
      <c r="BE102" s="45"/>
      <c r="BF102" s="42"/>
      <c r="BG102" s="42"/>
      <c r="BH102" s="44"/>
      <c r="BI102" s="41"/>
      <c r="BJ102" s="42"/>
      <c r="BK102" s="44"/>
      <c r="BL102" s="45"/>
      <c r="BM102" s="42"/>
      <c r="BN102" s="44"/>
      <c r="BO102" s="49"/>
      <c r="BP102" s="37">
        <f t="shared" si="9"/>
        <v>0</v>
      </c>
    </row>
    <row r="103" spans="1:68" ht="25.5" customHeight="1" x14ac:dyDescent="0.15">
      <c r="A103" s="17">
        <f t="shared" si="10"/>
        <v>88</v>
      </c>
      <c r="B103" s="1044"/>
      <c r="C103" s="1045"/>
      <c r="D103" s="38"/>
      <c r="E103" s="954"/>
      <c r="F103" s="50"/>
      <c r="G103" s="39"/>
      <c r="H103" s="1048"/>
      <c r="I103" s="684" t="str">
        <f t="shared" si="6"/>
        <v/>
      </c>
      <c r="J103" s="754">
        <f t="shared" si="7"/>
        <v>0</v>
      </c>
      <c r="K103" s="1252"/>
      <c r="L103" s="1250"/>
      <c r="M103" s="1250"/>
      <c r="N103" s="773" t="str">
        <f t="shared" si="11"/>
        <v/>
      </c>
      <c r="O103" s="774" t="str">
        <f>IF('Set up ~ Config'!$G$32=6,IF(OR($N103=7,$N103=8,$N103=9),1,IF(OR($N103=10,$N103=11,$N103=12),2,IF(OR($N103=1,$N103=2,$N103=3),3,IF(OR($N103=4,$N103=5,$N103=6),4,"")))),IF(OR($N103=9,$N103=10,$N103=11),1,IF(OR($N103=12,$N103=1,$N103=2),2,IF(OR($N103=3,$N103=4,$N103=5),3,IF(OR($N103=6,$N103=7,$N103=8),4,"")))))</f>
        <v/>
      </c>
      <c r="P103" s="40"/>
      <c r="Q103" s="54"/>
      <c r="R103" s="46"/>
      <c r="S103" s="755">
        <f t="shared" si="8"/>
        <v>0</v>
      </c>
      <c r="T103" s="46"/>
      <c r="U103" s="46"/>
      <c r="V103" s="46"/>
      <c r="W103" s="46"/>
      <c r="X103" s="46"/>
      <c r="Y103" s="46"/>
      <c r="Z103" s="46"/>
      <c r="AA103" s="46"/>
      <c r="AB103" s="55"/>
      <c r="AC103" s="47"/>
      <c r="AD103" s="45"/>
      <c r="AE103" s="42"/>
      <c r="AF103" s="42"/>
      <c r="AG103" s="42"/>
      <c r="AH103" s="42"/>
      <c r="AI103" s="43"/>
      <c r="AJ103" s="43"/>
      <c r="AK103" s="42"/>
      <c r="AL103" s="41"/>
      <c r="AM103" s="45"/>
      <c r="AN103" s="42"/>
      <c r="AO103" s="46"/>
      <c r="AP103" s="46"/>
      <c r="AQ103" s="46"/>
      <c r="AR103" s="46"/>
      <c r="AS103" s="46"/>
      <c r="AT103" s="46"/>
      <c r="AU103" s="47"/>
      <c r="AV103" s="45"/>
      <c r="AW103" s="42"/>
      <c r="AX103" s="42"/>
      <c r="AY103" s="42"/>
      <c r="AZ103" s="42"/>
      <c r="BA103" s="42"/>
      <c r="BB103" s="42"/>
      <c r="BC103" s="43"/>
      <c r="BD103" s="44"/>
      <c r="BE103" s="45"/>
      <c r="BF103" s="42"/>
      <c r="BG103" s="42"/>
      <c r="BH103" s="44"/>
      <c r="BI103" s="41"/>
      <c r="BJ103" s="42"/>
      <c r="BK103" s="44"/>
      <c r="BL103" s="45"/>
      <c r="BM103" s="42"/>
      <c r="BN103" s="44"/>
      <c r="BO103" s="49"/>
      <c r="BP103" s="37">
        <f t="shared" si="9"/>
        <v>0</v>
      </c>
    </row>
    <row r="104" spans="1:68" ht="25.5" customHeight="1" x14ac:dyDescent="0.15">
      <c r="A104" s="17">
        <f t="shared" si="10"/>
        <v>89</v>
      </c>
      <c r="B104" s="1044"/>
      <c r="C104" s="1045"/>
      <c r="D104" s="38"/>
      <c r="E104" s="954"/>
      <c r="F104" s="53"/>
      <c r="G104" s="39"/>
      <c r="H104" s="1050"/>
      <c r="I104" s="684" t="str">
        <f t="shared" si="6"/>
        <v/>
      </c>
      <c r="J104" s="754">
        <f t="shared" si="7"/>
        <v>0</v>
      </c>
      <c r="K104" s="1252"/>
      <c r="L104" s="1250"/>
      <c r="M104" s="1250"/>
      <c r="N104" s="773" t="str">
        <f t="shared" si="11"/>
        <v/>
      </c>
      <c r="O104" s="774" t="str">
        <f>IF('Set up ~ Config'!$G$32=6,IF(OR($N104=7,$N104=8,$N104=9),1,IF(OR($N104=10,$N104=11,$N104=12),2,IF(OR($N104=1,$N104=2,$N104=3),3,IF(OR($N104=4,$N104=5,$N104=6),4,"")))),IF(OR($N104=9,$N104=10,$N104=11),1,IF(OR($N104=12,$N104=1,$N104=2),2,IF(OR($N104=3,$N104=4,$N104=5),3,IF(OR($N104=6,$N104=7,$N104=8),4,"")))))</f>
        <v/>
      </c>
      <c r="P104" s="40"/>
      <c r="Q104" s="54"/>
      <c r="R104" s="46"/>
      <c r="S104" s="755">
        <f t="shared" si="8"/>
        <v>0</v>
      </c>
      <c r="T104" s="46"/>
      <c r="U104" s="46"/>
      <c r="V104" s="46"/>
      <c r="W104" s="46"/>
      <c r="X104" s="46"/>
      <c r="Y104" s="46"/>
      <c r="Z104" s="46"/>
      <c r="AA104" s="46"/>
      <c r="AB104" s="55"/>
      <c r="AC104" s="47"/>
      <c r="AD104" s="56"/>
      <c r="AE104" s="51"/>
      <c r="AF104" s="51"/>
      <c r="AG104" s="46"/>
      <c r="AH104" s="46"/>
      <c r="AI104" s="55"/>
      <c r="AJ104" s="55"/>
      <c r="AK104" s="46"/>
      <c r="AL104" s="54"/>
      <c r="AM104" s="45"/>
      <c r="AN104" s="42"/>
      <c r="AO104" s="46"/>
      <c r="AP104" s="46"/>
      <c r="AQ104" s="46"/>
      <c r="AR104" s="46"/>
      <c r="AS104" s="46"/>
      <c r="AT104" s="46"/>
      <c r="AU104" s="47"/>
      <c r="AV104" s="45"/>
      <c r="AW104" s="42"/>
      <c r="AX104" s="42"/>
      <c r="AY104" s="42"/>
      <c r="AZ104" s="42"/>
      <c r="BA104" s="42"/>
      <c r="BB104" s="42"/>
      <c r="BC104" s="43"/>
      <c r="BD104" s="44"/>
      <c r="BE104" s="45"/>
      <c r="BF104" s="42"/>
      <c r="BG104" s="42"/>
      <c r="BH104" s="44"/>
      <c r="BI104" s="41"/>
      <c r="BJ104" s="42"/>
      <c r="BK104" s="44"/>
      <c r="BL104" s="45"/>
      <c r="BM104" s="42"/>
      <c r="BN104" s="44"/>
      <c r="BO104" s="49"/>
      <c r="BP104" s="37">
        <f t="shared" si="9"/>
        <v>0</v>
      </c>
    </row>
    <row r="105" spans="1:68" ht="25.5" customHeight="1" x14ac:dyDescent="0.15">
      <c r="A105" s="17">
        <f t="shared" si="10"/>
        <v>90</v>
      </c>
      <c r="B105" s="1044"/>
      <c r="C105" s="1045"/>
      <c r="D105" s="38"/>
      <c r="E105" s="954"/>
      <c r="F105" s="53"/>
      <c r="G105" s="39"/>
      <c r="H105" s="1048"/>
      <c r="I105" s="684" t="str">
        <f t="shared" si="6"/>
        <v/>
      </c>
      <c r="J105" s="754">
        <f t="shared" si="7"/>
        <v>0</v>
      </c>
      <c r="K105" s="1252"/>
      <c r="L105" s="1250"/>
      <c r="M105" s="1250"/>
      <c r="N105" s="773" t="str">
        <f t="shared" si="11"/>
        <v/>
      </c>
      <c r="O105" s="774" t="str">
        <f>IF('Set up ~ Config'!$G$32=6,IF(OR($N105=7,$N105=8,$N105=9),1,IF(OR($N105=10,$N105=11,$N105=12),2,IF(OR($N105=1,$N105=2,$N105=3),3,IF(OR($N105=4,$N105=5,$N105=6),4,"")))),IF(OR($N105=9,$N105=10,$N105=11),1,IF(OR($N105=12,$N105=1,$N105=2),2,IF(OR($N105=3,$N105=4,$N105=5),3,IF(OR($N105=6,$N105=7,$N105=8),4,"")))))</f>
        <v/>
      </c>
      <c r="P105" s="40"/>
      <c r="Q105" s="54"/>
      <c r="R105" s="46"/>
      <c r="S105" s="755">
        <f t="shared" si="8"/>
        <v>0</v>
      </c>
      <c r="T105" s="46"/>
      <c r="U105" s="46"/>
      <c r="V105" s="46"/>
      <c r="W105" s="46"/>
      <c r="X105" s="46"/>
      <c r="Y105" s="46"/>
      <c r="Z105" s="46"/>
      <c r="AA105" s="46"/>
      <c r="AB105" s="55"/>
      <c r="AC105" s="47"/>
      <c r="AD105" s="56"/>
      <c r="AE105" s="51"/>
      <c r="AF105" s="51"/>
      <c r="AG105" s="46"/>
      <c r="AH105" s="46"/>
      <c r="AI105" s="55"/>
      <c r="AJ105" s="55"/>
      <c r="AK105" s="46"/>
      <c r="AL105" s="54"/>
      <c r="AM105" s="45"/>
      <c r="AN105" s="42"/>
      <c r="AO105" s="46"/>
      <c r="AP105" s="46"/>
      <c r="AQ105" s="46"/>
      <c r="AR105" s="46"/>
      <c r="AS105" s="46"/>
      <c r="AT105" s="46"/>
      <c r="AU105" s="47"/>
      <c r="AV105" s="56"/>
      <c r="AW105" s="46"/>
      <c r="AX105" s="46"/>
      <c r="AY105" s="46"/>
      <c r="AZ105" s="46"/>
      <c r="BA105" s="46"/>
      <c r="BB105" s="46"/>
      <c r="BC105" s="55"/>
      <c r="BD105" s="47"/>
      <c r="BE105" s="45"/>
      <c r="BF105" s="42"/>
      <c r="BG105" s="42"/>
      <c r="BH105" s="44"/>
      <c r="BI105" s="41"/>
      <c r="BJ105" s="46"/>
      <c r="BK105" s="47"/>
      <c r="BL105" s="56"/>
      <c r="BM105" s="46"/>
      <c r="BN105" s="47"/>
      <c r="BO105" s="49"/>
      <c r="BP105" s="37">
        <f t="shared" si="9"/>
        <v>0</v>
      </c>
    </row>
    <row r="106" spans="1:68" ht="25.5" customHeight="1" x14ac:dyDescent="0.15">
      <c r="A106" s="17">
        <f t="shared" si="10"/>
        <v>91</v>
      </c>
      <c r="B106" s="1044"/>
      <c r="C106" s="1045"/>
      <c r="D106" s="38"/>
      <c r="E106" s="954"/>
      <c r="F106" s="53"/>
      <c r="G106" s="39"/>
      <c r="H106" s="1050"/>
      <c r="I106" s="684" t="str">
        <f t="shared" si="6"/>
        <v/>
      </c>
      <c r="J106" s="754">
        <f t="shared" si="7"/>
        <v>0</v>
      </c>
      <c r="K106" s="1252"/>
      <c r="L106" s="1250"/>
      <c r="M106" s="1250"/>
      <c r="N106" s="773" t="str">
        <f t="shared" si="11"/>
        <v/>
      </c>
      <c r="O106" s="774" t="str">
        <f>IF('Set up ~ Config'!$G$32=6,IF(OR($N106=7,$N106=8,$N106=9),1,IF(OR($N106=10,$N106=11,$N106=12),2,IF(OR($N106=1,$N106=2,$N106=3),3,IF(OR($N106=4,$N106=5,$N106=6),4,"")))),IF(OR($N106=9,$N106=10,$N106=11),1,IF(OR($N106=12,$N106=1,$N106=2),2,IF(OR($N106=3,$N106=4,$N106=5),3,IF(OR($N106=6,$N106=7,$N106=8),4,"")))))</f>
        <v/>
      </c>
      <c r="P106" s="40"/>
      <c r="Q106" s="54"/>
      <c r="R106" s="46"/>
      <c r="S106" s="755">
        <f t="shared" si="8"/>
        <v>0</v>
      </c>
      <c r="T106" s="46"/>
      <c r="U106" s="46"/>
      <c r="V106" s="46"/>
      <c r="W106" s="46"/>
      <c r="X106" s="46"/>
      <c r="Y106" s="46"/>
      <c r="Z106" s="46"/>
      <c r="AA106" s="46"/>
      <c r="AB106" s="55"/>
      <c r="AC106" s="47"/>
      <c r="AD106" s="56"/>
      <c r="AE106" s="51"/>
      <c r="AF106" s="51"/>
      <c r="AG106" s="46"/>
      <c r="AH106" s="46"/>
      <c r="AI106" s="55"/>
      <c r="AJ106" s="55"/>
      <c r="AK106" s="46"/>
      <c r="AL106" s="54"/>
      <c r="AM106" s="56"/>
      <c r="AN106" s="46"/>
      <c r="AO106" s="46"/>
      <c r="AP106" s="46"/>
      <c r="AQ106" s="46"/>
      <c r="AR106" s="46"/>
      <c r="AS106" s="46"/>
      <c r="AT106" s="46"/>
      <c r="AU106" s="47"/>
      <c r="AV106" s="56"/>
      <c r="AW106" s="46"/>
      <c r="AX106" s="46"/>
      <c r="AY106" s="46"/>
      <c r="AZ106" s="46"/>
      <c r="BA106" s="46"/>
      <c r="BB106" s="46"/>
      <c r="BC106" s="55"/>
      <c r="BD106" s="47"/>
      <c r="BE106" s="56"/>
      <c r="BF106" s="46"/>
      <c r="BG106" s="46"/>
      <c r="BH106" s="47"/>
      <c r="BI106" s="54"/>
      <c r="BJ106" s="46"/>
      <c r="BK106" s="47"/>
      <c r="BL106" s="56"/>
      <c r="BM106" s="46"/>
      <c r="BN106" s="47"/>
      <c r="BO106" s="49"/>
      <c r="BP106" s="37">
        <f t="shared" si="9"/>
        <v>0</v>
      </c>
    </row>
    <row r="107" spans="1:68" ht="25.5" customHeight="1" x14ac:dyDescent="0.15">
      <c r="A107" s="17">
        <f t="shared" si="10"/>
        <v>92</v>
      </c>
      <c r="B107" s="1044"/>
      <c r="C107" s="1045"/>
      <c r="D107" s="38"/>
      <c r="E107" s="954"/>
      <c r="F107" s="53"/>
      <c r="G107" s="39"/>
      <c r="H107" s="1050"/>
      <c r="I107" s="684" t="str">
        <f t="shared" si="6"/>
        <v/>
      </c>
      <c r="J107" s="754">
        <f t="shared" si="7"/>
        <v>0</v>
      </c>
      <c r="K107" s="1252"/>
      <c r="L107" s="1250"/>
      <c r="M107" s="1250"/>
      <c r="N107" s="773" t="str">
        <f t="shared" si="11"/>
        <v/>
      </c>
      <c r="O107" s="774" t="str">
        <f>IF('Set up ~ Config'!$G$32=6,IF(OR($N107=7,$N107=8,$N107=9),1,IF(OR($N107=10,$N107=11,$N107=12),2,IF(OR($N107=1,$N107=2,$N107=3),3,IF(OR($N107=4,$N107=5,$N107=6),4,"")))),IF(OR($N107=9,$N107=10,$N107=11),1,IF(OR($N107=12,$N107=1,$N107=2),2,IF(OR($N107=3,$N107=4,$N107=5),3,IF(OR($N107=6,$N107=7,$N107=8),4,"")))))</f>
        <v/>
      </c>
      <c r="P107" s="40"/>
      <c r="Q107" s="57"/>
      <c r="R107" s="58"/>
      <c r="S107" s="755">
        <f t="shared" si="8"/>
        <v>0</v>
      </c>
      <c r="T107" s="58"/>
      <c r="U107" s="58"/>
      <c r="V107" s="58"/>
      <c r="W107" s="58"/>
      <c r="X107" s="58"/>
      <c r="Y107" s="58"/>
      <c r="Z107" s="58"/>
      <c r="AA107" s="58"/>
      <c r="AB107" s="59"/>
      <c r="AC107" s="60"/>
      <c r="AD107" s="61"/>
      <c r="AE107" s="62"/>
      <c r="AF107" s="62"/>
      <c r="AG107" s="58"/>
      <c r="AH107" s="58"/>
      <c r="AI107" s="59"/>
      <c r="AJ107" s="59"/>
      <c r="AK107" s="58"/>
      <c r="AL107" s="57"/>
      <c r="AM107" s="61"/>
      <c r="AN107" s="58"/>
      <c r="AO107" s="58"/>
      <c r="AP107" s="58"/>
      <c r="AQ107" s="58"/>
      <c r="AR107" s="58"/>
      <c r="AS107" s="58"/>
      <c r="AT107" s="58"/>
      <c r="AU107" s="60"/>
      <c r="AV107" s="61"/>
      <c r="AW107" s="58"/>
      <c r="AX107" s="58"/>
      <c r="AY107" s="58"/>
      <c r="AZ107" s="58"/>
      <c r="BA107" s="58"/>
      <c r="BB107" s="58"/>
      <c r="BC107" s="59"/>
      <c r="BD107" s="60"/>
      <c r="BE107" s="61"/>
      <c r="BF107" s="58"/>
      <c r="BG107" s="58"/>
      <c r="BH107" s="60"/>
      <c r="BI107" s="57"/>
      <c r="BJ107" s="58"/>
      <c r="BK107" s="60"/>
      <c r="BL107" s="61"/>
      <c r="BM107" s="58"/>
      <c r="BN107" s="60"/>
      <c r="BO107" s="49"/>
      <c r="BP107" s="37">
        <f t="shared" si="9"/>
        <v>0</v>
      </c>
    </row>
    <row r="108" spans="1:68" ht="25.5" customHeight="1" x14ac:dyDescent="0.15">
      <c r="A108" s="17">
        <f t="shared" si="10"/>
        <v>93</v>
      </c>
      <c r="B108" s="1044"/>
      <c r="C108" s="1045"/>
      <c r="D108" s="38"/>
      <c r="E108" s="954"/>
      <c r="F108" s="53"/>
      <c r="G108" s="39"/>
      <c r="H108" s="1050"/>
      <c r="I108" s="684" t="str">
        <f t="shared" si="6"/>
        <v/>
      </c>
      <c r="J108" s="754">
        <f t="shared" si="7"/>
        <v>0</v>
      </c>
      <c r="K108" s="1252"/>
      <c r="L108" s="1250"/>
      <c r="M108" s="1250"/>
      <c r="N108" s="773" t="str">
        <f t="shared" si="11"/>
        <v/>
      </c>
      <c r="O108" s="774" t="str">
        <f>IF('Set up ~ Config'!$G$32=6,IF(OR($N108=7,$N108=8,$N108=9),1,IF(OR($N108=10,$N108=11,$N108=12),2,IF(OR($N108=1,$N108=2,$N108=3),3,IF(OR($N108=4,$N108=5,$N108=6),4,"")))),IF(OR($N108=9,$N108=10,$N108=11),1,IF(OR($N108=12,$N108=1,$N108=2),2,IF(OR($N108=3,$N108=4,$N108=5),3,IF(OR($N108=6,$N108=7,$N108=8),4,"")))))</f>
        <v/>
      </c>
      <c r="P108" s="40"/>
      <c r="Q108" s="57"/>
      <c r="R108" s="58"/>
      <c r="S108" s="755">
        <f t="shared" si="8"/>
        <v>0</v>
      </c>
      <c r="T108" s="58"/>
      <c r="U108" s="58"/>
      <c r="V108" s="58"/>
      <c r="W108" s="58"/>
      <c r="X108" s="58"/>
      <c r="Y108" s="58"/>
      <c r="Z108" s="58"/>
      <c r="AA108" s="58"/>
      <c r="AB108" s="59"/>
      <c r="AC108" s="60"/>
      <c r="AD108" s="61"/>
      <c r="AE108" s="62"/>
      <c r="AF108" s="62"/>
      <c r="AG108" s="58"/>
      <c r="AH108" s="58"/>
      <c r="AI108" s="59"/>
      <c r="AJ108" s="59"/>
      <c r="AK108" s="58"/>
      <c r="AL108" s="57"/>
      <c r="AM108" s="61"/>
      <c r="AN108" s="58"/>
      <c r="AO108" s="58"/>
      <c r="AP108" s="58"/>
      <c r="AQ108" s="58"/>
      <c r="AR108" s="58"/>
      <c r="AS108" s="58"/>
      <c r="AT108" s="58"/>
      <c r="AU108" s="60"/>
      <c r="AV108" s="61"/>
      <c r="AW108" s="58"/>
      <c r="AX108" s="58"/>
      <c r="AY108" s="58"/>
      <c r="AZ108" s="58"/>
      <c r="BA108" s="58"/>
      <c r="BB108" s="58"/>
      <c r="BC108" s="59"/>
      <c r="BD108" s="60"/>
      <c r="BE108" s="61"/>
      <c r="BF108" s="58"/>
      <c r="BG108" s="58"/>
      <c r="BH108" s="60"/>
      <c r="BI108" s="57"/>
      <c r="BJ108" s="58"/>
      <c r="BK108" s="60"/>
      <c r="BL108" s="61"/>
      <c r="BM108" s="58"/>
      <c r="BN108" s="60"/>
      <c r="BO108" s="49"/>
      <c r="BP108" s="37">
        <f t="shared" si="9"/>
        <v>0</v>
      </c>
    </row>
    <row r="109" spans="1:68" ht="25.5" customHeight="1" x14ac:dyDescent="0.15">
      <c r="A109" s="17">
        <f t="shared" si="10"/>
        <v>94</v>
      </c>
      <c r="B109" s="1044"/>
      <c r="C109" s="1045"/>
      <c r="D109" s="38"/>
      <c r="E109" s="954"/>
      <c r="F109" s="53"/>
      <c r="G109" s="39"/>
      <c r="H109" s="1050"/>
      <c r="I109" s="684" t="str">
        <f t="shared" si="6"/>
        <v/>
      </c>
      <c r="J109" s="754">
        <f t="shared" si="7"/>
        <v>0</v>
      </c>
      <c r="K109" s="1252"/>
      <c r="L109" s="1250"/>
      <c r="M109" s="1250"/>
      <c r="N109" s="773" t="str">
        <f t="shared" si="11"/>
        <v/>
      </c>
      <c r="O109" s="774" t="str">
        <f>IF('Set up ~ Config'!$G$32=6,IF(OR($N109=7,$N109=8,$N109=9),1,IF(OR($N109=10,$N109=11,$N109=12),2,IF(OR($N109=1,$N109=2,$N109=3),3,IF(OR($N109=4,$N109=5,$N109=6),4,"")))),IF(OR($N109=9,$N109=10,$N109=11),1,IF(OR($N109=12,$N109=1,$N109=2),2,IF(OR($N109=3,$N109=4,$N109=5),3,IF(OR($N109=6,$N109=7,$N109=8),4,"")))))</f>
        <v/>
      </c>
      <c r="P109" s="40"/>
      <c r="Q109" s="63"/>
      <c r="R109" s="64"/>
      <c r="S109" s="755">
        <f t="shared" si="8"/>
        <v>0</v>
      </c>
      <c r="T109" s="64"/>
      <c r="U109" s="64"/>
      <c r="V109" s="64"/>
      <c r="W109" s="64"/>
      <c r="X109" s="64"/>
      <c r="Y109" s="64"/>
      <c r="Z109" s="64"/>
      <c r="AA109" s="64"/>
      <c r="AB109" s="65"/>
      <c r="AC109" s="66"/>
      <c r="AD109" s="48"/>
      <c r="AE109" s="64"/>
      <c r="AF109" s="64"/>
      <c r="AG109" s="64"/>
      <c r="AH109" s="64"/>
      <c r="AI109" s="65"/>
      <c r="AJ109" s="65"/>
      <c r="AK109" s="64"/>
      <c r="AL109" s="63"/>
      <c r="AM109" s="48"/>
      <c r="AN109" s="64"/>
      <c r="AO109" s="64"/>
      <c r="AP109" s="64"/>
      <c r="AQ109" s="64"/>
      <c r="AR109" s="64"/>
      <c r="AS109" s="64"/>
      <c r="AT109" s="64"/>
      <c r="AU109" s="66"/>
      <c r="AV109" s="48"/>
      <c r="AW109" s="64"/>
      <c r="AX109" s="64"/>
      <c r="AY109" s="64"/>
      <c r="AZ109" s="64"/>
      <c r="BA109" s="64"/>
      <c r="BB109" s="64"/>
      <c r="BC109" s="65"/>
      <c r="BD109" s="66"/>
      <c r="BE109" s="48"/>
      <c r="BF109" s="64"/>
      <c r="BG109" s="64"/>
      <c r="BH109" s="66"/>
      <c r="BI109" s="63"/>
      <c r="BJ109" s="64"/>
      <c r="BK109" s="66"/>
      <c r="BL109" s="48"/>
      <c r="BM109" s="64"/>
      <c r="BN109" s="66"/>
      <c r="BO109" s="49"/>
      <c r="BP109" s="37">
        <f t="shared" si="9"/>
        <v>0</v>
      </c>
    </row>
    <row r="110" spans="1:68" ht="25.5" customHeight="1" x14ac:dyDescent="0.15">
      <c r="A110" s="17">
        <f t="shared" si="10"/>
        <v>95</v>
      </c>
      <c r="B110" s="1044"/>
      <c r="C110" s="1045"/>
      <c r="D110" s="38"/>
      <c r="E110" s="954"/>
      <c r="F110" s="53"/>
      <c r="G110" s="39"/>
      <c r="H110" s="1050"/>
      <c r="I110" s="684" t="str">
        <f t="shared" si="6"/>
        <v/>
      </c>
      <c r="J110" s="754">
        <f t="shared" si="7"/>
        <v>0</v>
      </c>
      <c r="K110" s="1252"/>
      <c r="L110" s="1250"/>
      <c r="M110" s="1250"/>
      <c r="N110" s="773" t="str">
        <f t="shared" si="11"/>
        <v/>
      </c>
      <c r="O110" s="774" t="str">
        <f>IF('Set up ~ Config'!$G$32=6,IF(OR($N110=7,$N110=8,$N110=9),1,IF(OR($N110=10,$N110=11,$N110=12),2,IF(OR($N110=1,$N110=2,$N110=3),3,IF(OR($N110=4,$N110=5,$N110=6),4,"")))),IF(OR($N110=9,$N110=10,$N110=11),1,IF(OR($N110=12,$N110=1,$N110=2),2,IF(OR($N110=3,$N110=4,$N110=5),3,IF(OR($N110=6,$N110=7,$N110=8),4,"")))))</f>
        <v/>
      </c>
      <c r="P110" s="40"/>
      <c r="Q110" s="63"/>
      <c r="R110" s="64"/>
      <c r="S110" s="755">
        <f t="shared" si="8"/>
        <v>0</v>
      </c>
      <c r="T110" s="64"/>
      <c r="U110" s="64"/>
      <c r="V110" s="64"/>
      <c r="W110" s="64"/>
      <c r="X110" s="64"/>
      <c r="Y110" s="64"/>
      <c r="Z110" s="64"/>
      <c r="AA110" s="64"/>
      <c r="AB110" s="65"/>
      <c r="AC110" s="66"/>
      <c r="AD110" s="48"/>
      <c r="AE110" s="64"/>
      <c r="AF110" s="64"/>
      <c r="AG110" s="64"/>
      <c r="AH110" s="64"/>
      <c r="AI110" s="65"/>
      <c r="AJ110" s="65"/>
      <c r="AK110" s="64"/>
      <c r="AL110" s="63"/>
      <c r="AM110" s="48"/>
      <c r="AN110" s="64"/>
      <c r="AO110" s="64"/>
      <c r="AP110" s="64"/>
      <c r="AQ110" s="64"/>
      <c r="AR110" s="64"/>
      <c r="AS110" s="64"/>
      <c r="AT110" s="64"/>
      <c r="AU110" s="66"/>
      <c r="AV110" s="48"/>
      <c r="AW110" s="64"/>
      <c r="AX110" s="64"/>
      <c r="AY110" s="64"/>
      <c r="AZ110" s="64"/>
      <c r="BA110" s="64"/>
      <c r="BB110" s="64"/>
      <c r="BC110" s="65"/>
      <c r="BD110" s="66"/>
      <c r="BE110" s="48"/>
      <c r="BF110" s="64"/>
      <c r="BG110" s="64"/>
      <c r="BH110" s="66"/>
      <c r="BI110" s="63"/>
      <c r="BJ110" s="64"/>
      <c r="BK110" s="66"/>
      <c r="BL110" s="48"/>
      <c r="BM110" s="64"/>
      <c r="BN110" s="66"/>
      <c r="BO110" s="49"/>
      <c r="BP110" s="37">
        <f t="shared" si="9"/>
        <v>0</v>
      </c>
    </row>
    <row r="111" spans="1:68" ht="25.5" customHeight="1" x14ac:dyDescent="0.15">
      <c r="A111" s="17">
        <f t="shared" si="10"/>
        <v>96</v>
      </c>
      <c r="B111" s="1044"/>
      <c r="C111" s="1045"/>
      <c r="D111" s="38"/>
      <c r="E111" s="954"/>
      <c r="F111" s="53"/>
      <c r="G111" s="39"/>
      <c r="H111" s="1050"/>
      <c r="I111" s="684" t="str">
        <f t="shared" si="6"/>
        <v/>
      </c>
      <c r="J111" s="754">
        <f t="shared" si="7"/>
        <v>0</v>
      </c>
      <c r="K111" s="1252"/>
      <c r="L111" s="1250"/>
      <c r="M111" s="1253"/>
      <c r="N111" s="773" t="str">
        <f t="shared" si="11"/>
        <v/>
      </c>
      <c r="O111" s="774" t="str">
        <f>IF('Set up ~ Config'!$G$32=6,IF(OR($N111=7,$N111=8,$N111=9),1,IF(OR($N111=10,$N111=11,$N111=12),2,IF(OR($N111=1,$N111=2,$N111=3),3,IF(OR($N111=4,$N111=5,$N111=6),4,"")))),IF(OR($N111=9,$N111=10,$N111=11),1,IF(OR($N111=12,$N111=1,$N111=2),2,IF(OR($N111=3,$N111=4,$N111=5),3,IF(OR($N111=6,$N111=7,$N111=8),4,"")))))</f>
        <v/>
      </c>
      <c r="P111" s="40"/>
      <c r="Q111" s="67"/>
      <c r="R111" s="68"/>
      <c r="S111" s="755">
        <f t="shared" si="8"/>
        <v>0</v>
      </c>
      <c r="T111" s="68"/>
      <c r="U111" s="68"/>
      <c r="V111" s="68"/>
      <c r="W111" s="68"/>
      <c r="X111" s="68"/>
      <c r="Y111" s="68"/>
      <c r="Z111" s="68"/>
      <c r="AA111" s="68"/>
      <c r="AB111" s="69"/>
      <c r="AC111" s="70"/>
      <c r="AD111" s="71"/>
      <c r="AE111" s="68"/>
      <c r="AF111" s="68"/>
      <c r="AG111" s="68"/>
      <c r="AH111" s="68"/>
      <c r="AI111" s="69"/>
      <c r="AJ111" s="69"/>
      <c r="AK111" s="64"/>
      <c r="AL111" s="67"/>
      <c r="AM111" s="71"/>
      <c r="AN111" s="68"/>
      <c r="AO111" s="68"/>
      <c r="AP111" s="68"/>
      <c r="AQ111" s="64"/>
      <c r="AR111" s="64"/>
      <c r="AS111" s="68"/>
      <c r="AT111" s="68"/>
      <c r="AU111" s="70"/>
      <c r="AV111" s="72"/>
      <c r="AW111" s="69"/>
      <c r="AX111" s="69"/>
      <c r="AY111" s="69"/>
      <c r="AZ111" s="69"/>
      <c r="BA111" s="69"/>
      <c r="BB111" s="69"/>
      <c r="BC111" s="69"/>
      <c r="BD111" s="70"/>
      <c r="BE111" s="71"/>
      <c r="BF111" s="68"/>
      <c r="BG111" s="68"/>
      <c r="BH111" s="70"/>
      <c r="BI111" s="67"/>
      <c r="BJ111" s="68"/>
      <c r="BK111" s="70"/>
      <c r="BL111" s="71"/>
      <c r="BM111" s="68"/>
      <c r="BN111" s="70"/>
      <c r="BO111" s="73"/>
      <c r="BP111" s="37">
        <f t="shared" si="9"/>
        <v>0</v>
      </c>
    </row>
    <row r="112" spans="1:68" ht="25.5" customHeight="1" x14ac:dyDescent="0.15">
      <c r="A112" s="17">
        <f t="shared" si="10"/>
        <v>97</v>
      </c>
      <c r="B112" s="1044"/>
      <c r="C112" s="1045"/>
      <c r="D112" s="38"/>
      <c r="E112" s="954"/>
      <c r="F112" s="53"/>
      <c r="G112" s="39"/>
      <c r="H112" s="1050"/>
      <c r="I112" s="684" t="str">
        <f t="shared" si="6"/>
        <v/>
      </c>
      <c r="J112" s="754">
        <f t="shared" si="7"/>
        <v>0</v>
      </c>
      <c r="K112" s="1252"/>
      <c r="L112" s="1250"/>
      <c r="M112" s="1253"/>
      <c r="N112" s="773" t="str">
        <f t="shared" si="11"/>
        <v/>
      </c>
      <c r="O112" s="774" t="str">
        <f>IF('Set up ~ Config'!$G$32=6,IF(OR($N112=7,$N112=8,$N112=9),1,IF(OR($N112=10,$N112=11,$N112=12),2,IF(OR($N112=1,$N112=2,$N112=3),3,IF(OR($N112=4,$N112=5,$N112=6),4,"")))),IF(OR($N112=9,$N112=10,$N112=11),1,IF(OR($N112=12,$N112=1,$N112=2),2,IF(OR($N112=3,$N112=4,$N112=5),3,IF(OR($N112=6,$N112=7,$N112=8),4,"")))))</f>
        <v/>
      </c>
      <c r="P112" s="40"/>
      <c r="Q112" s="67"/>
      <c r="R112" s="68"/>
      <c r="S112" s="755">
        <f t="shared" si="8"/>
        <v>0</v>
      </c>
      <c r="T112" s="68"/>
      <c r="U112" s="68"/>
      <c r="V112" s="68"/>
      <c r="W112" s="68"/>
      <c r="X112" s="68"/>
      <c r="Y112" s="68"/>
      <c r="Z112" s="68"/>
      <c r="AA112" s="68"/>
      <c r="AB112" s="69"/>
      <c r="AC112" s="70"/>
      <c r="AD112" s="71"/>
      <c r="AE112" s="68"/>
      <c r="AF112" s="68"/>
      <c r="AG112" s="68"/>
      <c r="AH112" s="68"/>
      <c r="AI112" s="69"/>
      <c r="AJ112" s="69"/>
      <c r="AK112" s="64"/>
      <c r="AL112" s="67"/>
      <c r="AM112" s="71"/>
      <c r="AN112" s="68"/>
      <c r="AO112" s="68"/>
      <c r="AP112" s="68"/>
      <c r="AQ112" s="64"/>
      <c r="AR112" s="64"/>
      <c r="AS112" s="68"/>
      <c r="AT112" s="68"/>
      <c r="AU112" s="70"/>
      <c r="AV112" s="72"/>
      <c r="AW112" s="69"/>
      <c r="AX112" s="69"/>
      <c r="AY112" s="69"/>
      <c r="AZ112" s="69"/>
      <c r="BA112" s="69"/>
      <c r="BB112" s="69"/>
      <c r="BC112" s="69"/>
      <c r="BD112" s="70"/>
      <c r="BE112" s="71"/>
      <c r="BF112" s="68"/>
      <c r="BG112" s="68"/>
      <c r="BH112" s="70"/>
      <c r="BI112" s="67"/>
      <c r="BJ112" s="68"/>
      <c r="BK112" s="70"/>
      <c r="BL112" s="71"/>
      <c r="BM112" s="68"/>
      <c r="BN112" s="70"/>
      <c r="BO112" s="73"/>
      <c r="BP112" s="37">
        <f t="shared" si="9"/>
        <v>0</v>
      </c>
    </row>
    <row r="113" spans="1:68" ht="25.5" customHeight="1" x14ac:dyDescent="0.15">
      <c r="A113" s="17">
        <f t="shared" si="10"/>
        <v>98</v>
      </c>
      <c r="B113" s="1044"/>
      <c r="C113" s="1045"/>
      <c r="D113" s="38"/>
      <c r="E113" s="954"/>
      <c r="F113" s="53"/>
      <c r="G113" s="39"/>
      <c r="H113" s="1050"/>
      <c r="I113" s="684" t="str">
        <f t="shared" si="6"/>
        <v/>
      </c>
      <c r="J113" s="754">
        <f t="shared" si="7"/>
        <v>0</v>
      </c>
      <c r="K113" s="1252"/>
      <c r="L113" s="1250"/>
      <c r="M113" s="1253"/>
      <c r="N113" s="773" t="str">
        <f t="shared" si="11"/>
        <v/>
      </c>
      <c r="O113" s="774" t="str">
        <f>IF('Set up ~ Config'!$G$32=6,IF(OR($N113=7,$N113=8,$N113=9),1,IF(OR($N113=10,$N113=11,$N113=12),2,IF(OR($N113=1,$N113=2,$N113=3),3,IF(OR($N113=4,$N113=5,$N113=6),4,"")))),IF(OR($N113=9,$N113=10,$N113=11),1,IF(OR($N113=12,$N113=1,$N113=2),2,IF(OR($N113=3,$N113=4,$N113=5),3,IF(OR($N113=6,$N113=7,$N113=8),4,"")))))</f>
        <v/>
      </c>
      <c r="P113" s="40"/>
      <c r="Q113" s="67"/>
      <c r="R113" s="68"/>
      <c r="S113" s="755">
        <f t="shared" si="8"/>
        <v>0</v>
      </c>
      <c r="T113" s="68"/>
      <c r="U113" s="68"/>
      <c r="V113" s="68"/>
      <c r="W113" s="68"/>
      <c r="X113" s="68"/>
      <c r="Y113" s="68"/>
      <c r="Z113" s="68"/>
      <c r="AA113" s="68"/>
      <c r="AB113" s="69"/>
      <c r="AC113" s="70"/>
      <c r="AD113" s="71"/>
      <c r="AE113" s="68"/>
      <c r="AF113" s="68"/>
      <c r="AG113" s="68"/>
      <c r="AH113" s="68"/>
      <c r="AI113" s="69"/>
      <c r="AJ113" s="69"/>
      <c r="AK113" s="64"/>
      <c r="AL113" s="67"/>
      <c r="AM113" s="71"/>
      <c r="AN113" s="68"/>
      <c r="AO113" s="68"/>
      <c r="AP113" s="68"/>
      <c r="AQ113" s="64"/>
      <c r="AR113" s="64"/>
      <c r="AS113" s="68"/>
      <c r="AT113" s="68"/>
      <c r="AU113" s="70"/>
      <c r="AV113" s="72"/>
      <c r="AW113" s="69"/>
      <c r="AX113" s="69"/>
      <c r="AY113" s="69"/>
      <c r="AZ113" s="69"/>
      <c r="BA113" s="69"/>
      <c r="BB113" s="69"/>
      <c r="BC113" s="69"/>
      <c r="BD113" s="70"/>
      <c r="BE113" s="71"/>
      <c r="BF113" s="68"/>
      <c r="BG113" s="68"/>
      <c r="BH113" s="70"/>
      <c r="BI113" s="67"/>
      <c r="BJ113" s="68"/>
      <c r="BK113" s="70"/>
      <c r="BL113" s="71"/>
      <c r="BM113" s="68"/>
      <c r="BN113" s="70"/>
      <c r="BO113" s="73"/>
      <c r="BP113" s="37">
        <f t="shared" si="9"/>
        <v>0</v>
      </c>
    </row>
    <row r="114" spans="1:68" ht="25.5" customHeight="1" x14ac:dyDescent="0.15">
      <c r="A114" s="17">
        <f t="shared" si="10"/>
        <v>99</v>
      </c>
      <c r="B114" s="1044"/>
      <c r="C114" s="1045"/>
      <c r="D114" s="38"/>
      <c r="E114" s="954"/>
      <c r="F114" s="53"/>
      <c r="G114" s="39"/>
      <c r="H114" s="1050"/>
      <c r="I114" s="684" t="str">
        <f t="shared" si="6"/>
        <v/>
      </c>
      <c r="J114" s="754">
        <f t="shared" si="7"/>
        <v>0</v>
      </c>
      <c r="K114" s="1252"/>
      <c r="L114" s="1250"/>
      <c r="M114" s="1253"/>
      <c r="N114" s="773" t="str">
        <f t="shared" si="11"/>
        <v/>
      </c>
      <c r="O114" s="774" t="str">
        <f>IF('Set up ~ Config'!$G$32=6,IF(OR($N114=7,$N114=8,$N114=9),1,IF(OR($N114=10,$N114=11,$N114=12),2,IF(OR($N114=1,$N114=2,$N114=3),3,IF(OR($N114=4,$N114=5,$N114=6),4,"")))),IF(OR($N114=9,$N114=10,$N114=11),1,IF(OR($N114=12,$N114=1,$N114=2),2,IF(OR($N114=3,$N114=4,$N114=5),3,IF(OR($N114=6,$N114=7,$N114=8),4,"")))))</f>
        <v/>
      </c>
      <c r="P114" s="40"/>
      <c r="Q114" s="67"/>
      <c r="R114" s="68"/>
      <c r="S114" s="755">
        <f t="shared" si="8"/>
        <v>0</v>
      </c>
      <c r="T114" s="68"/>
      <c r="U114" s="68"/>
      <c r="V114" s="68"/>
      <c r="W114" s="68"/>
      <c r="X114" s="68"/>
      <c r="Y114" s="68"/>
      <c r="Z114" s="68"/>
      <c r="AA114" s="68"/>
      <c r="AB114" s="69"/>
      <c r="AC114" s="70"/>
      <c r="AD114" s="71"/>
      <c r="AE114" s="68"/>
      <c r="AF114" s="68"/>
      <c r="AG114" s="68"/>
      <c r="AH114" s="68"/>
      <c r="AI114" s="69"/>
      <c r="AJ114" s="69"/>
      <c r="AK114" s="64"/>
      <c r="AL114" s="67"/>
      <c r="AM114" s="71"/>
      <c r="AN114" s="68"/>
      <c r="AO114" s="68"/>
      <c r="AP114" s="68"/>
      <c r="AQ114" s="64"/>
      <c r="AR114" s="64"/>
      <c r="AS114" s="68"/>
      <c r="AT114" s="68"/>
      <c r="AU114" s="70"/>
      <c r="AV114" s="72"/>
      <c r="AW114" s="69"/>
      <c r="AX114" s="69"/>
      <c r="AY114" s="69"/>
      <c r="AZ114" s="69"/>
      <c r="BA114" s="69"/>
      <c r="BB114" s="69"/>
      <c r="BC114" s="69"/>
      <c r="BD114" s="70"/>
      <c r="BE114" s="71"/>
      <c r="BF114" s="68"/>
      <c r="BG114" s="68"/>
      <c r="BH114" s="70"/>
      <c r="BI114" s="67"/>
      <c r="BJ114" s="68"/>
      <c r="BK114" s="70"/>
      <c r="BL114" s="71"/>
      <c r="BM114" s="68"/>
      <c r="BN114" s="70"/>
      <c r="BO114" s="73"/>
      <c r="BP114" s="37">
        <f t="shared" si="9"/>
        <v>0</v>
      </c>
    </row>
    <row r="115" spans="1:68" ht="25.5" customHeight="1" x14ac:dyDescent="0.15">
      <c r="A115" s="17">
        <f t="shared" si="10"/>
        <v>100</v>
      </c>
      <c r="B115" s="1044"/>
      <c r="C115" s="1045"/>
      <c r="D115" s="38"/>
      <c r="E115" s="954"/>
      <c r="F115" s="53"/>
      <c r="G115" s="39"/>
      <c r="H115" s="1050"/>
      <c r="I115" s="684" t="str">
        <f t="shared" si="6"/>
        <v/>
      </c>
      <c r="J115" s="754">
        <f t="shared" si="7"/>
        <v>0</v>
      </c>
      <c r="K115" s="1249"/>
      <c r="L115" s="1250"/>
      <c r="M115" s="1253"/>
      <c r="N115" s="773" t="str">
        <f t="shared" si="11"/>
        <v/>
      </c>
      <c r="O115" s="774" t="str">
        <f>IF('Set up ~ Config'!$G$32=6,IF(OR($N115=7,$N115=8,$N115=9),1,IF(OR($N115=10,$N115=11,$N115=12),2,IF(OR($N115=1,$N115=2,$N115=3),3,IF(OR($N115=4,$N115=5,$N115=6),4,"")))),IF(OR($N115=9,$N115=10,$N115=11),1,IF(OR($N115=12,$N115=1,$N115=2),2,IF(OR($N115=3,$N115=4,$N115=5),3,IF(OR($N115=6,$N115=7,$N115=8),4,"")))))</f>
        <v/>
      </c>
      <c r="P115" s="40"/>
      <c r="Q115" s="67"/>
      <c r="R115" s="68"/>
      <c r="S115" s="755">
        <f t="shared" si="8"/>
        <v>0</v>
      </c>
      <c r="T115" s="68"/>
      <c r="U115" s="68"/>
      <c r="V115" s="68"/>
      <c r="W115" s="68"/>
      <c r="X115" s="68"/>
      <c r="Y115" s="68"/>
      <c r="Z115" s="68"/>
      <c r="AA115" s="68"/>
      <c r="AB115" s="69"/>
      <c r="AC115" s="70"/>
      <c r="AD115" s="71"/>
      <c r="AE115" s="68"/>
      <c r="AF115" s="68"/>
      <c r="AG115" s="68"/>
      <c r="AH115" s="68"/>
      <c r="AI115" s="69"/>
      <c r="AJ115" s="69"/>
      <c r="AK115" s="64"/>
      <c r="AL115" s="67"/>
      <c r="AM115" s="71"/>
      <c r="AN115" s="68"/>
      <c r="AO115" s="68"/>
      <c r="AP115" s="68"/>
      <c r="AQ115" s="64"/>
      <c r="AR115" s="64"/>
      <c r="AS115" s="68"/>
      <c r="AT115" s="68"/>
      <c r="AU115" s="70"/>
      <c r="AV115" s="72"/>
      <c r="AW115" s="69"/>
      <c r="AX115" s="69"/>
      <c r="AY115" s="69"/>
      <c r="AZ115" s="69"/>
      <c r="BA115" s="69"/>
      <c r="BB115" s="69"/>
      <c r="BC115" s="69"/>
      <c r="BD115" s="70"/>
      <c r="BE115" s="71"/>
      <c r="BF115" s="68"/>
      <c r="BG115" s="68"/>
      <c r="BH115" s="70"/>
      <c r="BI115" s="67"/>
      <c r="BJ115" s="68"/>
      <c r="BK115" s="70"/>
      <c r="BL115" s="71"/>
      <c r="BM115" s="68"/>
      <c r="BN115" s="70"/>
      <c r="BO115" s="73"/>
      <c r="BP115" s="37">
        <f t="shared" si="9"/>
        <v>0</v>
      </c>
    </row>
    <row r="116" spans="1:68" ht="25.5" customHeight="1" x14ac:dyDescent="0.15">
      <c r="A116" s="17">
        <f t="shared" si="10"/>
        <v>101</v>
      </c>
      <c r="B116" s="1044"/>
      <c r="C116" s="1045"/>
      <c r="D116" s="38"/>
      <c r="E116" s="954"/>
      <c r="F116" s="53"/>
      <c r="G116" s="39"/>
      <c r="H116" s="1050"/>
      <c r="I116" s="684" t="str">
        <f t="shared" si="6"/>
        <v/>
      </c>
      <c r="J116" s="754">
        <f t="shared" si="7"/>
        <v>0</v>
      </c>
      <c r="K116" s="1249"/>
      <c r="L116" s="1250"/>
      <c r="M116" s="1253"/>
      <c r="N116" s="773" t="str">
        <f t="shared" si="11"/>
        <v/>
      </c>
      <c r="O116" s="774" t="str">
        <f>IF('Set up ~ Config'!$G$32=6,IF(OR($N116=7,$N116=8,$N116=9),1,IF(OR($N116=10,$N116=11,$N116=12),2,IF(OR($N116=1,$N116=2,$N116=3),3,IF(OR($N116=4,$N116=5,$N116=6),4,"")))),IF(OR($N116=9,$N116=10,$N116=11),1,IF(OR($N116=12,$N116=1,$N116=2),2,IF(OR($N116=3,$N116=4,$N116=5),3,IF(OR($N116=6,$N116=7,$N116=8),4,"")))))</f>
        <v/>
      </c>
      <c r="P116" s="40"/>
      <c r="Q116" s="67"/>
      <c r="R116" s="68"/>
      <c r="S116" s="755">
        <f t="shared" si="8"/>
        <v>0</v>
      </c>
      <c r="T116" s="68"/>
      <c r="U116" s="68"/>
      <c r="V116" s="68"/>
      <c r="W116" s="68"/>
      <c r="X116" s="68"/>
      <c r="Y116" s="68"/>
      <c r="Z116" s="68"/>
      <c r="AA116" s="68"/>
      <c r="AB116" s="69"/>
      <c r="AC116" s="70"/>
      <c r="AD116" s="71"/>
      <c r="AE116" s="68"/>
      <c r="AF116" s="68"/>
      <c r="AG116" s="68"/>
      <c r="AH116" s="68"/>
      <c r="AI116" s="69"/>
      <c r="AJ116" s="69"/>
      <c r="AK116" s="64"/>
      <c r="AL116" s="67"/>
      <c r="AM116" s="71"/>
      <c r="AN116" s="68"/>
      <c r="AO116" s="68"/>
      <c r="AP116" s="68"/>
      <c r="AQ116" s="64"/>
      <c r="AR116" s="64"/>
      <c r="AS116" s="68"/>
      <c r="AT116" s="68"/>
      <c r="AU116" s="70"/>
      <c r="AV116" s="72"/>
      <c r="AW116" s="69"/>
      <c r="AX116" s="69"/>
      <c r="AY116" s="69"/>
      <c r="AZ116" s="69"/>
      <c r="BA116" s="69"/>
      <c r="BB116" s="69"/>
      <c r="BC116" s="69"/>
      <c r="BD116" s="70"/>
      <c r="BE116" s="71"/>
      <c r="BF116" s="68"/>
      <c r="BG116" s="68"/>
      <c r="BH116" s="70"/>
      <c r="BI116" s="67"/>
      <c r="BJ116" s="68"/>
      <c r="BK116" s="70"/>
      <c r="BL116" s="71"/>
      <c r="BM116" s="68"/>
      <c r="BN116" s="70"/>
      <c r="BO116" s="73"/>
      <c r="BP116" s="37">
        <f t="shared" si="9"/>
        <v>0</v>
      </c>
    </row>
    <row r="117" spans="1:68" ht="25.5" customHeight="1" x14ac:dyDescent="0.15">
      <c r="A117" s="17">
        <f t="shared" si="10"/>
        <v>102</v>
      </c>
      <c r="B117" s="1044"/>
      <c r="C117" s="1045"/>
      <c r="D117" s="38"/>
      <c r="E117" s="954"/>
      <c r="F117" s="53"/>
      <c r="G117" s="39"/>
      <c r="H117" s="1050"/>
      <c r="I117" s="684" t="str">
        <f t="shared" si="6"/>
        <v/>
      </c>
      <c r="J117" s="754">
        <f t="shared" si="7"/>
        <v>0</v>
      </c>
      <c r="K117" s="1249"/>
      <c r="L117" s="1250"/>
      <c r="M117" s="1253"/>
      <c r="N117" s="773" t="str">
        <f t="shared" si="11"/>
        <v/>
      </c>
      <c r="O117" s="774" t="str">
        <f>IF('Set up ~ Config'!$G$32=6,IF(OR($N117=7,$N117=8,$N117=9),1,IF(OR($N117=10,$N117=11,$N117=12),2,IF(OR($N117=1,$N117=2,$N117=3),3,IF(OR($N117=4,$N117=5,$N117=6),4,"")))),IF(OR($N117=9,$N117=10,$N117=11),1,IF(OR($N117=12,$N117=1,$N117=2),2,IF(OR($N117=3,$N117=4,$N117=5),3,IF(OR($N117=6,$N117=7,$N117=8),4,"")))))</f>
        <v/>
      </c>
      <c r="P117" s="40"/>
      <c r="Q117" s="67"/>
      <c r="R117" s="68"/>
      <c r="S117" s="755">
        <f t="shared" si="8"/>
        <v>0</v>
      </c>
      <c r="T117" s="68"/>
      <c r="U117" s="68"/>
      <c r="V117" s="68"/>
      <c r="W117" s="68"/>
      <c r="X117" s="68"/>
      <c r="Y117" s="68"/>
      <c r="Z117" s="68"/>
      <c r="AA117" s="68"/>
      <c r="AB117" s="69"/>
      <c r="AC117" s="70"/>
      <c r="AD117" s="71"/>
      <c r="AE117" s="68"/>
      <c r="AF117" s="68"/>
      <c r="AG117" s="68"/>
      <c r="AH117" s="68"/>
      <c r="AI117" s="69"/>
      <c r="AJ117" s="69"/>
      <c r="AK117" s="64"/>
      <c r="AL117" s="67"/>
      <c r="AM117" s="71"/>
      <c r="AN117" s="68"/>
      <c r="AO117" s="68"/>
      <c r="AP117" s="68"/>
      <c r="AQ117" s="64"/>
      <c r="AR117" s="64"/>
      <c r="AS117" s="68"/>
      <c r="AT117" s="68"/>
      <c r="AU117" s="70"/>
      <c r="AV117" s="72"/>
      <c r="AW117" s="69"/>
      <c r="AX117" s="69"/>
      <c r="AY117" s="69"/>
      <c r="AZ117" s="69"/>
      <c r="BA117" s="69"/>
      <c r="BB117" s="69"/>
      <c r="BC117" s="69"/>
      <c r="BD117" s="70"/>
      <c r="BE117" s="71"/>
      <c r="BF117" s="68"/>
      <c r="BG117" s="68"/>
      <c r="BH117" s="70"/>
      <c r="BI117" s="67"/>
      <c r="BJ117" s="68"/>
      <c r="BK117" s="70"/>
      <c r="BL117" s="71"/>
      <c r="BM117" s="68"/>
      <c r="BN117" s="70"/>
      <c r="BO117" s="73"/>
      <c r="BP117" s="37">
        <f t="shared" si="9"/>
        <v>0</v>
      </c>
    </row>
    <row r="118" spans="1:68" ht="25.5" customHeight="1" x14ac:dyDescent="0.15">
      <c r="A118" s="17">
        <f t="shared" si="10"/>
        <v>103</v>
      </c>
      <c r="B118" s="1044"/>
      <c r="C118" s="1045"/>
      <c r="D118" s="38"/>
      <c r="E118" s="954"/>
      <c r="F118" s="53"/>
      <c r="G118" s="39"/>
      <c r="H118" s="1050"/>
      <c r="I118" s="684" t="str">
        <f t="shared" si="6"/>
        <v/>
      </c>
      <c r="J118" s="754">
        <f t="shared" si="7"/>
        <v>0</v>
      </c>
      <c r="K118" s="1249"/>
      <c r="L118" s="1250"/>
      <c r="M118" s="1253"/>
      <c r="N118" s="773" t="str">
        <f t="shared" si="11"/>
        <v/>
      </c>
      <c r="O118" s="774" t="str">
        <f>IF('Set up ~ Config'!$G$32=6,IF(OR($N118=7,$N118=8,$N118=9),1,IF(OR($N118=10,$N118=11,$N118=12),2,IF(OR($N118=1,$N118=2,$N118=3),3,IF(OR($N118=4,$N118=5,$N118=6),4,"")))),IF(OR($N118=9,$N118=10,$N118=11),1,IF(OR($N118=12,$N118=1,$N118=2),2,IF(OR($N118=3,$N118=4,$N118=5),3,IF(OR($N118=6,$N118=7,$N118=8),4,"")))))</f>
        <v/>
      </c>
      <c r="P118" s="40"/>
      <c r="Q118" s="67"/>
      <c r="R118" s="68"/>
      <c r="S118" s="755">
        <f t="shared" si="8"/>
        <v>0</v>
      </c>
      <c r="T118" s="68"/>
      <c r="U118" s="68"/>
      <c r="V118" s="68"/>
      <c r="W118" s="68"/>
      <c r="X118" s="68"/>
      <c r="Y118" s="68"/>
      <c r="Z118" s="68"/>
      <c r="AA118" s="68"/>
      <c r="AB118" s="69"/>
      <c r="AC118" s="70"/>
      <c r="AD118" s="71"/>
      <c r="AE118" s="68"/>
      <c r="AF118" s="68"/>
      <c r="AG118" s="68"/>
      <c r="AH118" s="68"/>
      <c r="AI118" s="69"/>
      <c r="AJ118" s="69"/>
      <c r="AK118" s="64"/>
      <c r="AL118" s="67"/>
      <c r="AM118" s="71"/>
      <c r="AN118" s="68"/>
      <c r="AO118" s="68"/>
      <c r="AP118" s="68"/>
      <c r="AQ118" s="64"/>
      <c r="AR118" s="64"/>
      <c r="AS118" s="68"/>
      <c r="AT118" s="68"/>
      <c r="AU118" s="70"/>
      <c r="AV118" s="72"/>
      <c r="AW118" s="69"/>
      <c r="AX118" s="69"/>
      <c r="AY118" s="69"/>
      <c r="AZ118" s="69"/>
      <c r="BA118" s="69"/>
      <c r="BB118" s="69"/>
      <c r="BC118" s="69"/>
      <c r="BD118" s="70"/>
      <c r="BE118" s="71"/>
      <c r="BF118" s="68"/>
      <c r="BG118" s="68"/>
      <c r="BH118" s="70"/>
      <c r="BI118" s="67"/>
      <c r="BJ118" s="68"/>
      <c r="BK118" s="70"/>
      <c r="BL118" s="71"/>
      <c r="BM118" s="68"/>
      <c r="BN118" s="70"/>
      <c r="BO118" s="73"/>
      <c r="BP118" s="37">
        <f t="shared" si="9"/>
        <v>0</v>
      </c>
    </row>
    <row r="119" spans="1:68" ht="25.5" customHeight="1" x14ac:dyDescent="0.15">
      <c r="A119" s="17">
        <f t="shared" si="10"/>
        <v>104</v>
      </c>
      <c r="B119" s="1044"/>
      <c r="C119" s="1045"/>
      <c r="D119" s="38"/>
      <c r="E119" s="954"/>
      <c r="F119" s="53"/>
      <c r="G119" s="39"/>
      <c r="H119" s="1050"/>
      <c r="I119" s="684" t="str">
        <f t="shared" si="6"/>
        <v/>
      </c>
      <c r="J119" s="754">
        <f t="shared" si="7"/>
        <v>0</v>
      </c>
      <c r="K119" s="1249"/>
      <c r="L119" s="1250"/>
      <c r="M119" s="1253"/>
      <c r="N119" s="773" t="str">
        <f t="shared" si="11"/>
        <v/>
      </c>
      <c r="O119" s="774" t="str">
        <f>IF('Set up ~ Config'!$G$32=6,IF(OR($N119=7,$N119=8,$N119=9),1,IF(OR($N119=10,$N119=11,$N119=12),2,IF(OR($N119=1,$N119=2,$N119=3),3,IF(OR($N119=4,$N119=5,$N119=6),4,"")))),IF(OR($N119=9,$N119=10,$N119=11),1,IF(OR($N119=12,$N119=1,$N119=2),2,IF(OR($N119=3,$N119=4,$N119=5),3,IF(OR($N119=6,$N119=7,$N119=8),4,"")))))</f>
        <v/>
      </c>
      <c r="P119" s="40"/>
      <c r="Q119" s="67"/>
      <c r="R119" s="68"/>
      <c r="S119" s="755">
        <f t="shared" si="8"/>
        <v>0</v>
      </c>
      <c r="T119" s="68"/>
      <c r="U119" s="68"/>
      <c r="V119" s="68"/>
      <c r="W119" s="68"/>
      <c r="X119" s="68"/>
      <c r="Y119" s="68"/>
      <c r="Z119" s="68"/>
      <c r="AA119" s="68"/>
      <c r="AB119" s="69"/>
      <c r="AC119" s="70"/>
      <c r="AD119" s="71"/>
      <c r="AE119" s="68"/>
      <c r="AF119" s="68"/>
      <c r="AG119" s="68"/>
      <c r="AH119" s="68"/>
      <c r="AI119" s="69"/>
      <c r="AJ119" s="69"/>
      <c r="AK119" s="64"/>
      <c r="AL119" s="67"/>
      <c r="AM119" s="71"/>
      <c r="AN119" s="68"/>
      <c r="AO119" s="68"/>
      <c r="AP119" s="68"/>
      <c r="AQ119" s="64"/>
      <c r="AR119" s="64"/>
      <c r="AS119" s="68"/>
      <c r="AT119" s="68"/>
      <c r="AU119" s="70"/>
      <c r="AV119" s="72"/>
      <c r="AW119" s="69"/>
      <c r="AX119" s="69"/>
      <c r="AY119" s="69"/>
      <c r="AZ119" s="69"/>
      <c r="BA119" s="69"/>
      <c r="BB119" s="69"/>
      <c r="BC119" s="69"/>
      <c r="BD119" s="70"/>
      <c r="BE119" s="71"/>
      <c r="BF119" s="68"/>
      <c r="BG119" s="68"/>
      <c r="BH119" s="70"/>
      <c r="BI119" s="67"/>
      <c r="BJ119" s="68"/>
      <c r="BK119" s="70"/>
      <c r="BL119" s="71"/>
      <c r="BM119" s="68"/>
      <c r="BN119" s="70"/>
      <c r="BO119" s="73"/>
      <c r="BP119" s="37">
        <f t="shared" si="9"/>
        <v>0</v>
      </c>
    </row>
    <row r="120" spans="1:68" ht="25.5" customHeight="1" x14ac:dyDescent="0.15">
      <c r="A120" s="17">
        <f t="shared" si="10"/>
        <v>105</v>
      </c>
      <c r="B120" s="1044"/>
      <c r="C120" s="1045"/>
      <c r="D120" s="38"/>
      <c r="E120" s="954"/>
      <c r="F120" s="53"/>
      <c r="G120" s="39"/>
      <c r="H120" s="1050"/>
      <c r="I120" s="684" t="str">
        <f t="shared" si="6"/>
        <v/>
      </c>
      <c r="J120" s="754">
        <f t="shared" si="7"/>
        <v>0</v>
      </c>
      <c r="K120" s="1249"/>
      <c r="L120" s="1250"/>
      <c r="M120" s="1253"/>
      <c r="N120" s="773" t="str">
        <f t="shared" si="11"/>
        <v/>
      </c>
      <c r="O120" s="774" t="str">
        <f>IF('Set up ~ Config'!$G$32=6,IF(OR($N120=7,$N120=8,$N120=9),1,IF(OR($N120=10,$N120=11,$N120=12),2,IF(OR($N120=1,$N120=2,$N120=3),3,IF(OR($N120=4,$N120=5,$N120=6),4,"")))),IF(OR($N120=9,$N120=10,$N120=11),1,IF(OR($N120=12,$N120=1,$N120=2),2,IF(OR($N120=3,$N120=4,$N120=5),3,IF(OR($N120=6,$N120=7,$N120=8),4,"")))))</f>
        <v/>
      </c>
      <c r="P120" s="40"/>
      <c r="Q120" s="67"/>
      <c r="R120" s="68"/>
      <c r="S120" s="755">
        <f t="shared" si="8"/>
        <v>0</v>
      </c>
      <c r="T120" s="68"/>
      <c r="U120" s="68"/>
      <c r="V120" s="68"/>
      <c r="W120" s="68"/>
      <c r="X120" s="68"/>
      <c r="Y120" s="68"/>
      <c r="Z120" s="68"/>
      <c r="AA120" s="68"/>
      <c r="AB120" s="69"/>
      <c r="AC120" s="70"/>
      <c r="AD120" s="71"/>
      <c r="AE120" s="68"/>
      <c r="AF120" s="68"/>
      <c r="AG120" s="68"/>
      <c r="AH120" s="68"/>
      <c r="AI120" s="69"/>
      <c r="AJ120" s="69"/>
      <c r="AK120" s="64"/>
      <c r="AL120" s="67"/>
      <c r="AM120" s="71"/>
      <c r="AN120" s="68"/>
      <c r="AO120" s="68"/>
      <c r="AP120" s="68"/>
      <c r="AQ120" s="64"/>
      <c r="AR120" s="64"/>
      <c r="AS120" s="68"/>
      <c r="AT120" s="68"/>
      <c r="AU120" s="70"/>
      <c r="AV120" s="72"/>
      <c r="AW120" s="69"/>
      <c r="AX120" s="69"/>
      <c r="AY120" s="69"/>
      <c r="AZ120" s="69"/>
      <c r="BA120" s="69"/>
      <c r="BB120" s="69"/>
      <c r="BC120" s="69"/>
      <c r="BD120" s="70"/>
      <c r="BE120" s="71"/>
      <c r="BF120" s="68"/>
      <c r="BG120" s="68"/>
      <c r="BH120" s="70"/>
      <c r="BI120" s="67"/>
      <c r="BJ120" s="68"/>
      <c r="BK120" s="70"/>
      <c r="BL120" s="71"/>
      <c r="BM120" s="68"/>
      <c r="BN120" s="70"/>
      <c r="BO120" s="73"/>
      <c r="BP120" s="37">
        <f t="shared" si="9"/>
        <v>0</v>
      </c>
    </row>
    <row r="121" spans="1:68" ht="25.5" customHeight="1" x14ac:dyDescent="0.15">
      <c r="A121" s="17">
        <f t="shared" si="10"/>
        <v>106</v>
      </c>
      <c r="B121" s="1044"/>
      <c r="C121" s="1045"/>
      <c r="D121" s="38"/>
      <c r="E121" s="954"/>
      <c r="F121" s="53"/>
      <c r="G121" s="39"/>
      <c r="H121" s="1050"/>
      <c r="I121" s="684" t="str">
        <f t="shared" si="6"/>
        <v/>
      </c>
      <c r="J121" s="754">
        <f t="shared" si="7"/>
        <v>0</v>
      </c>
      <c r="K121" s="1249"/>
      <c r="L121" s="1250"/>
      <c r="M121" s="1253"/>
      <c r="N121" s="773" t="str">
        <f t="shared" si="11"/>
        <v/>
      </c>
      <c r="O121" s="774" t="str">
        <f>IF('Set up ~ Config'!$G$32=6,IF(OR($N121=7,$N121=8,$N121=9),1,IF(OR($N121=10,$N121=11,$N121=12),2,IF(OR($N121=1,$N121=2,$N121=3),3,IF(OR($N121=4,$N121=5,$N121=6),4,"")))),IF(OR($N121=9,$N121=10,$N121=11),1,IF(OR($N121=12,$N121=1,$N121=2),2,IF(OR($N121=3,$N121=4,$N121=5),3,IF(OR($N121=6,$N121=7,$N121=8),4,"")))))</f>
        <v/>
      </c>
      <c r="P121" s="40"/>
      <c r="Q121" s="67"/>
      <c r="R121" s="68"/>
      <c r="S121" s="755">
        <f t="shared" si="8"/>
        <v>0</v>
      </c>
      <c r="T121" s="68"/>
      <c r="U121" s="68"/>
      <c r="V121" s="68"/>
      <c r="W121" s="68"/>
      <c r="X121" s="68"/>
      <c r="Y121" s="68"/>
      <c r="Z121" s="68"/>
      <c r="AA121" s="68"/>
      <c r="AB121" s="69"/>
      <c r="AC121" s="70"/>
      <c r="AD121" s="71"/>
      <c r="AE121" s="68"/>
      <c r="AF121" s="68"/>
      <c r="AG121" s="68"/>
      <c r="AH121" s="68"/>
      <c r="AI121" s="69"/>
      <c r="AJ121" s="69"/>
      <c r="AK121" s="64"/>
      <c r="AL121" s="67"/>
      <c r="AM121" s="71"/>
      <c r="AN121" s="68"/>
      <c r="AO121" s="68"/>
      <c r="AP121" s="68"/>
      <c r="AQ121" s="64"/>
      <c r="AR121" s="64"/>
      <c r="AS121" s="68"/>
      <c r="AT121" s="68"/>
      <c r="AU121" s="70"/>
      <c r="AV121" s="72"/>
      <c r="AW121" s="69"/>
      <c r="AX121" s="69"/>
      <c r="AY121" s="69"/>
      <c r="AZ121" s="69"/>
      <c r="BA121" s="69"/>
      <c r="BB121" s="69"/>
      <c r="BC121" s="69"/>
      <c r="BD121" s="70"/>
      <c r="BE121" s="71"/>
      <c r="BF121" s="68"/>
      <c r="BG121" s="68"/>
      <c r="BH121" s="70"/>
      <c r="BI121" s="67"/>
      <c r="BJ121" s="68"/>
      <c r="BK121" s="70"/>
      <c r="BL121" s="71"/>
      <c r="BM121" s="68"/>
      <c r="BN121" s="70"/>
      <c r="BO121" s="73"/>
      <c r="BP121" s="37">
        <f t="shared" si="9"/>
        <v>0</v>
      </c>
    </row>
    <row r="122" spans="1:68" ht="25.5" customHeight="1" x14ac:dyDescent="0.15">
      <c r="A122" s="17">
        <f t="shared" si="10"/>
        <v>107</v>
      </c>
      <c r="B122" s="1044"/>
      <c r="C122" s="1045"/>
      <c r="D122" s="38"/>
      <c r="E122" s="954"/>
      <c r="F122" s="53"/>
      <c r="G122" s="39"/>
      <c r="H122" s="1050"/>
      <c r="I122" s="684" t="str">
        <f t="shared" si="6"/>
        <v/>
      </c>
      <c r="J122" s="754">
        <f t="shared" si="7"/>
        <v>0</v>
      </c>
      <c r="K122" s="1249"/>
      <c r="L122" s="1250"/>
      <c r="M122" s="1253"/>
      <c r="N122" s="773" t="str">
        <f t="shared" si="11"/>
        <v/>
      </c>
      <c r="O122" s="774" t="str">
        <f>IF('Set up ~ Config'!$G$32=6,IF(OR($N122=7,$N122=8,$N122=9),1,IF(OR($N122=10,$N122=11,$N122=12),2,IF(OR($N122=1,$N122=2,$N122=3),3,IF(OR($N122=4,$N122=5,$N122=6),4,"")))),IF(OR($N122=9,$N122=10,$N122=11),1,IF(OR($N122=12,$N122=1,$N122=2),2,IF(OR($N122=3,$N122=4,$N122=5),3,IF(OR($N122=6,$N122=7,$N122=8),4,"")))))</f>
        <v/>
      </c>
      <c r="P122" s="40"/>
      <c r="Q122" s="67"/>
      <c r="R122" s="68"/>
      <c r="S122" s="755">
        <f t="shared" si="8"/>
        <v>0</v>
      </c>
      <c r="T122" s="68"/>
      <c r="U122" s="68"/>
      <c r="V122" s="68"/>
      <c r="W122" s="68"/>
      <c r="X122" s="68"/>
      <c r="Y122" s="68"/>
      <c r="Z122" s="68"/>
      <c r="AA122" s="68"/>
      <c r="AB122" s="69"/>
      <c r="AC122" s="70"/>
      <c r="AD122" s="71"/>
      <c r="AE122" s="68"/>
      <c r="AF122" s="68"/>
      <c r="AG122" s="68"/>
      <c r="AH122" s="68"/>
      <c r="AI122" s="69"/>
      <c r="AJ122" s="69"/>
      <c r="AK122" s="64"/>
      <c r="AL122" s="67"/>
      <c r="AM122" s="71"/>
      <c r="AN122" s="68"/>
      <c r="AO122" s="68"/>
      <c r="AP122" s="68"/>
      <c r="AQ122" s="64"/>
      <c r="AR122" s="64"/>
      <c r="AS122" s="68"/>
      <c r="AT122" s="68"/>
      <c r="AU122" s="70"/>
      <c r="AV122" s="72"/>
      <c r="AW122" s="69"/>
      <c r="AX122" s="69"/>
      <c r="AY122" s="69"/>
      <c r="AZ122" s="69"/>
      <c r="BA122" s="69"/>
      <c r="BB122" s="69"/>
      <c r="BC122" s="69"/>
      <c r="BD122" s="70"/>
      <c r="BE122" s="71"/>
      <c r="BF122" s="68"/>
      <c r="BG122" s="68"/>
      <c r="BH122" s="70"/>
      <c r="BI122" s="67"/>
      <c r="BJ122" s="68"/>
      <c r="BK122" s="70"/>
      <c r="BL122" s="71"/>
      <c r="BM122" s="68"/>
      <c r="BN122" s="70"/>
      <c r="BO122" s="73"/>
      <c r="BP122" s="37">
        <f t="shared" si="9"/>
        <v>0</v>
      </c>
    </row>
    <row r="123" spans="1:68" ht="25.5" customHeight="1" x14ac:dyDescent="0.15">
      <c r="A123" s="17">
        <f t="shared" si="10"/>
        <v>108</v>
      </c>
      <c r="B123" s="1044"/>
      <c r="C123" s="1045"/>
      <c r="D123" s="38"/>
      <c r="E123" s="954"/>
      <c r="F123" s="53"/>
      <c r="G123" s="39"/>
      <c r="H123" s="1050"/>
      <c r="I123" s="684" t="str">
        <f t="shared" si="6"/>
        <v/>
      </c>
      <c r="J123" s="754">
        <f t="shared" si="7"/>
        <v>0</v>
      </c>
      <c r="K123" s="1249"/>
      <c r="L123" s="1250"/>
      <c r="M123" s="1253"/>
      <c r="N123" s="773" t="str">
        <f t="shared" si="11"/>
        <v/>
      </c>
      <c r="O123" s="774" t="str">
        <f>IF('Set up ~ Config'!$G$32=6,IF(OR($N123=7,$N123=8,$N123=9),1,IF(OR($N123=10,$N123=11,$N123=12),2,IF(OR($N123=1,$N123=2,$N123=3),3,IF(OR($N123=4,$N123=5,$N123=6),4,"")))),IF(OR($N123=9,$N123=10,$N123=11),1,IF(OR($N123=12,$N123=1,$N123=2),2,IF(OR($N123=3,$N123=4,$N123=5),3,IF(OR($N123=6,$N123=7,$N123=8),4,"")))))</f>
        <v/>
      </c>
      <c r="P123" s="40"/>
      <c r="Q123" s="67"/>
      <c r="R123" s="68"/>
      <c r="S123" s="755">
        <f t="shared" si="8"/>
        <v>0</v>
      </c>
      <c r="T123" s="68"/>
      <c r="U123" s="68"/>
      <c r="V123" s="68"/>
      <c r="W123" s="68"/>
      <c r="X123" s="68"/>
      <c r="Y123" s="68"/>
      <c r="Z123" s="68"/>
      <c r="AA123" s="68"/>
      <c r="AB123" s="69"/>
      <c r="AC123" s="70"/>
      <c r="AD123" s="71"/>
      <c r="AE123" s="68"/>
      <c r="AF123" s="68"/>
      <c r="AG123" s="68"/>
      <c r="AH123" s="68"/>
      <c r="AI123" s="69"/>
      <c r="AJ123" s="69"/>
      <c r="AK123" s="64"/>
      <c r="AL123" s="67"/>
      <c r="AM123" s="71"/>
      <c r="AN123" s="68"/>
      <c r="AO123" s="68"/>
      <c r="AP123" s="68"/>
      <c r="AQ123" s="64"/>
      <c r="AR123" s="64"/>
      <c r="AS123" s="68"/>
      <c r="AT123" s="68"/>
      <c r="AU123" s="70"/>
      <c r="AV123" s="72"/>
      <c r="AW123" s="69"/>
      <c r="AX123" s="69"/>
      <c r="AY123" s="69"/>
      <c r="AZ123" s="69"/>
      <c r="BA123" s="69"/>
      <c r="BB123" s="69"/>
      <c r="BC123" s="69"/>
      <c r="BD123" s="70"/>
      <c r="BE123" s="71"/>
      <c r="BF123" s="68"/>
      <c r="BG123" s="68"/>
      <c r="BH123" s="70"/>
      <c r="BI123" s="67"/>
      <c r="BJ123" s="68"/>
      <c r="BK123" s="70"/>
      <c r="BL123" s="71"/>
      <c r="BM123" s="68"/>
      <c r="BN123" s="70"/>
      <c r="BO123" s="73"/>
      <c r="BP123" s="37">
        <f t="shared" si="9"/>
        <v>0</v>
      </c>
    </row>
    <row r="124" spans="1:68" ht="25.5" customHeight="1" x14ac:dyDescent="0.15">
      <c r="A124" s="17">
        <f t="shared" si="10"/>
        <v>109</v>
      </c>
      <c r="B124" s="1044"/>
      <c r="C124" s="1045"/>
      <c r="D124" s="38"/>
      <c r="E124" s="954"/>
      <c r="F124" s="53"/>
      <c r="G124" s="39"/>
      <c r="H124" s="1050"/>
      <c r="I124" s="684" t="str">
        <f t="shared" si="6"/>
        <v/>
      </c>
      <c r="J124" s="754">
        <f t="shared" si="7"/>
        <v>0</v>
      </c>
      <c r="K124" s="1249"/>
      <c r="L124" s="1250"/>
      <c r="M124" s="1253"/>
      <c r="N124" s="773" t="str">
        <f t="shared" si="11"/>
        <v/>
      </c>
      <c r="O124" s="774" t="str">
        <f>IF('Set up ~ Config'!$G$32=6,IF(OR($N124=7,$N124=8,$N124=9),1,IF(OR($N124=10,$N124=11,$N124=12),2,IF(OR($N124=1,$N124=2,$N124=3),3,IF(OR($N124=4,$N124=5,$N124=6),4,"")))),IF(OR($N124=9,$N124=10,$N124=11),1,IF(OR($N124=12,$N124=1,$N124=2),2,IF(OR($N124=3,$N124=4,$N124=5),3,IF(OR($N124=6,$N124=7,$N124=8),4,"")))))</f>
        <v/>
      </c>
      <c r="P124" s="40"/>
      <c r="Q124" s="67"/>
      <c r="R124" s="68"/>
      <c r="S124" s="755">
        <f t="shared" si="8"/>
        <v>0</v>
      </c>
      <c r="T124" s="68"/>
      <c r="U124" s="68"/>
      <c r="V124" s="68"/>
      <c r="W124" s="68"/>
      <c r="X124" s="68"/>
      <c r="Y124" s="68"/>
      <c r="Z124" s="68"/>
      <c r="AA124" s="68"/>
      <c r="AB124" s="69"/>
      <c r="AC124" s="70"/>
      <c r="AD124" s="71"/>
      <c r="AE124" s="68"/>
      <c r="AF124" s="68"/>
      <c r="AG124" s="68"/>
      <c r="AH124" s="68"/>
      <c r="AI124" s="69"/>
      <c r="AJ124" s="69"/>
      <c r="AK124" s="64"/>
      <c r="AL124" s="67"/>
      <c r="AM124" s="71"/>
      <c r="AN124" s="68"/>
      <c r="AO124" s="68"/>
      <c r="AP124" s="68"/>
      <c r="AQ124" s="64"/>
      <c r="AR124" s="64"/>
      <c r="AS124" s="68"/>
      <c r="AT124" s="68"/>
      <c r="AU124" s="70"/>
      <c r="AV124" s="72"/>
      <c r="AW124" s="69"/>
      <c r="AX124" s="69"/>
      <c r="AY124" s="69"/>
      <c r="AZ124" s="69"/>
      <c r="BA124" s="69"/>
      <c r="BB124" s="69"/>
      <c r="BC124" s="69"/>
      <c r="BD124" s="70"/>
      <c r="BE124" s="71"/>
      <c r="BF124" s="68"/>
      <c r="BG124" s="68"/>
      <c r="BH124" s="70"/>
      <c r="BI124" s="67"/>
      <c r="BJ124" s="68"/>
      <c r="BK124" s="70"/>
      <c r="BL124" s="71"/>
      <c r="BM124" s="68"/>
      <c r="BN124" s="70"/>
      <c r="BO124" s="73"/>
      <c r="BP124" s="37">
        <f t="shared" si="9"/>
        <v>0</v>
      </c>
    </row>
    <row r="125" spans="1:68" ht="25.5" customHeight="1" x14ac:dyDescent="0.15">
      <c r="A125" s="17">
        <f t="shared" si="10"/>
        <v>110</v>
      </c>
      <c r="B125" s="1044"/>
      <c r="C125" s="1045"/>
      <c r="D125" s="38"/>
      <c r="E125" s="954"/>
      <c r="F125" s="53"/>
      <c r="G125" s="39"/>
      <c r="H125" s="1050"/>
      <c r="I125" s="684" t="str">
        <f t="shared" si="6"/>
        <v/>
      </c>
      <c r="J125" s="754">
        <f t="shared" si="7"/>
        <v>0</v>
      </c>
      <c r="K125" s="1249"/>
      <c r="L125" s="1250"/>
      <c r="M125" s="1253"/>
      <c r="N125" s="773" t="str">
        <f t="shared" si="11"/>
        <v/>
      </c>
      <c r="O125" s="774" t="str">
        <f>IF('Set up ~ Config'!$G$32=6,IF(OR($N125=7,$N125=8,$N125=9),1,IF(OR($N125=10,$N125=11,$N125=12),2,IF(OR($N125=1,$N125=2,$N125=3),3,IF(OR($N125=4,$N125=5,$N125=6),4,"")))),IF(OR($N125=9,$N125=10,$N125=11),1,IF(OR($N125=12,$N125=1,$N125=2),2,IF(OR($N125=3,$N125=4,$N125=5),3,IF(OR($N125=6,$N125=7,$N125=8),4,"")))))</f>
        <v/>
      </c>
      <c r="P125" s="40"/>
      <c r="Q125" s="67"/>
      <c r="R125" s="68"/>
      <c r="S125" s="755">
        <f t="shared" si="8"/>
        <v>0</v>
      </c>
      <c r="T125" s="68"/>
      <c r="U125" s="68"/>
      <c r="V125" s="68"/>
      <c r="W125" s="68"/>
      <c r="X125" s="68"/>
      <c r="Y125" s="68"/>
      <c r="Z125" s="68"/>
      <c r="AA125" s="68"/>
      <c r="AB125" s="69"/>
      <c r="AC125" s="70"/>
      <c r="AD125" s="71"/>
      <c r="AE125" s="68"/>
      <c r="AF125" s="68"/>
      <c r="AG125" s="68"/>
      <c r="AH125" s="68"/>
      <c r="AI125" s="69"/>
      <c r="AJ125" s="69"/>
      <c r="AK125" s="64"/>
      <c r="AL125" s="67"/>
      <c r="AM125" s="71"/>
      <c r="AN125" s="68"/>
      <c r="AO125" s="68"/>
      <c r="AP125" s="68"/>
      <c r="AQ125" s="64"/>
      <c r="AR125" s="64"/>
      <c r="AS125" s="68"/>
      <c r="AT125" s="68"/>
      <c r="AU125" s="70"/>
      <c r="AV125" s="72"/>
      <c r="AW125" s="69"/>
      <c r="AX125" s="69"/>
      <c r="AY125" s="69"/>
      <c r="AZ125" s="69"/>
      <c r="BA125" s="69"/>
      <c r="BB125" s="69"/>
      <c r="BC125" s="69"/>
      <c r="BD125" s="70"/>
      <c r="BE125" s="71"/>
      <c r="BF125" s="68"/>
      <c r="BG125" s="68"/>
      <c r="BH125" s="70"/>
      <c r="BI125" s="67"/>
      <c r="BJ125" s="68"/>
      <c r="BK125" s="70"/>
      <c r="BL125" s="71"/>
      <c r="BM125" s="68"/>
      <c r="BN125" s="70"/>
      <c r="BO125" s="73"/>
      <c r="BP125" s="37">
        <f t="shared" si="9"/>
        <v>0</v>
      </c>
    </row>
    <row r="126" spans="1:68" ht="25.5" customHeight="1" x14ac:dyDescent="0.15">
      <c r="A126" s="17">
        <f t="shared" si="10"/>
        <v>111</v>
      </c>
      <c r="B126" s="1044"/>
      <c r="C126" s="1045"/>
      <c r="D126" s="38"/>
      <c r="E126" s="954"/>
      <c r="F126" s="53"/>
      <c r="G126" s="39"/>
      <c r="H126" s="1050"/>
      <c r="I126" s="684" t="str">
        <f t="shared" si="6"/>
        <v/>
      </c>
      <c r="J126" s="754">
        <f t="shared" si="7"/>
        <v>0</v>
      </c>
      <c r="K126" s="1249"/>
      <c r="L126" s="1250"/>
      <c r="M126" s="1253"/>
      <c r="N126" s="773" t="str">
        <f t="shared" si="11"/>
        <v/>
      </c>
      <c r="O126" s="774" t="str">
        <f>IF('Set up ~ Config'!$G$32=6,IF(OR($N126=7,$N126=8,$N126=9),1,IF(OR($N126=10,$N126=11,$N126=12),2,IF(OR($N126=1,$N126=2,$N126=3),3,IF(OR($N126=4,$N126=5,$N126=6),4,"")))),IF(OR($N126=9,$N126=10,$N126=11),1,IF(OR($N126=12,$N126=1,$N126=2),2,IF(OR($N126=3,$N126=4,$N126=5),3,IF(OR($N126=6,$N126=7,$N126=8),4,"")))))</f>
        <v/>
      </c>
      <c r="P126" s="40"/>
      <c r="Q126" s="67"/>
      <c r="R126" s="68"/>
      <c r="S126" s="755">
        <f t="shared" si="8"/>
        <v>0</v>
      </c>
      <c r="T126" s="68"/>
      <c r="U126" s="68"/>
      <c r="V126" s="68"/>
      <c r="W126" s="68"/>
      <c r="X126" s="68"/>
      <c r="Y126" s="68"/>
      <c r="Z126" s="68"/>
      <c r="AA126" s="68"/>
      <c r="AB126" s="69"/>
      <c r="AC126" s="70"/>
      <c r="AD126" s="71"/>
      <c r="AE126" s="68"/>
      <c r="AF126" s="68"/>
      <c r="AG126" s="68"/>
      <c r="AH126" s="68"/>
      <c r="AI126" s="69"/>
      <c r="AJ126" s="69"/>
      <c r="AK126" s="64"/>
      <c r="AL126" s="67"/>
      <c r="AM126" s="71"/>
      <c r="AN126" s="68"/>
      <c r="AO126" s="68"/>
      <c r="AP126" s="68"/>
      <c r="AQ126" s="64"/>
      <c r="AR126" s="64"/>
      <c r="AS126" s="68"/>
      <c r="AT126" s="68"/>
      <c r="AU126" s="70"/>
      <c r="AV126" s="72"/>
      <c r="AW126" s="69"/>
      <c r="AX126" s="69"/>
      <c r="AY126" s="69"/>
      <c r="AZ126" s="69"/>
      <c r="BA126" s="69"/>
      <c r="BB126" s="69"/>
      <c r="BC126" s="69"/>
      <c r="BD126" s="70"/>
      <c r="BE126" s="71"/>
      <c r="BF126" s="68"/>
      <c r="BG126" s="68"/>
      <c r="BH126" s="70"/>
      <c r="BI126" s="67"/>
      <c r="BJ126" s="68"/>
      <c r="BK126" s="70"/>
      <c r="BL126" s="71"/>
      <c r="BM126" s="68"/>
      <c r="BN126" s="70"/>
      <c r="BO126" s="73"/>
      <c r="BP126" s="37">
        <f t="shared" si="9"/>
        <v>0</v>
      </c>
    </row>
    <row r="127" spans="1:68" ht="25.5" customHeight="1" x14ac:dyDescent="0.15">
      <c r="A127" s="17">
        <f t="shared" si="10"/>
        <v>112</v>
      </c>
      <c r="B127" s="1044"/>
      <c r="C127" s="1045"/>
      <c r="D127" s="38"/>
      <c r="E127" s="954"/>
      <c r="F127" s="53"/>
      <c r="G127" s="39"/>
      <c r="H127" s="1050"/>
      <c r="I127" s="684" t="str">
        <f t="shared" si="6"/>
        <v/>
      </c>
      <c r="J127" s="754">
        <f t="shared" si="7"/>
        <v>0</v>
      </c>
      <c r="K127" s="1249"/>
      <c r="L127" s="1250"/>
      <c r="M127" s="1253"/>
      <c r="N127" s="773" t="str">
        <f t="shared" si="11"/>
        <v/>
      </c>
      <c r="O127" s="774" t="str">
        <f>IF('Set up ~ Config'!$G$32=6,IF(OR($N127=7,$N127=8,$N127=9),1,IF(OR($N127=10,$N127=11,$N127=12),2,IF(OR($N127=1,$N127=2,$N127=3),3,IF(OR($N127=4,$N127=5,$N127=6),4,"")))),IF(OR($N127=9,$N127=10,$N127=11),1,IF(OR($N127=12,$N127=1,$N127=2),2,IF(OR($N127=3,$N127=4,$N127=5),3,IF(OR($N127=6,$N127=7,$N127=8),4,"")))))</f>
        <v/>
      </c>
      <c r="P127" s="40"/>
      <c r="Q127" s="67"/>
      <c r="R127" s="68"/>
      <c r="S127" s="755">
        <f t="shared" si="8"/>
        <v>0</v>
      </c>
      <c r="T127" s="68"/>
      <c r="U127" s="68"/>
      <c r="V127" s="68"/>
      <c r="W127" s="68"/>
      <c r="X127" s="68"/>
      <c r="Y127" s="68"/>
      <c r="Z127" s="68"/>
      <c r="AA127" s="68"/>
      <c r="AB127" s="69"/>
      <c r="AC127" s="70"/>
      <c r="AD127" s="71"/>
      <c r="AE127" s="68"/>
      <c r="AF127" s="68"/>
      <c r="AG127" s="68"/>
      <c r="AH127" s="68"/>
      <c r="AI127" s="69"/>
      <c r="AJ127" s="69"/>
      <c r="AK127" s="64"/>
      <c r="AL127" s="67"/>
      <c r="AM127" s="71"/>
      <c r="AN127" s="68"/>
      <c r="AO127" s="68"/>
      <c r="AP127" s="68"/>
      <c r="AQ127" s="64"/>
      <c r="AR127" s="64"/>
      <c r="AS127" s="68"/>
      <c r="AT127" s="68"/>
      <c r="AU127" s="70"/>
      <c r="AV127" s="72"/>
      <c r="AW127" s="69"/>
      <c r="AX127" s="69"/>
      <c r="AY127" s="69"/>
      <c r="AZ127" s="69"/>
      <c r="BA127" s="69"/>
      <c r="BB127" s="69"/>
      <c r="BC127" s="69"/>
      <c r="BD127" s="70"/>
      <c r="BE127" s="71"/>
      <c r="BF127" s="68"/>
      <c r="BG127" s="68"/>
      <c r="BH127" s="70"/>
      <c r="BI127" s="67"/>
      <c r="BJ127" s="68"/>
      <c r="BK127" s="70"/>
      <c r="BL127" s="71"/>
      <c r="BM127" s="68"/>
      <c r="BN127" s="70"/>
      <c r="BO127" s="73"/>
      <c r="BP127" s="37">
        <f t="shared" si="9"/>
        <v>0</v>
      </c>
    </row>
    <row r="128" spans="1:68" ht="25.5" customHeight="1" x14ac:dyDescent="0.15">
      <c r="A128" s="17">
        <f t="shared" si="10"/>
        <v>113</v>
      </c>
      <c r="B128" s="1044"/>
      <c r="C128" s="1045"/>
      <c r="D128" s="38"/>
      <c r="E128" s="954"/>
      <c r="F128" s="53"/>
      <c r="G128" s="39"/>
      <c r="H128" s="1050"/>
      <c r="I128" s="684" t="str">
        <f t="shared" si="6"/>
        <v/>
      </c>
      <c r="J128" s="754">
        <f t="shared" si="7"/>
        <v>0</v>
      </c>
      <c r="K128" s="1249"/>
      <c r="L128" s="1250"/>
      <c r="M128" s="1253"/>
      <c r="N128" s="773" t="str">
        <f t="shared" si="11"/>
        <v/>
      </c>
      <c r="O128" s="774" t="str">
        <f>IF('Set up ~ Config'!$G$32=6,IF(OR($N128=7,$N128=8,$N128=9),1,IF(OR($N128=10,$N128=11,$N128=12),2,IF(OR($N128=1,$N128=2,$N128=3),3,IF(OR($N128=4,$N128=5,$N128=6),4,"")))),IF(OR($N128=9,$N128=10,$N128=11),1,IF(OR($N128=12,$N128=1,$N128=2),2,IF(OR($N128=3,$N128=4,$N128=5),3,IF(OR($N128=6,$N128=7,$N128=8),4,"")))))</f>
        <v/>
      </c>
      <c r="P128" s="40"/>
      <c r="Q128" s="67"/>
      <c r="R128" s="68"/>
      <c r="S128" s="755">
        <f t="shared" si="8"/>
        <v>0</v>
      </c>
      <c r="T128" s="68"/>
      <c r="U128" s="68"/>
      <c r="V128" s="68"/>
      <c r="W128" s="68"/>
      <c r="X128" s="68"/>
      <c r="Y128" s="68"/>
      <c r="Z128" s="68"/>
      <c r="AA128" s="68"/>
      <c r="AB128" s="69"/>
      <c r="AC128" s="70"/>
      <c r="AD128" s="71"/>
      <c r="AE128" s="68"/>
      <c r="AF128" s="68"/>
      <c r="AG128" s="68"/>
      <c r="AH128" s="68"/>
      <c r="AI128" s="69"/>
      <c r="AJ128" s="69"/>
      <c r="AK128" s="64"/>
      <c r="AL128" s="67"/>
      <c r="AM128" s="71"/>
      <c r="AN128" s="68"/>
      <c r="AO128" s="68"/>
      <c r="AP128" s="68"/>
      <c r="AQ128" s="64"/>
      <c r="AR128" s="64"/>
      <c r="AS128" s="68"/>
      <c r="AT128" s="68"/>
      <c r="AU128" s="70"/>
      <c r="AV128" s="72"/>
      <c r="AW128" s="69"/>
      <c r="AX128" s="69"/>
      <c r="AY128" s="69"/>
      <c r="AZ128" s="69"/>
      <c r="BA128" s="69"/>
      <c r="BB128" s="69"/>
      <c r="BC128" s="69"/>
      <c r="BD128" s="70"/>
      <c r="BE128" s="71"/>
      <c r="BF128" s="68"/>
      <c r="BG128" s="68"/>
      <c r="BH128" s="70"/>
      <c r="BI128" s="67"/>
      <c r="BJ128" s="68"/>
      <c r="BK128" s="70"/>
      <c r="BL128" s="71"/>
      <c r="BM128" s="68"/>
      <c r="BN128" s="70"/>
      <c r="BO128" s="73"/>
      <c r="BP128" s="37">
        <f t="shared" si="9"/>
        <v>0</v>
      </c>
    </row>
    <row r="129" spans="1:68" ht="25.5" customHeight="1" x14ac:dyDescent="0.15">
      <c r="A129" s="17">
        <f t="shared" si="10"/>
        <v>114</v>
      </c>
      <c r="B129" s="1044"/>
      <c r="C129" s="1045"/>
      <c r="D129" s="38"/>
      <c r="E129" s="954"/>
      <c r="F129" s="53"/>
      <c r="G129" s="39"/>
      <c r="H129" s="1050"/>
      <c r="I129" s="684" t="str">
        <f t="shared" si="6"/>
        <v/>
      </c>
      <c r="J129" s="754">
        <f t="shared" si="7"/>
        <v>0</v>
      </c>
      <c r="K129" s="1249"/>
      <c r="L129" s="1250"/>
      <c r="M129" s="1253"/>
      <c r="N129" s="773" t="str">
        <f t="shared" si="11"/>
        <v/>
      </c>
      <c r="O129" s="774" t="str">
        <f>IF('Set up ~ Config'!$G$32=6,IF(OR($N129=7,$N129=8,$N129=9),1,IF(OR($N129=10,$N129=11,$N129=12),2,IF(OR($N129=1,$N129=2,$N129=3),3,IF(OR($N129=4,$N129=5,$N129=6),4,"")))),IF(OR($N129=9,$N129=10,$N129=11),1,IF(OR($N129=12,$N129=1,$N129=2),2,IF(OR($N129=3,$N129=4,$N129=5),3,IF(OR($N129=6,$N129=7,$N129=8),4,"")))))</f>
        <v/>
      </c>
      <c r="P129" s="40"/>
      <c r="Q129" s="67"/>
      <c r="R129" s="68"/>
      <c r="S129" s="755">
        <f t="shared" si="8"/>
        <v>0</v>
      </c>
      <c r="T129" s="68"/>
      <c r="U129" s="68"/>
      <c r="V129" s="68"/>
      <c r="W129" s="68"/>
      <c r="X129" s="68"/>
      <c r="Y129" s="68"/>
      <c r="Z129" s="68"/>
      <c r="AA129" s="68"/>
      <c r="AB129" s="69"/>
      <c r="AC129" s="70"/>
      <c r="AD129" s="71"/>
      <c r="AE129" s="68"/>
      <c r="AF129" s="68"/>
      <c r="AG129" s="68"/>
      <c r="AH129" s="68"/>
      <c r="AI129" s="69"/>
      <c r="AJ129" s="69"/>
      <c r="AK129" s="64"/>
      <c r="AL129" s="67"/>
      <c r="AM129" s="71"/>
      <c r="AN129" s="68"/>
      <c r="AO129" s="68"/>
      <c r="AP129" s="68"/>
      <c r="AQ129" s="64"/>
      <c r="AR129" s="64"/>
      <c r="AS129" s="68"/>
      <c r="AT129" s="68"/>
      <c r="AU129" s="70"/>
      <c r="AV129" s="72"/>
      <c r="AW129" s="69"/>
      <c r="AX129" s="69"/>
      <c r="AY129" s="69"/>
      <c r="AZ129" s="69"/>
      <c r="BA129" s="69"/>
      <c r="BB129" s="69"/>
      <c r="BC129" s="69"/>
      <c r="BD129" s="70"/>
      <c r="BE129" s="71"/>
      <c r="BF129" s="68"/>
      <c r="BG129" s="68"/>
      <c r="BH129" s="70"/>
      <c r="BI129" s="67"/>
      <c r="BJ129" s="68"/>
      <c r="BK129" s="70"/>
      <c r="BL129" s="71"/>
      <c r="BM129" s="68"/>
      <c r="BN129" s="70"/>
      <c r="BO129" s="73"/>
      <c r="BP129" s="37">
        <f t="shared" si="9"/>
        <v>0</v>
      </c>
    </row>
    <row r="130" spans="1:68" ht="25.5" customHeight="1" x14ac:dyDescent="0.15">
      <c r="A130" s="17">
        <f t="shared" si="10"/>
        <v>115</v>
      </c>
      <c r="B130" s="1044"/>
      <c r="C130" s="1045"/>
      <c r="D130" s="38"/>
      <c r="E130" s="954"/>
      <c r="F130" s="53"/>
      <c r="G130" s="39"/>
      <c r="H130" s="1050"/>
      <c r="I130" s="684" t="str">
        <f t="shared" si="6"/>
        <v/>
      </c>
      <c r="J130" s="754">
        <f t="shared" si="7"/>
        <v>0</v>
      </c>
      <c r="K130" s="1249"/>
      <c r="L130" s="1250"/>
      <c r="M130" s="1253"/>
      <c r="N130" s="773" t="str">
        <f t="shared" si="11"/>
        <v/>
      </c>
      <c r="O130" s="774" t="str">
        <f>IF('Set up ~ Config'!$G$32=6,IF(OR($N130=7,$N130=8,$N130=9),1,IF(OR($N130=10,$N130=11,$N130=12),2,IF(OR($N130=1,$N130=2,$N130=3),3,IF(OR($N130=4,$N130=5,$N130=6),4,"")))),IF(OR($N130=9,$N130=10,$N130=11),1,IF(OR($N130=12,$N130=1,$N130=2),2,IF(OR($N130=3,$N130=4,$N130=5),3,IF(OR($N130=6,$N130=7,$N130=8),4,"")))))</f>
        <v/>
      </c>
      <c r="P130" s="40"/>
      <c r="Q130" s="67"/>
      <c r="R130" s="68"/>
      <c r="S130" s="755">
        <f t="shared" si="8"/>
        <v>0</v>
      </c>
      <c r="T130" s="68"/>
      <c r="U130" s="68"/>
      <c r="V130" s="68"/>
      <c r="W130" s="68"/>
      <c r="X130" s="68"/>
      <c r="Y130" s="68"/>
      <c r="Z130" s="68"/>
      <c r="AA130" s="68"/>
      <c r="AB130" s="69"/>
      <c r="AC130" s="70"/>
      <c r="AD130" s="71"/>
      <c r="AE130" s="68"/>
      <c r="AF130" s="68"/>
      <c r="AG130" s="68"/>
      <c r="AH130" s="68"/>
      <c r="AI130" s="69"/>
      <c r="AJ130" s="69"/>
      <c r="AK130" s="64"/>
      <c r="AL130" s="67"/>
      <c r="AM130" s="71"/>
      <c r="AN130" s="68"/>
      <c r="AO130" s="68"/>
      <c r="AP130" s="68"/>
      <c r="AQ130" s="64"/>
      <c r="AR130" s="64"/>
      <c r="AS130" s="68"/>
      <c r="AT130" s="68"/>
      <c r="AU130" s="70"/>
      <c r="AV130" s="72"/>
      <c r="AW130" s="69"/>
      <c r="AX130" s="69"/>
      <c r="AY130" s="69"/>
      <c r="AZ130" s="69"/>
      <c r="BA130" s="69"/>
      <c r="BB130" s="69"/>
      <c r="BC130" s="69"/>
      <c r="BD130" s="70"/>
      <c r="BE130" s="71"/>
      <c r="BF130" s="68"/>
      <c r="BG130" s="68"/>
      <c r="BH130" s="70"/>
      <c r="BI130" s="67"/>
      <c r="BJ130" s="68"/>
      <c r="BK130" s="70"/>
      <c r="BL130" s="71"/>
      <c r="BM130" s="68"/>
      <c r="BN130" s="70"/>
      <c r="BO130" s="73"/>
      <c r="BP130" s="37">
        <f t="shared" si="9"/>
        <v>0</v>
      </c>
    </row>
    <row r="131" spans="1:68" ht="25.5" customHeight="1" x14ac:dyDescent="0.15">
      <c r="A131" s="17">
        <f t="shared" si="10"/>
        <v>116</v>
      </c>
      <c r="B131" s="1044"/>
      <c r="C131" s="1045"/>
      <c r="D131" s="38"/>
      <c r="E131" s="954"/>
      <c r="F131" s="53"/>
      <c r="G131" s="39"/>
      <c r="H131" s="1050"/>
      <c r="I131" s="684" t="str">
        <f t="shared" si="6"/>
        <v/>
      </c>
      <c r="J131" s="754">
        <f t="shared" si="7"/>
        <v>0</v>
      </c>
      <c r="K131" s="1249"/>
      <c r="L131" s="1250"/>
      <c r="M131" s="1253"/>
      <c r="N131" s="773" t="str">
        <f t="shared" si="11"/>
        <v/>
      </c>
      <c r="O131" s="774" t="str">
        <f>IF('Set up ~ Config'!$G$32=6,IF(OR($N131=7,$N131=8,$N131=9),1,IF(OR($N131=10,$N131=11,$N131=12),2,IF(OR($N131=1,$N131=2,$N131=3),3,IF(OR($N131=4,$N131=5,$N131=6),4,"")))),IF(OR($N131=9,$N131=10,$N131=11),1,IF(OR($N131=12,$N131=1,$N131=2),2,IF(OR($N131=3,$N131=4,$N131=5),3,IF(OR($N131=6,$N131=7,$N131=8),4,"")))))</f>
        <v/>
      </c>
      <c r="P131" s="40"/>
      <c r="Q131" s="67"/>
      <c r="R131" s="68"/>
      <c r="S131" s="755">
        <f t="shared" si="8"/>
        <v>0</v>
      </c>
      <c r="T131" s="68"/>
      <c r="U131" s="68"/>
      <c r="V131" s="68"/>
      <c r="W131" s="68"/>
      <c r="X131" s="68"/>
      <c r="Y131" s="68"/>
      <c r="Z131" s="68"/>
      <c r="AA131" s="68"/>
      <c r="AB131" s="69"/>
      <c r="AC131" s="70"/>
      <c r="AD131" s="71"/>
      <c r="AE131" s="68"/>
      <c r="AF131" s="68"/>
      <c r="AG131" s="68"/>
      <c r="AH131" s="68"/>
      <c r="AI131" s="69"/>
      <c r="AJ131" s="69"/>
      <c r="AK131" s="64"/>
      <c r="AL131" s="67"/>
      <c r="AM131" s="71"/>
      <c r="AN131" s="68"/>
      <c r="AO131" s="68"/>
      <c r="AP131" s="68"/>
      <c r="AQ131" s="64"/>
      <c r="AR131" s="64"/>
      <c r="AS131" s="68"/>
      <c r="AT131" s="68"/>
      <c r="AU131" s="70"/>
      <c r="AV131" s="72"/>
      <c r="AW131" s="69"/>
      <c r="AX131" s="69"/>
      <c r="AY131" s="69"/>
      <c r="AZ131" s="69"/>
      <c r="BA131" s="69"/>
      <c r="BB131" s="69"/>
      <c r="BC131" s="69"/>
      <c r="BD131" s="70"/>
      <c r="BE131" s="71"/>
      <c r="BF131" s="68"/>
      <c r="BG131" s="68"/>
      <c r="BH131" s="70"/>
      <c r="BI131" s="67"/>
      <c r="BJ131" s="68"/>
      <c r="BK131" s="70"/>
      <c r="BL131" s="71"/>
      <c r="BM131" s="68"/>
      <c r="BN131" s="70"/>
      <c r="BO131" s="73"/>
      <c r="BP131" s="37">
        <f t="shared" si="9"/>
        <v>0</v>
      </c>
    </row>
    <row r="132" spans="1:68" ht="25.5" customHeight="1" x14ac:dyDescent="0.15">
      <c r="A132" s="17">
        <f t="shared" si="10"/>
        <v>117</v>
      </c>
      <c r="B132" s="1044"/>
      <c r="C132" s="1045"/>
      <c r="D132" s="38"/>
      <c r="E132" s="954"/>
      <c r="F132" s="53"/>
      <c r="G132" s="39"/>
      <c r="H132" s="1050"/>
      <c r="I132" s="684" t="str">
        <f t="shared" si="6"/>
        <v/>
      </c>
      <c r="J132" s="754">
        <f t="shared" si="7"/>
        <v>0</v>
      </c>
      <c r="K132" s="1249"/>
      <c r="L132" s="1250"/>
      <c r="M132" s="1253"/>
      <c r="N132" s="773" t="str">
        <f t="shared" si="11"/>
        <v/>
      </c>
      <c r="O132" s="774" t="str">
        <f>IF('Set up ~ Config'!$G$32=6,IF(OR($N132=7,$N132=8,$N132=9),1,IF(OR($N132=10,$N132=11,$N132=12),2,IF(OR($N132=1,$N132=2,$N132=3),3,IF(OR($N132=4,$N132=5,$N132=6),4,"")))),IF(OR($N132=9,$N132=10,$N132=11),1,IF(OR($N132=12,$N132=1,$N132=2),2,IF(OR($N132=3,$N132=4,$N132=5),3,IF(OR($N132=6,$N132=7,$N132=8),4,"")))))</f>
        <v/>
      </c>
      <c r="P132" s="40"/>
      <c r="Q132" s="67"/>
      <c r="R132" s="68"/>
      <c r="S132" s="755">
        <f t="shared" si="8"/>
        <v>0</v>
      </c>
      <c r="T132" s="68"/>
      <c r="U132" s="68"/>
      <c r="V132" s="68"/>
      <c r="W132" s="68"/>
      <c r="X132" s="68"/>
      <c r="Y132" s="68"/>
      <c r="Z132" s="68"/>
      <c r="AA132" s="68"/>
      <c r="AB132" s="69"/>
      <c r="AC132" s="70"/>
      <c r="AD132" s="71"/>
      <c r="AE132" s="68"/>
      <c r="AF132" s="68"/>
      <c r="AG132" s="68"/>
      <c r="AH132" s="68"/>
      <c r="AI132" s="69"/>
      <c r="AJ132" s="69"/>
      <c r="AK132" s="64"/>
      <c r="AL132" s="67"/>
      <c r="AM132" s="71"/>
      <c r="AN132" s="68"/>
      <c r="AO132" s="68"/>
      <c r="AP132" s="68"/>
      <c r="AQ132" s="64"/>
      <c r="AR132" s="64"/>
      <c r="AS132" s="68"/>
      <c r="AT132" s="68"/>
      <c r="AU132" s="70"/>
      <c r="AV132" s="72"/>
      <c r="AW132" s="69"/>
      <c r="AX132" s="69"/>
      <c r="AY132" s="69"/>
      <c r="AZ132" s="69"/>
      <c r="BA132" s="69"/>
      <c r="BB132" s="69"/>
      <c r="BC132" s="69"/>
      <c r="BD132" s="70"/>
      <c r="BE132" s="71"/>
      <c r="BF132" s="68"/>
      <c r="BG132" s="68"/>
      <c r="BH132" s="70"/>
      <c r="BI132" s="67"/>
      <c r="BJ132" s="68"/>
      <c r="BK132" s="70"/>
      <c r="BL132" s="71"/>
      <c r="BM132" s="68"/>
      <c r="BN132" s="70"/>
      <c r="BO132" s="73"/>
      <c r="BP132" s="37">
        <f t="shared" si="9"/>
        <v>0</v>
      </c>
    </row>
    <row r="133" spans="1:68" ht="25.5" customHeight="1" x14ac:dyDescent="0.15">
      <c r="A133" s="17">
        <f t="shared" si="10"/>
        <v>118</v>
      </c>
      <c r="B133" s="1044"/>
      <c r="C133" s="1045"/>
      <c r="D133" s="38"/>
      <c r="E133" s="954"/>
      <c r="F133" s="53"/>
      <c r="G133" s="39"/>
      <c r="H133" s="1050"/>
      <c r="I133" s="684" t="str">
        <f t="shared" si="6"/>
        <v/>
      </c>
      <c r="J133" s="754">
        <f t="shared" si="7"/>
        <v>0</v>
      </c>
      <c r="K133" s="1249"/>
      <c r="L133" s="1250"/>
      <c r="M133" s="1253"/>
      <c r="N133" s="773" t="str">
        <f t="shared" si="11"/>
        <v/>
      </c>
      <c r="O133" s="774" t="str">
        <f>IF('Set up ~ Config'!$G$32=6,IF(OR($N133=7,$N133=8,$N133=9),1,IF(OR($N133=10,$N133=11,$N133=12),2,IF(OR($N133=1,$N133=2,$N133=3),3,IF(OR($N133=4,$N133=5,$N133=6),4,"")))),IF(OR($N133=9,$N133=10,$N133=11),1,IF(OR($N133=12,$N133=1,$N133=2),2,IF(OR($N133=3,$N133=4,$N133=5),3,IF(OR($N133=6,$N133=7,$N133=8),4,"")))))</f>
        <v/>
      </c>
      <c r="P133" s="40"/>
      <c r="Q133" s="67"/>
      <c r="R133" s="68"/>
      <c r="S133" s="755">
        <f t="shared" si="8"/>
        <v>0</v>
      </c>
      <c r="T133" s="68"/>
      <c r="U133" s="68"/>
      <c r="V133" s="68"/>
      <c r="W133" s="68"/>
      <c r="X133" s="68"/>
      <c r="Y133" s="68"/>
      <c r="Z133" s="68"/>
      <c r="AA133" s="68"/>
      <c r="AB133" s="69"/>
      <c r="AC133" s="70"/>
      <c r="AD133" s="71"/>
      <c r="AE133" s="68"/>
      <c r="AF133" s="68"/>
      <c r="AG133" s="68"/>
      <c r="AH133" s="68"/>
      <c r="AI133" s="69"/>
      <c r="AJ133" s="69"/>
      <c r="AK133" s="64"/>
      <c r="AL133" s="67"/>
      <c r="AM133" s="71"/>
      <c r="AN133" s="68"/>
      <c r="AO133" s="68"/>
      <c r="AP133" s="68"/>
      <c r="AQ133" s="64"/>
      <c r="AR133" s="64"/>
      <c r="AS133" s="68"/>
      <c r="AT133" s="68"/>
      <c r="AU133" s="70"/>
      <c r="AV133" s="72"/>
      <c r="AW133" s="69"/>
      <c r="AX133" s="69"/>
      <c r="AY133" s="69"/>
      <c r="AZ133" s="69"/>
      <c r="BA133" s="69"/>
      <c r="BB133" s="69"/>
      <c r="BC133" s="69"/>
      <c r="BD133" s="70"/>
      <c r="BE133" s="71"/>
      <c r="BF133" s="68"/>
      <c r="BG133" s="68"/>
      <c r="BH133" s="70"/>
      <c r="BI133" s="67"/>
      <c r="BJ133" s="68"/>
      <c r="BK133" s="70"/>
      <c r="BL133" s="71"/>
      <c r="BM133" s="68"/>
      <c r="BN133" s="70"/>
      <c r="BO133" s="73"/>
      <c r="BP133" s="37">
        <f t="shared" si="9"/>
        <v>0</v>
      </c>
    </row>
    <row r="134" spans="1:68" ht="25.5" customHeight="1" x14ac:dyDescent="0.15">
      <c r="A134" s="17">
        <f t="shared" si="10"/>
        <v>119</v>
      </c>
      <c r="B134" s="1044"/>
      <c r="C134" s="1045"/>
      <c r="D134" s="38"/>
      <c r="E134" s="954"/>
      <c r="F134" s="53"/>
      <c r="G134" s="39"/>
      <c r="H134" s="1050"/>
      <c r="I134" s="684" t="str">
        <f t="shared" si="6"/>
        <v/>
      </c>
      <c r="J134" s="754">
        <f t="shared" si="7"/>
        <v>0</v>
      </c>
      <c r="K134" s="1249"/>
      <c r="L134" s="1250"/>
      <c r="M134" s="1253"/>
      <c r="N134" s="773" t="str">
        <f t="shared" si="11"/>
        <v/>
      </c>
      <c r="O134" s="774" t="str">
        <f>IF('Set up ~ Config'!$G$32=6,IF(OR($N134=7,$N134=8,$N134=9),1,IF(OR($N134=10,$N134=11,$N134=12),2,IF(OR($N134=1,$N134=2,$N134=3),3,IF(OR($N134=4,$N134=5,$N134=6),4,"")))),IF(OR($N134=9,$N134=10,$N134=11),1,IF(OR($N134=12,$N134=1,$N134=2),2,IF(OR($N134=3,$N134=4,$N134=5),3,IF(OR($N134=6,$N134=7,$N134=8),4,"")))))</f>
        <v/>
      </c>
      <c r="P134" s="40"/>
      <c r="Q134" s="67"/>
      <c r="R134" s="68"/>
      <c r="S134" s="755">
        <f t="shared" si="8"/>
        <v>0</v>
      </c>
      <c r="T134" s="68"/>
      <c r="U134" s="68"/>
      <c r="V134" s="68"/>
      <c r="W134" s="68"/>
      <c r="X134" s="68"/>
      <c r="Y134" s="68"/>
      <c r="Z134" s="68"/>
      <c r="AA134" s="68"/>
      <c r="AB134" s="69"/>
      <c r="AC134" s="70"/>
      <c r="AD134" s="71"/>
      <c r="AE134" s="68"/>
      <c r="AF134" s="68"/>
      <c r="AG134" s="68"/>
      <c r="AH134" s="68"/>
      <c r="AI134" s="69"/>
      <c r="AJ134" s="69"/>
      <c r="AK134" s="64"/>
      <c r="AL134" s="67"/>
      <c r="AM134" s="71"/>
      <c r="AN134" s="68"/>
      <c r="AO134" s="68"/>
      <c r="AP134" s="68"/>
      <c r="AQ134" s="64"/>
      <c r="AR134" s="64"/>
      <c r="AS134" s="68"/>
      <c r="AT134" s="68"/>
      <c r="AU134" s="70"/>
      <c r="AV134" s="72"/>
      <c r="AW134" s="69"/>
      <c r="AX134" s="69"/>
      <c r="AY134" s="69"/>
      <c r="AZ134" s="69"/>
      <c r="BA134" s="69"/>
      <c r="BB134" s="69"/>
      <c r="BC134" s="69"/>
      <c r="BD134" s="70"/>
      <c r="BE134" s="71"/>
      <c r="BF134" s="68"/>
      <c r="BG134" s="68"/>
      <c r="BH134" s="70"/>
      <c r="BI134" s="67"/>
      <c r="BJ134" s="68"/>
      <c r="BK134" s="70"/>
      <c r="BL134" s="71"/>
      <c r="BM134" s="68"/>
      <c r="BN134" s="70"/>
      <c r="BO134" s="73"/>
      <c r="BP134" s="37">
        <f t="shared" si="9"/>
        <v>0</v>
      </c>
    </row>
    <row r="135" spans="1:68" ht="25.5" customHeight="1" x14ac:dyDescent="0.15">
      <c r="A135" s="17">
        <f t="shared" si="10"/>
        <v>120</v>
      </c>
      <c r="B135" s="1044"/>
      <c r="C135" s="1045"/>
      <c r="D135" s="38"/>
      <c r="E135" s="954"/>
      <c r="F135" s="53"/>
      <c r="G135" s="39"/>
      <c r="H135" s="1050"/>
      <c r="I135" s="684" t="str">
        <f t="shared" si="6"/>
        <v/>
      </c>
      <c r="J135" s="754">
        <f t="shared" si="7"/>
        <v>0</v>
      </c>
      <c r="K135" s="1249"/>
      <c r="L135" s="1250"/>
      <c r="M135" s="1253"/>
      <c r="N135" s="773" t="str">
        <f t="shared" si="11"/>
        <v/>
      </c>
      <c r="O135" s="774" t="str">
        <f>IF('Set up ~ Config'!$G$32=6,IF(OR($N135=7,$N135=8,$N135=9),1,IF(OR($N135=10,$N135=11,$N135=12),2,IF(OR($N135=1,$N135=2,$N135=3),3,IF(OR($N135=4,$N135=5,$N135=6),4,"")))),IF(OR($N135=9,$N135=10,$N135=11),1,IF(OR($N135=12,$N135=1,$N135=2),2,IF(OR($N135=3,$N135=4,$N135=5),3,IF(OR($N135=6,$N135=7,$N135=8),4,"")))))</f>
        <v/>
      </c>
      <c r="P135" s="40"/>
      <c r="Q135" s="67"/>
      <c r="R135" s="68"/>
      <c r="S135" s="755">
        <f t="shared" si="8"/>
        <v>0</v>
      </c>
      <c r="T135" s="68"/>
      <c r="U135" s="68"/>
      <c r="V135" s="68"/>
      <c r="W135" s="68"/>
      <c r="X135" s="68"/>
      <c r="Y135" s="68"/>
      <c r="Z135" s="68"/>
      <c r="AA135" s="68"/>
      <c r="AB135" s="69"/>
      <c r="AC135" s="70"/>
      <c r="AD135" s="71"/>
      <c r="AE135" s="68"/>
      <c r="AF135" s="68"/>
      <c r="AG135" s="68"/>
      <c r="AH135" s="68"/>
      <c r="AI135" s="69"/>
      <c r="AJ135" s="69"/>
      <c r="AK135" s="64"/>
      <c r="AL135" s="67"/>
      <c r="AM135" s="71"/>
      <c r="AN135" s="68"/>
      <c r="AO135" s="68"/>
      <c r="AP135" s="68"/>
      <c r="AQ135" s="64"/>
      <c r="AR135" s="64"/>
      <c r="AS135" s="68"/>
      <c r="AT135" s="68"/>
      <c r="AU135" s="70"/>
      <c r="AV135" s="72"/>
      <c r="AW135" s="69"/>
      <c r="AX135" s="69"/>
      <c r="AY135" s="69"/>
      <c r="AZ135" s="69"/>
      <c r="BA135" s="69"/>
      <c r="BB135" s="69"/>
      <c r="BC135" s="69"/>
      <c r="BD135" s="70"/>
      <c r="BE135" s="71"/>
      <c r="BF135" s="68"/>
      <c r="BG135" s="68"/>
      <c r="BH135" s="70"/>
      <c r="BI135" s="67"/>
      <c r="BJ135" s="68"/>
      <c r="BK135" s="70"/>
      <c r="BL135" s="71"/>
      <c r="BM135" s="68"/>
      <c r="BN135" s="70"/>
      <c r="BO135" s="73"/>
      <c r="BP135" s="37">
        <f t="shared" si="9"/>
        <v>0</v>
      </c>
    </row>
    <row r="136" spans="1:68" ht="25.5" customHeight="1" x14ac:dyDescent="0.15">
      <c r="A136" s="17">
        <f t="shared" si="10"/>
        <v>121</v>
      </c>
      <c r="B136" s="1044"/>
      <c r="C136" s="1045"/>
      <c r="D136" s="38"/>
      <c r="E136" s="954"/>
      <c r="F136" s="53"/>
      <c r="G136" s="39"/>
      <c r="H136" s="1050"/>
      <c r="I136" s="684" t="str">
        <f t="shared" si="6"/>
        <v/>
      </c>
      <c r="J136" s="754">
        <f t="shared" si="7"/>
        <v>0</v>
      </c>
      <c r="K136" s="1249"/>
      <c r="L136" s="1250"/>
      <c r="M136" s="1253"/>
      <c r="N136" s="773" t="str">
        <f t="shared" si="11"/>
        <v/>
      </c>
      <c r="O136" s="774" t="str">
        <f>IF('Set up ~ Config'!$G$32=6,IF(OR($N136=7,$N136=8,$N136=9),1,IF(OR($N136=10,$N136=11,$N136=12),2,IF(OR($N136=1,$N136=2,$N136=3),3,IF(OR($N136=4,$N136=5,$N136=6),4,"")))),IF(OR($N136=9,$N136=10,$N136=11),1,IF(OR($N136=12,$N136=1,$N136=2),2,IF(OR($N136=3,$N136=4,$N136=5),3,IF(OR($N136=6,$N136=7,$N136=8),4,"")))))</f>
        <v/>
      </c>
      <c r="P136" s="40"/>
      <c r="Q136" s="67"/>
      <c r="R136" s="68"/>
      <c r="S136" s="755">
        <f t="shared" si="8"/>
        <v>0</v>
      </c>
      <c r="T136" s="68"/>
      <c r="U136" s="68"/>
      <c r="V136" s="68"/>
      <c r="W136" s="68"/>
      <c r="X136" s="68"/>
      <c r="Y136" s="68"/>
      <c r="Z136" s="68"/>
      <c r="AA136" s="68"/>
      <c r="AB136" s="69"/>
      <c r="AC136" s="70"/>
      <c r="AD136" s="71"/>
      <c r="AE136" s="68"/>
      <c r="AF136" s="68"/>
      <c r="AG136" s="68"/>
      <c r="AH136" s="68"/>
      <c r="AI136" s="69"/>
      <c r="AJ136" s="69"/>
      <c r="AK136" s="64"/>
      <c r="AL136" s="67"/>
      <c r="AM136" s="71"/>
      <c r="AN136" s="68"/>
      <c r="AO136" s="68"/>
      <c r="AP136" s="68"/>
      <c r="AQ136" s="64"/>
      <c r="AR136" s="64"/>
      <c r="AS136" s="68"/>
      <c r="AT136" s="68"/>
      <c r="AU136" s="70"/>
      <c r="AV136" s="72"/>
      <c r="AW136" s="69"/>
      <c r="AX136" s="69"/>
      <c r="AY136" s="69"/>
      <c r="AZ136" s="69"/>
      <c r="BA136" s="69"/>
      <c r="BB136" s="69"/>
      <c r="BC136" s="69"/>
      <c r="BD136" s="70"/>
      <c r="BE136" s="71"/>
      <c r="BF136" s="68"/>
      <c r="BG136" s="68"/>
      <c r="BH136" s="70"/>
      <c r="BI136" s="67"/>
      <c r="BJ136" s="68"/>
      <c r="BK136" s="70"/>
      <c r="BL136" s="71"/>
      <c r="BM136" s="68"/>
      <c r="BN136" s="70"/>
      <c r="BO136" s="73"/>
      <c r="BP136" s="37">
        <f t="shared" si="9"/>
        <v>0</v>
      </c>
    </row>
    <row r="137" spans="1:68" ht="25.5" customHeight="1" x14ac:dyDescent="0.15">
      <c r="A137" s="17">
        <f t="shared" si="10"/>
        <v>122</v>
      </c>
      <c r="B137" s="1044"/>
      <c r="C137" s="1045"/>
      <c r="D137" s="38"/>
      <c r="E137" s="954"/>
      <c r="F137" s="53"/>
      <c r="G137" s="39"/>
      <c r="H137" s="1050"/>
      <c r="I137" s="684" t="str">
        <f t="shared" si="6"/>
        <v/>
      </c>
      <c r="J137" s="754">
        <f t="shared" si="7"/>
        <v>0</v>
      </c>
      <c r="K137" s="1249"/>
      <c r="L137" s="1250"/>
      <c r="M137" s="1253"/>
      <c r="N137" s="773" t="str">
        <f t="shared" si="11"/>
        <v/>
      </c>
      <c r="O137" s="774" t="str">
        <f>IF('Set up ~ Config'!$G$32=6,IF(OR($N137=7,$N137=8,$N137=9),1,IF(OR($N137=10,$N137=11,$N137=12),2,IF(OR($N137=1,$N137=2,$N137=3),3,IF(OR($N137=4,$N137=5,$N137=6),4,"")))),IF(OR($N137=9,$N137=10,$N137=11),1,IF(OR($N137=12,$N137=1,$N137=2),2,IF(OR($N137=3,$N137=4,$N137=5),3,IF(OR($N137=6,$N137=7,$N137=8),4,"")))))</f>
        <v/>
      </c>
      <c r="P137" s="40"/>
      <c r="Q137" s="67"/>
      <c r="R137" s="68"/>
      <c r="S137" s="755">
        <f t="shared" si="8"/>
        <v>0</v>
      </c>
      <c r="T137" s="68"/>
      <c r="U137" s="68"/>
      <c r="V137" s="68"/>
      <c r="W137" s="68"/>
      <c r="X137" s="68"/>
      <c r="Y137" s="68"/>
      <c r="Z137" s="68"/>
      <c r="AA137" s="68"/>
      <c r="AB137" s="69"/>
      <c r="AC137" s="70"/>
      <c r="AD137" s="71"/>
      <c r="AE137" s="68"/>
      <c r="AF137" s="68"/>
      <c r="AG137" s="68"/>
      <c r="AH137" s="68"/>
      <c r="AI137" s="69"/>
      <c r="AJ137" s="69"/>
      <c r="AK137" s="64"/>
      <c r="AL137" s="67"/>
      <c r="AM137" s="71"/>
      <c r="AN137" s="68"/>
      <c r="AO137" s="68"/>
      <c r="AP137" s="68"/>
      <c r="AQ137" s="64"/>
      <c r="AR137" s="64"/>
      <c r="AS137" s="68"/>
      <c r="AT137" s="68"/>
      <c r="AU137" s="70"/>
      <c r="AV137" s="72"/>
      <c r="AW137" s="69"/>
      <c r="AX137" s="69"/>
      <c r="AY137" s="69"/>
      <c r="AZ137" s="69"/>
      <c r="BA137" s="69"/>
      <c r="BB137" s="69"/>
      <c r="BC137" s="69"/>
      <c r="BD137" s="70"/>
      <c r="BE137" s="71"/>
      <c r="BF137" s="68"/>
      <c r="BG137" s="68"/>
      <c r="BH137" s="70"/>
      <c r="BI137" s="67"/>
      <c r="BJ137" s="68"/>
      <c r="BK137" s="70"/>
      <c r="BL137" s="71"/>
      <c r="BM137" s="68"/>
      <c r="BN137" s="70"/>
      <c r="BO137" s="73"/>
      <c r="BP137" s="37">
        <f t="shared" si="9"/>
        <v>0</v>
      </c>
    </row>
    <row r="138" spans="1:68" ht="25.5" customHeight="1" x14ac:dyDescent="0.15">
      <c r="A138" s="17">
        <f t="shared" si="10"/>
        <v>123</v>
      </c>
      <c r="B138" s="1044"/>
      <c r="C138" s="1045"/>
      <c r="D138" s="38"/>
      <c r="E138" s="954"/>
      <c r="F138" s="53"/>
      <c r="G138" s="39"/>
      <c r="H138" s="1050"/>
      <c r="I138" s="684" t="str">
        <f t="shared" si="6"/>
        <v/>
      </c>
      <c r="J138" s="754">
        <f t="shared" si="7"/>
        <v>0</v>
      </c>
      <c r="K138" s="1249"/>
      <c r="L138" s="1250"/>
      <c r="M138" s="1253"/>
      <c r="N138" s="773" t="str">
        <f t="shared" si="11"/>
        <v/>
      </c>
      <c r="O138" s="774" t="str">
        <f>IF('Set up ~ Config'!$G$32=6,IF(OR($N138=7,$N138=8,$N138=9),1,IF(OR($N138=10,$N138=11,$N138=12),2,IF(OR($N138=1,$N138=2,$N138=3),3,IF(OR($N138=4,$N138=5,$N138=6),4,"")))),IF(OR($N138=9,$N138=10,$N138=11),1,IF(OR($N138=12,$N138=1,$N138=2),2,IF(OR($N138=3,$N138=4,$N138=5),3,IF(OR($N138=6,$N138=7,$N138=8),4,"")))))</f>
        <v/>
      </c>
      <c r="P138" s="40"/>
      <c r="Q138" s="67"/>
      <c r="R138" s="68"/>
      <c r="S138" s="755">
        <f t="shared" si="8"/>
        <v>0</v>
      </c>
      <c r="T138" s="68"/>
      <c r="U138" s="68"/>
      <c r="V138" s="68"/>
      <c r="W138" s="68"/>
      <c r="X138" s="68"/>
      <c r="Y138" s="68"/>
      <c r="Z138" s="68"/>
      <c r="AA138" s="68"/>
      <c r="AB138" s="69"/>
      <c r="AC138" s="70"/>
      <c r="AD138" s="71"/>
      <c r="AE138" s="68"/>
      <c r="AF138" s="68"/>
      <c r="AG138" s="68"/>
      <c r="AH138" s="68"/>
      <c r="AI138" s="69"/>
      <c r="AJ138" s="69"/>
      <c r="AK138" s="64"/>
      <c r="AL138" s="67"/>
      <c r="AM138" s="71"/>
      <c r="AN138" s="68"/>
      <c r="AO138" s="68"/>
      <c r="AP138" s="68"/>
      <c r="AQ138" s="64"/>
      <c r="AR138" s="64"/>
      <c r="AS138" s="68"/>
      <c r="AT138" s="68"/>
      <c r="AU138" s="70"/>
      <c r="AV138" s="72"/>
      <c r="AW138" s="69"/>
      <c r="AX138" s="69"/>
      <c r="AY138" s="69"/>
      <c r="AZ138" s="69"/>
      <c r="BA138" s="69"/>
      <c r="BB138" s="69"/>
      <c r="BC138" s="69"/>
      <c r="BD138" s="70"/>
      <c r="BE138" s="71"/>
      <c r="BF138" s="68"/>
      <c r="BG138" s="68"/>
      <c r="BH138" s="70"/>
      <c r="BI138" s="67"/>
      <c r="BJ138" s="68"/>
      <c r="BK138" s="70"/>
      <c r="BL138" s="71"/>
      <c r="BM138" s="68"/>
      <c r="BN138" s="70"/>
      <c r="BO138" s="73"/>
      <c r="BP138" s="37">
        <f t="shared" si="9"/>
        <v>0</v>
      </c>
    </row>
    <row r="139" spans="1:68" ht="25.5" customHeight="1" thickTop="1" thickBot="1" x14ac:dyDescent="0.2">
      <c r="A139" s="17">
        <f t="shared" si="10"/>
        <v>124</v>
      </c>
      <c r="B139" s="1044"/>
      <c r="C139" s="1045"/>
      <c r="D139" s="38"/>
      <c r="E139" s="954"/>
      <c r="F139" s="53"/>
      <c r="G139" s="39"/>
      <c r="H139" s="1050"/>
      <c r="I139" s="684" t="str">
        <f t="shared" si="6"/>
        <v/>
      </c>
      <c r="J139" s="754">
        <f t="shared" si="7"/>
        <v>0</v>
      </c>
      <c r="K139" s="1249"/>
      <c r="L139" s="1250"/>
      <c r="M139" s="1253"/>
      <c r="N139" s="773" t="str">
        <f t="shared" si="11"/>
        <v/>
      </c>
      <c r="O139" s="774" t="str">
        <f>IF('Set up ~ Config'!$G$32=6,IF(OR($N139=7,$N139=8,$N139=9),1,IF(OR($N139=10,$N139=11,$N139=12),2,IF(OR($N139=1,$N139=2,$N139=3),3,IF(OR($N139=4,$N139=5,$N139=6),4,"")))),IF(OR($N139=9,$N139=10,$N139=11),1,IF(OR($N139=12,$N139=1,$N139=2),2,IF(OR($N139=3,$N139=4,$N139=5),3,IF(OR($N139=6,$N139=7,$N139=8),4,"")))))</f>
        <v/>
      </c>
      <c r="P139" s="40"/>
      <c r="Q139" s="67"/>
      <c r="R139" s="68"/>
      <c r="S139" s="755">
        <f t="shared" si="8"/>
        <v>0</v>
      </c>
      <c r="T139" s="68"/>
      <c r="U139" s="68"/>
      <c r="V139" s="68"/>
      <c r="W139" s="68"/>
      <c r="X139" s="68"/>
      <c r="Y139" s="68"/>
      <c r="Z139" s="68"/>
      <c r="AA139" s="68"/>
      <c r="AB139" s="69"/>
      <c r="AC139" s="70"/>
      <c r="AD139" s="71"/>
      <c r="AE139" s="68"/>
      <c r="AF139" s="68"/>
      <c r="AG139" s="68"/>
      <c r="AH139" s="68"/>
      <c r="AI139" s="69"/>
      <c r="AJ139" s="69"/>
      <c r="AK139" s="64"/>
      <c r="AL139" s="67"/>
      <c r="AM139" s="71"/>
      <c r="AN139" s="68"/>
      <c r="AO139" s="68"/>
      <c r="AP139" s="68"/>
      <c r="AQ139" s="64"/>
      <c r="AR139" s="64"/>
      <c r="AS139" s="68"/>
      <c r="AT139" s="68"/>
      <c r="AU139" s="70"/>
      <c r="AV139" s="72"/>
      <c r="AW139" s="69"/>
      <c r="AX139" s="69"/>
      <c r="AY139" s="69"/>
      <c r="AZ139" s="69"/>
      <c r="BA139" s="69"/>
      <c r="BB139" s="69"/>
      <c r="BC139" s="69"/>
      <c r="BD139" s="70"/>
      <c r="BE139" s="71"/>
      <c r="BF139" s="68"/>
      <c r="BG139" s="68"/>
      <c r="BH139" s="70"/>
      <c r="BI139" s="67"/>
      <c r="BJ139" s="68"/>
      <c r="BK139" s="70"/>
      <c r="BL139" s="71"/>
      <c r="BM139" s="68"/>
      <c r="BN139" s="70"/>
      <c r="BO139" s="73"/>
      <c r="BP139" s="37">
        <f t="shared" si="9"/>
        <v>0</v>
      </c>
    </row>
    <row r="140" spans="1:68" ht="25.5" customHeight="1" thickTop="1" thickBot="1" x14ac:dyDescent="0.2">
      <c r="A140" s="17">
        <f t="shared" si="10"/>
        <v>125</v>
      </c>
      <c r="B140" s="1044"/>
      <c r="C140" s="1045"/>
      <c r="D140" s="38"/>
      <c r="E140" s="954"/>
      <c r="F140" s="53"/>
      <c r="G140" s="39"/>
      <c r="H140" s="1050"/>
      <c r="I140" s="684" t="str">
        <f t="shared" si="6"/>
        <v/>
      </c>
      <c r="J140" s="754">
        <f t="shared" si="7"/>
        <v>0</v>
      </c>
      <c r="K140" s="1249"/>
      <c r="L140" s="1250"/>
      <c r="M140" s="1250"/>
      <c r="N140" s="773" t="str">
        <f t="shared" si="11"/>
        <v/>
      </c>
      <c r="O140" s="774" t="str">
        <f>IF('Set up ~ Config'!$G$32=6,IF(OR($N140=7,$N140=8,$N140=9),1,IF(OR($N140=10,$N140=11,$N140=12),2,IF(OR($N140=1,$N140=2,$N140=3),3,IF(OR($N140=4,$N140=5,$N140=6),4,"")))),IF(OR($N140=9,$N140=10,$N140=11),1,IF(OR($N140=12,$N140=1,$N140=2),2,IF(OR($N140=3,$N140=4,$N140=5),3,IF(OR($N140=6,$N140=7,$N140=8),4,"")))))</f>
        <v/>
      </c>
      <c r="P140" s="40"/>
      <c r="Q140" s="63"/>
      <c r="R140" s="64"/>
      <c r="S140" s="755">
        <f t="shared" si="8"/>
        <v>0</v>
      </c>
      <c r="T140" s="64"/>
      <c r="U140" s="64"/>
      <c r="V140" s="64"/>
      <c r="W140" s="64"/>
      <c r="X140" s="64"/>
      <c r="Y140" s="64"/>
      <c r="Z140" s="64"/>
      <c r="AA140" s="64"/>
      <c r="AB140" s="65"/>
      <c r="AC140" s="70"/>
      <c r="AD140" s="71"/>
      <c r="AE140" s="64"/>
      <c r="AF140" s="64"/>
      <c r="AG140" s="64"/>
      <c r="AH140" s="64"/>
      <c r="AI140" s="65"/>
      <c r="AJ140" s="65"/>
      <c r="AK140" s="64"/>
      <c r="AL140" s="74"/>
      <c r="AM140" s="48"/>
      <c r="AN140" s="64"/>
      <c r="AO140" s="64"/>
      <c r="AP140" s="64"/>
      <c r="AQ140" s="64"/>
      <c r="AR140" s="64"/>
      <c r="AS140" s="64"/>
      <c r="AT140" s="64"/>
      <c r="AU140" s="66"/>
      <c r="AV140" s="75"/>
      <c r="AW140" s="65"/>
      <c r="AX140" s="65"/>
      <c r="AY140" s="65"/>
      <c r="AZ140" s="65"/>
      <c r="BA140" s="65"/>
      <c r="BB140" s="65"/>
      <c r="BC140" s="65"/>
      <c r="BD140" s="66"/>
      <c r="BE140" s="48"/>
      <c r="BF140" s="64"/>
      <c r="BG140" s="64"/>
      <c r="BH140" s="66"/>
      <c r="BI140" s="63"/>
      <c r="BJ140" s="64"/>
      <c r="BK140" s="66"/>
      <c r="BL140" s="48"/>
      <c r="BM140" s="64"/>
      <c r="BN140" s="65"/>
      <c r="BO140" s="76"/>
      <c r="BP140" s="37">
        <f t="shared" si="9"/>
        <v>0</v>
      </c>
    </row>
    <row r="141" spans="1:68" ht="25.5" customHeight="1" thickTop="1" thickBot="1" x14ac:dyDescent="0.2">
      <c r="A141" s="17">
        <f t="shared" si="10"/>
        <v>126</v>
      </c>
      <c r="B141" s="1044"/>
      <c r="C141" s="1045"/>
      <c r="D141" s="38"/>
      <c r="E141" s="954"/>
      <c r="F141" s="53"/>
      <c r="G141" s="39"/>
      <c r="H141" s="1050"/>
      <c r="I141" s="684" t="str">
        <f t="shared" si="6"/>
        <v/>
      </c>
      <c r="J141" s="754">
        <f t="shared" si="7"/>
        <v>0</v>
      </c>
      <c r="K141" s="1249"/>
      <c r="L141" s="1250"/>
      <c r="M141" s="1250"/>
      <c r="N141" s="773" t="str">
        <f t="shared" si="11"/>
        <v/>
      </c>
      <c r="O141" s="774" t="str">
        <f>IF('Set up ~ Config'!$G$32=6,IF(OR($N141=7,$N141=8,$N141=9),1,IF(OR($N141=10,$N141=11,$N141=12),2,IF(OR($N141=1,$N141=2,$N141=3),3,IF(OR($N141=4,$N141=5,$N141=6),4,"")))),IF(OR($N141=9,$N141=10,$N141=11),1,IF(OR($N141=12,$N141=1,$N141=2),2,IF(OR($N141=3,$N141=4,$N141=5),3,IF(OR($N141=6,$N141=7,$N141=8),4,"")))))</f>
        <v/>
      </c>
      <c r="P141" s="40"/>
      <c r="Q141" s="63"/>
      <c r="R141" s="64"/>
      <c r="S141" s="755">
        <f t="shared" si="8"/>
        <v>0</v>
      </c>
      <c r="T141" s="64"/>
      <c r="U141" s="64"/>
      <c r="V141" s="64"/>
      <c r="W141" s="64"/>
      <c r="X141" s="64"/>
      <c r="Y141" s="64"/>
      <c r="Z141" s="64"/>
      <c r="AA141" s="64"/>
      <c r="AB141" s="65"/>
      <c r="AC141" s="70"/>
      <c r="AD141" s="71"/>
      <c r="AE141" s="64"/>
      <c r="AF141" s="64"/>
      <c r="AG141" s="64"/>
      <c r="AH141" s="64"/>
      <c r="AI141" s="65"/>
      <c r="AJ141" s="65"/>
      <c r="AK141" s="64"/>
      <c r="AL141" s="74"/>
      <c r="AM141" s="48"/>
      <c r="AN141" s="64"/>
      <c r="AO141" s="64"/>
      <c r="AP141" s="64"/>
      <c r="AQ141" s="64"/>
      <c r="AR141" s="64"/>
      <c r="AS141" s="64"/>
      <c r="AT141" s="64"/>
      <c r="AU141" s="66"/>
      <c r="AV141" s="75"/>
      <c r="AW141" s="65"/>
      <c r="AX141" s="65"/>
      <c r="AY141" s="65"/>
      <c r="AZ141" s="65"/>
      <c r="BA141" s="65"/>
      <c r="BB141" s="65"/>
      <c r="BC141" s="65"/>
      <c r="BD141" s="66"/>
      <c r="BE141" s="48"/>
      <c r="BF141" s="64"/>
      <c r="BG141" s="64"/>
      <c r="BH141" s="66"/>
      <c r="BI141" s="63"/>
      <c r="BJ141" s="64"/>
      <c r="BK141" s="66"/>
      <c r="BL141" s="48"/>
      <c r="BM141" s="64"/>
      <c r="BN141" s="65"/>
      <c r="BO141" s="76"/>
      <c r="BP141" s="37">
        <f t="shared" si="9"/>
        <v>0</v>
      </c>
    </row>
    <row r="142" spans="1:68" ht="25.5" customHeight="1" thickTop="1" thickBot="1" x14ac:dyDescent="0.2">
      <c r="A142" s="17">
        <f t="shared" si="10"/>
        <v>127</v>
      </c>
      <c r="B142" s="1044"/>
      <c r="C142" s="1045"/>
      <c r="D142" s="38"/>
      <c r="E142" s="954"/>
      <c r="F142" s="53"/>
      <c r="G142" s="39"/>
      <c r="H142" s="1050"/>
      <c r="I142" s="684" t="str">
        <f t="shared" si="6"/>
        <v/>
      </c>
      <c r="J142" s="754">
        <f t="shared" si="7"/>
        <v>0</v>
      </c>
      <c r="K142" s="1249"/>
      <c r="L142" s="1250"/>
      <c r="M142" s="1250"/>
      <c r="N142" s="773" t="str">
        <f t="shared" si="11"/>
        <v/>
      </c>
      <c r="O142" s="774" t="str">
        <f>IF('Set up ~ Config'!$G$32=6,IF(OR($N142=7,$N142=8,$N142=9),1,IF(OR($N142=10,$N142=11,$N142=12),2,IF(OR($N142=1,$N142=2,$N142=3),3,IF(OR($N142=4,$N142=5,$N142=6),4,"")))),IF(OR($N142=9,$N142=10,$N142=11),1,IF(OR($N142=12,$N142=1,$N142=2),2,IF(OR($N142=3,$N142=4,$N142=5),3,IF(OR($N142=6,$N142=7,$N142=8),4,"")))))</f>
        <v/>
      </c>
      <c r="P142" s="40"/>
      <c r="Q142" s="63"/>
      <c r="R142" s="64"/>
      <c r="S142" s="755">
        <f t="shared" si="8"/>
        <v>0</v>
      </c>
      <c r="T142" s="64"/>
      <c r="U142" s="64"/>
      <c r="V142" s="64"/>
      <c r="W142" s="64"/>
      <c r="X142" s="64"/>
      <c r="Y142" s="64"/>
      <c r="Z142" s="64"/>
      <c r="AA142" s="64"/>
      <c r="AB142" s="65"/>
      <c r="AC142" s="70"/>
      <c r="AD142" s="71"/>
      <c r="AE142" s="64"/>
      <c r="AF142" s="64"/>
      <c r="AG142" s="64"/>
      <c r="AH142" s="64"/>
      <c r="AI142" s="65"/>
      <c r="AJ142" s="65"/>
      <c r="AK142" s="64"/>
      <c r="AL142" s="74"/>
      <c r="AM142" s="48"/>
      <c r="AN142" s="64"/>
      <c r="AO142" s="64"/>
      <c r="AP142" s="64"/>
      <c r="AQ142" s="64"/>
      <c r="AR142" s="64"/>
      <c r="AS142" s="64"/>
      <c r="AT142" s="64"/>
      <c r="AU142" s="66"/>
      <c r="AV142" s="75"/>
      <c r="AW142" s="65"/>
      <c r="AX142" s="65"/>
      <c r="AY142" s="65"/>
      <c r="AZ142" s="65"/>
      <c r="BA142" s="65"/>
      <c r="BB142" s="65"/>
      <c r="BC142" s="65"/>
      <c r="BD142" s="66"/>
      <c r="BE142" s="48"/>
      <c r="BF142" s="64"/>
      <c r="BG142" s="64"/>
      <c r="BH142" s="66"/>
      <c r="BI142" s="63"/>
      <c r="BJ142" s="64"/>
      <c r="BK142" s="66"/>
      <c r="BL142" s="48"/>
      <c r="BM142" s="64"/>
      <c r="BN142" s="65"/>
      <c r="BO142" s="76"/>
      <c r="BP142" s="37">
        <f t="shared" si="9"/>
        <v>0</v>
      </c>
    </row>
    <row r="143" spans="1:68" ht="25.5" customHeight="1" thickTop="1" thickBot="1" x14ac:dyDescent="0.2">
      <c r="A143" s="17">
        <f t="shared" si="10"/>
        <v>128</v>
      </c>
      <c r="B143" s="1044"/>
      <c r="C143" s="1045"/>
      <c r="D143" s="38"/>
      <c r="E143" s="954"/>
      <c r="F143" s="53"/>
      <c r="G143" s="39"/>
      <c r="H143" s="1050"/>
      <c r="I143" s="684" t="str">
        <f t="shared" si="6"/>
        <v/>
      </c>
      <c r="J143" s="754">
        <f t="shared" si="7"/>
        <v>0</v>
      </c>
      <c r="K143" s="1249"/>
      <c r="L143" s="1250"/>
      <c r="M143" s="1250"/>
      <c r="N143" s="773" t="str">
        <f t="shared" si="11"/>
        <v/>
      </c>
      <c r="O143" s="774" t="str">
        <f>IF('Set up ~ Config'!$G$32=6,IF(OR($N143=7,$N143=8,$N143=9),1,IF(OR($N143=10,$N143=11,$N143=12),2,IF(OR($N143=1,$N143=2,$N143=3),3,IF(OR($N143=4,$N143=5,$N143=6),4,"")))),IF(OR($N143=9,$N143=10,$N143=11),1,IF(OR($N143=12,$N143=1,$N143=2),2,IF(OR($N143=3,$N143=4,$N143=5),3,IF(OR($N143=6,$N143=7,$N143=8),4,"")))))</f>
        <v/>
      </c>
      <c r="P143" s="40"/>
      <c r="Q143" s="63"/>
      <c r="R143" s="64"/>
      <c r="S143" s="755">
        <f t="shared" si="8"/>
        <v>0</v>
      </c>
      <c r="T143" s="64"/>
      <c r="U143" s="64"/>
      <c r="V143" s="64"/>
      <c r="W143" s="64"/>
      <c r="X143" s="64"/>
      <c r="Y143" s="64"/>
      <c r="Z143" s="64"/>
      <c r="AA143" s="64"/>
      <c r="AB143" s="65"/>
      <c r="AC143" s="70"/>
      <c r="AD143" s="71"/>
      <c r="AE143" s="64"/>
      <c r="AF143" s="64"/>
      <c r="AG143" s="64"/>
      <c r="AH143" s="64"/>
      <c r="AI143" s="65"/>
      <c r="AJ143" s="65"/>
      <c r="AK143" s="64"/>
      <c r="AL143" s="74"/>
      <c r="AM143" s="48"/>
      <c r="AN143" s="64"/>
      <c r="AO143" s="64"/>
      <c r="AP143" s="64"/>
      <c r="AQ143" s="64"/>
      <c r="AR143" s="64"/>
      <c r="AS143" s="64"/>
      <c r="AT143" s="64"/>
      <c r="AU143" s="66"/>
      <c r="AV143" s="75"/>
      <c r="AW143" s="65"/>
      <c r="AX143" s="65"/>
      <c r="AY143" s="65"/>
      <c r="AZ143" s="65"/>
      <c r="BA143" s="65"/>
      <c r="BB143" s="65"/>
      <c r="BC143" s="65"/>
      <c r="BD143" s="66"/>
      <c r="BE143" s="48"/>
      <c r="BF143" s="64"/>
      <c r="BG143" s="64"/>
      <c r="BH143" s="66"/>
      <c r="BI143" s="63"/>
      <c r="BJ143" s="64"/>
      <c r="BK143" s="66"/>
      <c r="BL143" s="48"/>
      <c r="BM143" s="64"/>
      <c r="BN143" s="65"/>
      <c r="BO143" s="76"/>
      <c r="BP143" s="37">
        <f t="shared" si="9"/>
        <v>0</v>
      </c>
    </row>
    <row r="144" spans="1:68" ht="25.5" customHeight="1" thickTop="1" thickBot="1" x14ac:dyDescent="0.2">
      <c r="A144" s="17">
        <f t="shared" si="10"/>
        <v>129</v>
      </c>
      <c r="B144" s="1044"/>
      <c r="C144" s="1045"/>
      <c r="D144" s="38"/>
      <c r="E144" s="954"/>
      <c r="F144" s="53"/>
      <c r="G144" s="39"/>
      <c r="H144" s="1050"/>
      <c r="I144" s="684" t="str">
        <f t="shared" ref="I144:I207" si="12">LEFT(H144,4)</f>
        <v/>
      </c>
      <c r="J144" s="754">
        <f t="shared" ref="J144:J207" si="13">G144-BP144</f>
        <v>0</v>
      </c>
      <c r="K144" s="1249"/>
      <c r="L144" s="1250"/>
      <c r="M144" s="1250"/>
      <c r="N144" s="773" t="str">
        <f t="shared" si="11"/>
        <v/>
      </c>
      <c r="O144" s="774" t="str">
        <f>IF('Set up ~ Config'!$G$32=6,IF(OR($N144=7,$N144=8,$N144=9),1,IF(OR($N144=10,$N144=11,$N144=12),2,IF(OR($N144=1,$N144=2,$N144=3),3,IF(OR($N144=4,$N144=5,$N144=6),4,"")))),IF(OR($N144=9,$N144=10,$N144=11),1,IF(OR($N144=12,$N144=1,$N144=2),2,IF(OR($N144=3,$N144=4,$N144=5),3,IF(OR($N144=6,$N144=7,$N144=8),4,"")))))</f>
        <v/>
      </c>
      <c r="P144" s="40"/>
      <c r="Q144" s="63"/>
      <c r="R144" s="64"/>
      <c r="S144" s="755">
        <f t="shared" ref="S144:S207" si="14">SUM(T144:W144)</f>
        <v>0</v>
      </c>
      <c r="T144" s="64"/>
      <c r="U144" s="64"/>
      <c r="V144" s="64"/>
      <c r="W144" s="64"/>
      <c r="X144" s="64"/>
      <c r="Y144" s="64"/>
      <c r="Z144" s="64"/>
      <c r="AA144" s="64"/>
      <c r="AB144" s="65"/>
      <c r="AC144" s="70"/>
      <c r="AD144" s="71"/>
      <c r="AE144" s="64"/>
      <c r="AF144" s="64"/>
      <c r="AG144" s="64"/>
      <c r="AH144" s="64"/>
      <c r="AI144" s="65"/>
      <c r="AJ144" s="65"/>
      <c r="AK144" s="64"/>
      <c r="AL144" s="74"/>
      <c r="AM144" s="48"/>
      <c r="AN144" s="64"/>
      <c r="AO144" s="64"/>
      <c r="AP144" s="64"/>
      <c r="AQ144" s="64"/>
      <c r="AR144" s="64"/>
      <c r="AS144" s="64"/>
      <c r="AT144" s="64"/>
      <c r="AU144" s="66"/>
      <c r="AV144" s="75"/>
      <c r="AW144" s="65"/>
      <c r="AX144" s="65"/>
      <c r="AY144" s="65"/>
      <c r="AZ144" s="65"/>
      <c r="BA144" s="65"/>
      <c r="BB144" s="65"/>
      <c r="BC144" s="65"/>
      <c r="BD144" s="66"/>
      <c r="BE144" s="48"/>
      <c r="BF144" s="64"/>
      <c r="BG144" s="64"/>
      <c r="BH144" s="66"/>
      <c r="BI144" s="63"/>
      <c r="BJ144" s="64"/>
      <c r="BK144" s="66"/>
      <c r="BL144" s="48"/>
      <c r="BM144" s="64"/>
      <c r="BN144" s="65"/>
      <c r="BO144" s="76"/>
      <c r="BP144" s="37">
        <f t="shared" ref="BP144:BP207" si="15">SUM(Q144:R144,T144:BO144)</f>
        <v>0</v>
      </c>
    </row>
    <row r="145" spans="1:68" ht="25.5" customHeight="1" thickTop="1" thickBot="1" x14ac:dyDescent="0.2">
      <c r="A145" s="17">
        <f t="shared" ref="A145:A208" si="16">$A144+1</f>
        <v>130</v>
      </c>
      <c r="B145" s="1044"/>
      <c r="C145" s="1045"/>
      <c r="D145" s="38"/>
      <c r="E145" s="954"/>
      <c r="F145" s="53"/>
      <c r="G145" s="39"/>
      <c r="H145" s="1050"/>
      <c r="I145" s="684" t="str">
        <f t="shared" si="12"/>
        <v/>
      </c>
      <c r="J145" s="754">
        <f t="shared" si="13"/>
        <v>0</v>
      </c>
      <c r="K145" s="1249"/>
      <c r="L145" s="1250"/>
      <c r="M145" s="1250"/>
      <c r="N145" s="773" t="str">
        <f t="shared" ref="N145:N208" si="17">IF($E145="","",MONTH($E145))</f>
        <v/>
      </c>
      <c r="O145" s="774" t="str">
        <f>IF('Set up ~ Config'!$G$32=6,IF(OR($N145=7,$N145=8,$N145=9),1,IF(OR($N145=10,$N145=11,$N145=12),2,IF(OR($N145=1,$N145=2,$N145=3),3,IF(OR($N145=4,$N145=5,$N145=6),4,"")))),IF(OR($N145=9,$N145=10,$N145=11),1,IF(OR($N145=12,$N145=1,$N145=2),2,IF(OR($N145=3,$N145=4,$N145=5),3,IF(OR($N145=6,$N145=7,$N145=8),4,"")))))</f>
        <v/>
      </c>
      <c r="P145" s="40"/>
      <c r="Q145" s="63"/>
      <c r="R145" s="64"/>
      <c r="S145" s="755">
        <f t="shared" si="14"/>
        <v>0</v>
      </c>
      <c r="T145" s="64"/>
      <c r="U145" s="64"/>
      <c r="V145" s="64"/>
      <c r="W145" s="64"/>
      <c r="X145" s="64"/>
      <c r="Y145" s="64"/>
      <c r="Z145" s="64"/>
      <c r="AA145" s="64"/>
      <c r="AB145" s="65"/>
      <c r="AC145" s="70"/>
      <c r="AD145" s="71"/>
      <c r="AE145" s="64"/>
      <c r="AF145" s="64"/>
      <c r="AG145" s="64"/>
      <c r="AH145" s="64"/>
      <c r="AI145" s="65"/>
      <c r="AJ145" s="65"/>
      <c r="AK145" s="64"/>
      <c r="AL145" s="74"/>
      <c r="AM145" s="48"/>
      <c r="AN145" s="64"/>
      <c r="AO145" s="64"/>
      <c r="AP145" s="64"/>
      <c r="AQ145" s="64"/>
      <c r="AR145" s="64"/>
      <c r="AS145" s="64"/>
      <c r="AT145" s="64"/>
      <c r="AU145" s="66"/>
      <c r="AV145" s="75"/>
      <c r="AW145" s="65"/>
      <c r="AX145" s="65"/>
      <c r="AY145" s="65"/>
      <c r="AZ145" s="65"/>
      <c r="BA145" s="65"/>
      <c r="BB145" s="65"/>
      <c r="BC145" s="65"/>
      <c r="BD145" s="66"/>
      <c r="BE145" s="48"/>
      <c r="BF145" s="64"/>
      <c r="BG145" s="64"/>
      <c r="BH145" s="66"/>
      <c r="BI145" s="63"/>
      <c r="BJ145" s="64"/>
      <c r="BK145" s="66"/>
      <c r="BL145" s="48"/>
      <c r="BM145" s="64"/>
      <c r="BN145" s="65"/>
      <c r="BO145" s="76"/>
      <c r="BP145" s="37">
        <f t="shared" si="15"/>
        <v>0</v>
      </c>
    </row>
    <row r="146" spans="1:68" ht="25.5" customHeight="1" thickTop="1" thickBot="1" x14ac:dyDescent="0.2">
      <c r="A146" s="17">
        <f t="shared" si="16"/>
        <v>131</v>
      </c>
      <c r="B146" s="1044"/>
      <c r="C146" s="1045"/>
      <c r="D146" s="38"/>
      <c r="E146" s="954"/>
      <c r="F146" s="53"/>
      <c r="G146" s="39"/>
      <c r="H146" s="1050"/>
      <c r="I146" s="684" t="str">
        <f t="shared" si="12"/>
        <v/>
      </c>
      <c r="J146" s="754">
        <f t="shared" si="13"/>
        <v>0</v>
      </c>
      <c r="K146" s="1249"/>
      <c r="L146" s="1250"/>
      <c r="M146" s="1250"/>
      <c r="N146" s="773" t="str">
        <f t="shared" si="17"/>
        <v/>
      </c>
      <c r="O146" s="774" t="str">
        <f>IF('Set up ~ Config'!$G$32=6,IF(OR($N146=7,$N146=8,$N146=9),1,IF(OR($N146=10,$N146=11,$N146=12),2,IF(OR($N146=1,$N146=2,$N146=3),3,IF(OR($N146=4,$N146=5,$N146=6),4,"")))),IF(OR($N146=9,$N146=10,$N146=11),1,IF(OR($N146=12,$N146=1,$N146=2),2,IF(OR($N146=3,$N146=4,$N146=5),3,IF(OR($N146=6,$N146=7,$N146=8),4,"")))))</f>
        <v/>
      </c>
      <c r="P146" s="40"/>
      <c r="Q146" s="63"/>
      <c r="R146" s="64"/>
      <c r="S146" s="755">
        <f t="shared" si="14"/>
        <v>0</v>
      </c>
      <c r="T146" s="64"/>
      <c r="U146" s="64"/>
      <c r="V146" s="64"/>
      <c r="W146" s="64"/>
      <c r="X146" s="64"/>
      <c r="Y146" s="64"/>
      <c r="Z146" s="64"/>
      <c r="AA146" s="64"/>
      <c r="AB146" s="65"/>
      <c r="AC146" s="70"/>
      <c r="AD146" s="71"/>
      <c r="AE146" s="64"/>
      <c r="AF146" s="64"/>
      <c r="AG146" s="64"/>
      <c r="AH146" s="64"/>
      <c r="AI146" s="65"/>
      <c r="AJ146" s="65"/>
      <c r="AK146" s="64"/>
      <c r="AL146" s="74"/>
      <c r="AM146" s="48"/>
      <c r="AN146" s="64"/>
      <c r="AO146" s="64"/>
      <c r="AP146" s="64"/>
      <c r="AQ146" s="64"/>
      <c r="AR146" s="64"/>
      <c r="AS146" s="64"/>
      <c r="AT146" s="64"/>
      <c r="AU146" s="66"/>
      <c r="AV146" s="75"/>
      <c r="AW146" s="65"/>
      <c r="AX146" s="65"/>
      <c r="AY146" s="65"/>
      <c r="AZ146" s="65"/>
      <c r="BA146" s="65"/>
      <c r="BB146" s="65"/>
      <c r="BC146" s="65"/>
      <c r="BD146" s="66"/>
      <c r="BE146" s="48"/>
      <c r="BF146" s="64"/>
      <c r="BG146" s="64"/>
      <c r="BH146" s="66"/>
      <c r="BI146" s="63"/>
      <c r="BJ146" s="64"/>
      <c r="BK146" s="66"/>
      <c r="BL146" s="48"/>
      <c r="BM146" s="64"/>
      <c r="BN146" s="65"/>
      <c r="BO146" s="76"/>
      <c r="BP146" s="37">
        <f t="shared" si="15"/>
        <v>0</v>
      </c>
    </row>
    <row r="147" spans="1:68" ht="25.5" customHeight="1" thickTop="1" thickBot="1" x14ac:dyDescent="0.2">
      <c r="A147" s="17">
        <f t="shared" si="16"/>
        <v>132</v>
      </c>
      <c r="B147" s="1044"/>
      <c r="C147" s="1045"/>
      <c r="D147" s="38"/>
      <c r="E147" s="954"/>
      <c r="F147" s="53"/>
      <c r="G147" s="39"/>
      <c r="H147" s="1050"/>
      <c r="I147" s="684" t="str">
        <f t="shared" si="12"/>
        <v/>
      </c>
      <c r="J147" s="754">
        <f t="shared" si="13"/>
        <v>0</v>
      </c>
      <c r="K147" s="1249"/>
      <c r="L147" s="1250"/>
      <c r="M147" s="1250"/>
      <c r="N147" s="773" t="str">
        <f t="shared" si="17"/>
        <v/>
      </c>
      <c r="O147" s="774" t="str">
        <f>IF('Set up ~ Config'!$G$32=6,IF(OR($N147=7,$N147=8,$N147=9),1,IF(OR($N147=10,$N147=11,$N147=12),2,IF(OR($N147=1,$N147=2,$N147=3),3,IF(OR($N147=4,$N147=5,$N147=6),4,"")))),IF(OR($N147=9,$N147=10,$N147=11),1,IF(OR($N147=12,$N147=1,$N147=2),2,IF(OR($N147=3,$N147=4,$N147=5),3,IF(OR($N147=6,$N147=7,$N147=8),4,"")))))</f>
        <v/>
      </c>
      <c r="P147" s="40"/>
      <c r="Q147" s="63"/>
      <c r="R147" s="64"/>
      <c r="S147" s="755">
        <f t="shared" si="14"/>
        <v>0</v>
      </c>
      <c r="T147" s="64"/>
      <c r="U147" s="64"/>
      <c r="V147" s="64"/>
      <c r="W147" s="64"/>
      <c r="X147" s="64"/>
      <c r="Y147" s="64"/>
      <c r="Z147" s="64"/>
      <c r="AA147" s="64"/>
      <c r="AB147" s="65"/>
      <c r="AC147" s="70"/>
      <c r="AD147" s="71"/>
      <c r="AE147" s="64"/>
      <c r="AF147" s="64"/>
      <c r="AG147" s="64"/>
      <c r="AH147" s="64"/>
      <c r="AI147" s="65"/>
      <c r="AJ147" s="65"/>
      <c r="AK147" s="64"/>
      <c r="AL147" s="74"/>
      <c r="AM147" s="48"/>
      <c r="AN147" s="64"/>
      <c r="AO147" s="64"/>
      <c r="AP147" s="64"/>
      <c r="AQ147" s="64"/>
      <c r="AR147" s="64"/>
      <c r="AS147" s="64"/>
      <c r="AT147" s="64"/>
      <c r="AU147" s="66"/>
      <c r="AV147" s="75"/>
      <c r="AW147" s="65"/>
      <c r="AX147" s="65"/>
      <c r="AY147" s="65"/>
      <c r="AZ147" s="65"/>
      <c r="BA147" s="65"/>
      <c r="BB147" s="65"/>
      <c r="BC147" s="65"/>
      <c r="BD147" s="66"/>
      <c r="BE147" s="48"/>
      <c r="BF147" s="64"/>
      <c r="BG147" s="64"/>
      <c r="BH147" s="66"/>
      <c r="BI147" s="63"/>
      <c r="BJ147" s="64"/>
      <c r="BK147" s="66"/>
      <c r="BL147" s="48"/>
      <c r="BM147" s="64"/>
      <c r="BN147" s="65"/>
      <c r="BO147" s="76"/>
      <c r="BP147" s="37">
        <f t="shared" si="15"/>
        <v>0</v>
      </c>
    </row>
    <row r="148" spans="1:68" ht="25.5" customHeight="1" thickTop="1" thickBot="1" x14ac:dyDescent="0.2">
      <c r="A148" s="17">
        <f t="shared" si="16"/>
        <v>133</v>
      </c>
      <c r="B148" s="1044"/>
      <c r="C148" s="1045"/>
      <c r="D148" s="38"/>
      <c r="E148" s="954"/>
      <c r="F148" s="53"/>
      <c r="G148" s="39"/>
      <c r="H148" s="1050"/>
      <c r="I148" s="684" t="str">
        <f t="shared" si="12"/>
        <v/>
      </c>
      <c r="J148" s="754">
        <f t="shared" si="13"/>
        <v>0</v>
      </c>
      <c r="K148" s="1249"/>
      <c r="L148" s="1250"/>
      <c r="M148" s="1250"/>
      <c r="N148" s="773" t="str">
        <f t="shared" si="17"/>
        <v/>
      </c>
      <c r="O148" s="774" t="str">
        <f>IF('Set up ~ Config'!$G$32=6,IF(OR($N148=7,$N148=8,$N148=9),1,IF(OR($N148=10,$N148=11,$N148=12),2,IF(OR($N148=1,$N148=2,$N148=3),3,IF(OR($N148=4,$N148=5,$N148=6),4,"")))),IF(OR($N148=9,$N148=10,$N148=11),1,IF(OR($N148=12,$N148=1,$N148=2),2,IF(OR($N148=3,$N148=4,$N148=5),3,IF(OR($N148=6,$N148=7,$N148=8),4,"")))))</f>
        <v/>
      </c>
      <c r="P148" s="40"/>
      <c r="Q148" s="63"/>
      <c r="R148" s="64"/>
      <c r="S148" s="755">
        <f t="shared" si="14"/>
        <v>0</v>
      </c>
      <c r="T148" s="64"/>
      <c r="U148" s="64"/>
      <c r="V148" s="64"/>
      <c r="W148" s="64"/>
      <c r="X148" s="64"/>
      <c r="Y148" s="64"/>
      <c r="Z148" s="64"/>
      <c r="AA148" s="64"/>
      <c r="AB148" s="65"/>
      <c r="AC148" s="70"/>
      <c r="AD148" s="71"/>
      <c r="AE148" s="64"/>
      <c r="AF148" s="64"/>
      <c r="AG148" s="64"/>
      <c r="AH148" s="64"/>
      <c r="AI148" s="65"/>
      <c r="AJ148" s="65"/>
      <c r="AK148" s="64"/>
      <c r="AL148" s="74"/>
      <c r="AM148" s="48"/>
      <c r="AN148" s="64"/>
      <c r="AO148" s="64"/>
      <c r="AP148" s="64"/>
      <c r="AQ148" s="64"/>
      <c r="AR148" s="64"/>
      <c r="AS148" s="64"/>
      <c r="AT148" s="64"/>
      <c r="AU148" s="66"/>
      <c r="AV148" s="75"/>
      <c r="AW148" s="65"/>
      <c r="AX148" s="65"/>
      <c r="AY148" s="65"/>
      <c r="AZ148" s="65"/>
      <c r="BA148" s="65"/>
      <c r="BB148" s="65"/>
      <c r="BC148" s="65"/>
      <c r="BD148" s="66"/>
      <c r="BE148" s="48"/>
      <c r="BF148" s="64"/>
      <c r="BG148" s="64"/>
      <c r="BH148" s="66"/>
      <c r="BI148" s="63"/>
      <c r="BJ148" s="64"/>
      <c r="BK148" s="66"/>
      <c r="BL148" s="48"/>
      <c r="BM148" s="64"/>
      <c r="BN148" s="65"/>
      <c r="BO148" s="76"/>
      <c r="BP148" s="37">
        <f t="shared" si="15"/>
        <v>0</v>
      </c>
    </row>
    <row r="149" spans="1:68" ht="25.5" customHeight="1" thickTop="1" thickBot="1" x14ac:dyDescent="0.2">
      <c r="A149" s="17">
        <f t="shared" si="16"/>
        <v>134</v>
      </c>
      <c r="B149" s="1044"/>
      <c r="C149" s="1045"/>
      <c r="D149" s="38"/>
      <c r="E149" s="954"/>
      <c r="F149" s="53"/>
      <c r="G149" s="39"/>
      <c r="H149" s="1050"/>
      <c r="I149" s="684" t="str">
        <f t="shared" si="12"/>
        <v/>
      </c>
      <c r="J149" s="754">
        <f t="shared" si="13"/>
        <v>0</v>
      </c>
      <c r="K149" s="1249"/>
      <c r="L149" s="1250"/>
      <c r="M149" s="1250"/>
      <c r="N149" s="773" t="str">
        <f t="shared" si="17"/>
        <v/>
      </c>
      <c r="O149" s="774" t="str">
        <f>IF('Set up ~ Config'!$G$32=6,IF(OR($N149=7,$N149=8,$N149=9),1,IF(OR($N149=10,$N149=11,$N149=12),2,IF(OR($N149=1,$N149=2,$N149=3),3,IF(OR($N149=4,$N149=5,$N149=6),4,"")))),IF(OR($N149=9,$N149=10,$N149=11),1,IF(OR($N149=12,$N149=1,$N149=2),2,IF(OR($N149=3,$N149=4,$N149=5),3,IF(OR($N149=6,$N149=7,$N149=8),4,"")))))</f>
        <v/>
      </c>
      <c r="P149" s="40"/>
      <c r="Q149" s="63"/>
      <c r="R149" s="64"/>
      <c r="S149" s="755">
        <f t="shared" si="14"/>
        <v>0</v>
      </c>
      <c r="T149" s="64"/>
      <c r="U149" s="64"/>
      <c r="V149" s="64"/>
      <c r="W149" s="64"/>
      <c r="X149" s="64"/>
      <c r="Y149" s="64"/>
      <c r="Z149" s="64"/>
      <c r="AA149" s="64"/>
      <c r="AB149" s="65"/>
      <c r="AC149" s="70"/>
      <c r="AD149" s="71"/>
      <c r="AE149" s="64"/>
      <c r="AF149" s="64"/>
      <c r="AG149" s="64"/>
      <c r="AH149" s="64"/>
      <c r="AI149" s="65"/>
      <c r="AJ149" s="65"/>
      <c r="AK149" s="64"/>
      <c r="AL149" s="74"/>
      <c r="AM149" s="48"/>
      <c r="AN149" s="64"/>
      <c r="AO149" s="64"/>
      <c r="AP149" s="64"/>
      <c r="AQ149" s="64"/>
      <c r="AR149" s="64"/>
      <c r="AS149" s="64"/>
      <c r="AT149" s="64"/>
      <c r="AU149" s="66"/>
      <c r="AV149" s="75"/>
      <c r="AW149" s="65"/>
      <c r="AX149" s="65"/>
      <c r="AY149" s="65"/>
      <c r="AZ149" s="65"/>
      <c r="BA149" s="65"/>
      <c r="BB149" s="65"/>
      <c r="BC149" s="65"/>
      <c r="BD149" s="66"/>
      <c r="BE149" s="48"/>
      <c r="BF149" s="64"/>
      <c r="BG149" s="64"/>
      <c r="BH149" s="66"/>
      <c r="BI149" s="63"/>
      <c r="BJ149" s="64"/>
      <c r="BK149" s="66"/>
      <c r="BL149" s="48"/>
      <c r="BM149" s="64"/>
      <c r="BN149" s="65"/>
      <c r="BO149" s="76"/>
      <c r="BP149" s="37">
        <f t="shared" si="15"/>
        <v>0</v>
      </c>
    </row>
    <row r="150" spans="1:68" ht="25.5" customHeight="1" thickTop="1" thickBot="1" x14ac:dyDescent="0.2">
      <c r="A150" s="17">
        <f t="shared" si="16"/>
        <v>135</v>
      </c>
      <c r="B150" s="1044"/>
      <c r="C150" s="1045"/>
      <c r="D150" s="38"/>
      <c r="E150" s="954"/>
      <c r="F150" s="53"/>
      <c r="G150" s="39"/>
      <c r="H150" s="1050"/>
      <c r="I150" s="684" t="str">
        <f t="shared" si="12"/>
        <v/>
      </c>
      <c r="J150" s="754">
        <f t="shared" si="13"/>
        <v>0</v>
      </c>
      <c r="K150" s="1249"/>
      <c r="L150" s="1250"/>
      <c r="M150" s="1250"/>
      <c r="N150" s="773" t="str">
        <f t="shared" si="17"/>
        <v/>
      </c>
      <c r="O150" s="774" t="str">
        <f>IF('Set up ~ Config'!$G$32=6,IF(OR($N150=7,$N150=8,$N150=9),1,IF(OR($N150=10,$N150=11,$N150=12),2,IF(OR($N150=1,$N150=2,$N150=3),3,IF(OR($N150=4,$N150=5,$N150=6),4,"")))),IF(OR($N150=9,$N150=10,$N150=11),1,IF(OR($N150=12,$N150=1,$N150=2),2,IF(OR($N150=3,$N150=4,$N150=5),3,IF(OR($N150=6,$N150=7,$N150=8),4,"")))))</f>
        <v/>
      </c>
      <c r="P150" s="40"/>
      <c r="Q150" s="63"/>
      <c r="R150" s="64"/>
      <c r="S150" s="755">
        <f t="shared" si="14"/>
        <v>0</v>
      </c>
      <c r="T150" s="64"/>
      <c r="U150" s="64"/>
      <c r="V150" s="64"/>
      <c r="W150" s="64"/>
      <c r="X150" s="64"/>
      <c r="Y150" s="64"/>
      <c r="Z150" s="64"/>
      <c r="AA150" s="64"/>
      <c r="AB150" s="65"/>
      <c r="AC150" s="70"/>
      <c r="AD150" s="71"/>
      <c r="AE150" s="64"/>
      <c r="AF150" s="64"/>
      <c r="AG150" s="64"/>
      <c r="AH150" s="64"/>
      <c r="AI150" s="65"/>
      <c r="AJ150" s="65"/>
      <c r="AK150" s="64"/>
      <c r="AL150" s="74"/>
      <c r="AM150" s="48"/>
      <c r="AN150" s="64"/>
      <c r="AO150" s="64"/>
      <c r="AP150" s="64"/>
      <c r="AQ150" s="64"/>
      <c r="AR150" s="64"/>
      <c r="AS150" s="64"/>
      <c r="AT150" s="64"/>
      <c r="AU150" s="66"/>
      <c r="AV150" s="75"/>
      <c r="AW150" s="65"/>
      <c r="AX150" s="65"/>
      <c r="AY150" s="65"/>
      <c r="AZ150" s="65"/>
      <c r="BA150" s="65"/>
      <c r="BB150" s="65"/>
      <c r="BC150" s="65"/>
      <c r="BD150" s="66"/>
      <c r="BE150" s="48"/>
      <c r="BF150" s="64"/>
      <c r="BG150" s="64"/>
      <c r="BH150" s="66"/>
      <c r="BI150" s="63"/>
      <c r="BJ150" s="64"/>
      <c r="BK150" s="66"/>
      <c r="BL150" s="48"/>
      <c r="BM150" s="64"/>
      <c r="BN150" s="65"/>
      <c r="BO150" s="76"/>
      <c r="BP150" s="37">
        <f t="shared" si="15"/>
        <v>0</v>
      </c>
    </row>
    <row r="151" spans="1:68" ht="25.5" customHeight="1" thickTop="1" thickBot="1" x14ac:dyDescent="0.2">
      <c r="A151" s="17">
        <f t="shared" si="16"/>
        <v>136</v>
      </c>
      <c r="B151" s="1044"/>
      <c r="C151" s="1045"/>
      <c r="D151" s="38"/>
      <c r="E151" s="954"/>
      <c r="F151" s="53"/>
      <c r="G151" s="39"/>
      <c r="H151" s="1050"/>
      <c r="I151" s="684" t="str">
        <f t="shared" si="12"/>
        <v/>
      </c>
      <c r="J151" s="754">
        <f t="shared" si="13"/>
        <v>0</v>
      </c>
      <c r="K151" s="1249"/>
      <c r="L151" s="1250"/>
      <c r="M151" s="1250"/>
      <c r="N151" s="773" t="str">
        <f t="shared" si="17"/>
        <v/>
      </c>
      <c r="O151" s="774" t="str">
        <f>IF('Set up ~ Config'!$G$32=6,IF(OR($N151=7,$N151=8,$N151=9),1,IF(OR($N151=10,$N151=11,$N151=12),2,IF(OR($N151=1,$N151=2,$N151=3),3,IF(OR($N151=4,$N151=5,$N151=6),4,"")))),IF(OR($N151=9,$N151=10,$N151=11),1,IF(OR($N151=12,$N151=1,$N151=2),2,IF(OR($N151=3,$N151=4,$N151=5),3,IF(OR($N151=6,$N151=7,$N151=8),4,"")))))</f>
        <v/>
      </c>
      <c r="P151" s="40"/>
      <c r="Q151" s="63"/>
      <c r="R151" s="64"/>
      <c r="S151" s="755">
        <f t="shared" si="14"/>
        <v>0</v>
      </c>
      <c r="T151" s="64"/>
      <c r="U151" s="64"/>
      <c r="V151" s="64"/>
      <c r="W151" s="64"/>
      <c r="X151" s="64"/>
      <c r="Y151" s="64"/>
      <c r="Z151" s="64"/>
      <c r="AA151" s="64"/>
      <c r="AB151" s="65"/>
      <c r="AC151" s="70"/>
      <c r="AD151" s="71"/>
      <c r="AE151" s="64"/>
      <c r="AF151" s="64"/>
      <c r="AG151" s="64"/>
      <c r="AH151" s="64"/>
      <c r="AI151" s="65"/>
      <c r="AJ151" s="65"/>
      <c r="AK151" s="64"/>
      <c r="AL151" s="74"/>
      <c r="AM151" s="48"/>
      <c r="AN151" s="64"/>
      <c r="AO151" s="64"/>
      <c r="AP151" s="64"/>
      <c r="AQ151" s="64"/>
      <c r="AR151" s="64"/>
      <c r="AS151" s="64"/>
      <c r="AT151" s="64"/>
      <c r="AU151" s="66"/>
      <c r="AV151" s="75"/>
      <c r="AW151" s="65"/>
      <c r="AX151" s="65"/>
      <c r="AY151" s="65"/>
      <c r="AZ151" s="65"/>
      <c r="BA151" s="65"/>
      <c r="BB151" s="65"/>
      <c r="BC151" s="65"/>
      <c r="BD151" s="66"/>
      <c r="BE151" s="48"/>
      <c r="BF151" s="64"/>
      <c r="BG151" s="64"/>
      <c r="BH151" s="66"/>
      <c r="BI151" s="63"/>
      <c r="BJ151" s="64"/>
      <c r="BK151" s="66"/>
      <c r="BL151" s="48"/>
      <c r="BM151" s="64"/>
      <c r="BN151" s="65"/>
      <c r="BO151" s="76"/>
      <c r="BP151" s="37">
        <f t="shared" si="15"/>
        <v>0</v>
      </c>
    </row>
    <row r="152" spans="1:68" ht="25.5" customHeight="1" thickTop="1" thickBot="1" x14ac:dyDescent="0.2">
      <c r="A152" s="17">
        <f t="shared" si="16"/>
        <v>137</v>
      </c>
      <c r="B152" s="1044"/>
      <c r="C152" s="1045"/>
      <c r="D152" s="38"/>
      <c r="E152" s="954"/>
      <c r="F152" s="53"/>
      <c r="G152" s="39"/>
      <c r="H152" s="1050"/>
      <c r="I152" s="684" t="str">
        <f t="shared" si="12"/>
        <v/>
      </c>
      <c r="J152" s="754">
        <f t="shared" si="13"/>
        <v>0</v>
      </c>
      <c r="K152" s="1249"/>
      <c r="L152" s="1250"/>
      <c r="M152" s="1250"/>
      <c r="N152" s="773" t="str">
        <f t="shared" si="17"/>
        <v/>
      </c>
      <c r="O152" s="774" t="str">
        <f>IF('Set up ~ Config'!$G$32=6,IF(OR($N152=7,$N152=8,$N152=9),1,IF(OR($N152=10,$N152=11,$N152=12),2,IF(OR($N152=1,$N152=2,$N152=3),3,IF(OR($N152=4,$N152=5,$N152=6),4,"")))),IF(OR($N152=9,$N152=10,$N152=11),1,IF(OR($N152=12,$N152=1,$N152=2),2,IF(OR($N152=3,$N152=4,$N152=5),3,IF(OR($N152=6,$N152=7,$N152=8),4,"")))))</f>
        <v/>
      </c>
      <c r="P152" s="40"/>
      <c r="Q152" s="63"/>
      <c r="R152" s="64"/>
      <c r="S152" s="755">
        <f t="shared" si="14"/>
        <v>0</v>
      </c>
      <c r="T152" s="64"/>
      <c r="U152" s="64"/>
      <c r="V152" s="64"/>
      <c r="W152" s="64"/>
      <c r="X152" s="64"/>
      <c r="Y152" s="64"/>
      <c r="Z152" s="64"/>
      <c r="AA152" s="64"/>
      <c r="AB152" s="65"/>
      <c r="AC152" s="70"/>
      <c r="AD152" s="71"/>
      <c r="AE152" s="64"/>
      <c r="AF152" s="64"/>
      <c r="AG152" s="64"/>
      <c r="AH152" s="64"/>
      <c r="AI152" s="65"/>
      <c r="AJ152" s="65"/>
      <c r="AK152" s="64"/>
      <c r="AL152" s="74"/>
      <c r="AM152" s="48"/>
      <c r="AN152" s="64"/>
      <c r="AO152" s="64"/>
      <c r="AP152" s="64"/>
      <c r="AQ152" s="64"/>
      <c r="AR152" s="64"/>
      <c r="AS152" s="64"/>
      <c r="AT152" s="64"/>
      <c r="AU152" s="66"/>
      <c r="AV152" s="75"/>
      <c r="AW152" s="65"/>
      <c r="AX152" s="65"/>
      <c r="AY152" s="65"/>
      <c r="AZ152" s="65"/>
      <c r="BA152" s="65"/>
      <c r="BB152" s="65"/>
      <c r="BC152" s="65"/>
      <c r="BD152" s="66"/>
      <c r="BE152" s="48"/>
      <c r="BF152" s="64"/>
      <c r="BG152" s="64"/>
      <c r="BH152" s="66"/>
      <c r="BI152" s="63"/>
      <c r="BJ152" s="64"/>
      <c r="BK152" s="66"/>
      <c r="BL152" s="48"/>
      <c r="BM152" s="64"/>
      <c r="BN152" s="65"/>
      <c r="BO152" s="76"/>
      <c r="BP152" s="37">
        <f t="shared" si="15"/>
        <v>0</v>
      </c>
    </row>
    <row r="153" spans="1:68" ht="25.5" customHeight="1" thickTop="1" thickBot="1" x14ac:dyDescent="0.2">
      <c r="A153" s="17">
        <f t="shared" si="16"/>
        <v>138</v>
      </c>
      <c r="B153" s="1044"/>
      <c r="C153" s="1045"/>
      <c r="D153" s="38"/>
      <c r="E153" s="954"/>
      <c r="F153" s="53"/>
      <c r="G153" s="39"/>
      <c r="H153" s="1050"/>
      <c r="I153" s="684" t="str">
        <f t="shared" si="12"/>
        <v/>
      </c>
      <c r="J153" s="754">
        <f t="shared" si="13"/>
        <v>0</v>
      </c>
      <c r="K153" s="1249"/>
      <c r="L153" s="1250"/>
      <c r="M153" s="1250"/>
      <c r="N153" s="773" t="str">
        <f t="shared" si="17"/>
        <v/>
      </c>
      <c r="O153" s="774" t="str">
        <f>IF('Set up ~ Config'!$G$32=6,IF(OR($N153=7,$N153=8,$N153=9),1,IF(OR($N153=10,$N153=11,$N153=12),2,IF(OR($N153=1,$N153=2,$N153=3),3,IF(OR($N153=4,$N153=5,$N153=6),4,"")))),IF(OR($N153=9,$N153=10,$N153=11),1,IF(OR($N153=12,$N153=1,$N153=2),2,IF(OR($N153=3,$N153=4,$N153=5),3,IF(OR($N153=6,$N153=7,$N153=8),4,"")))))</f>
        <v/>
      </c>
      <c r="P153" s="40"/>
      <c r="Q153" s="63"/>
      <c r="R153" s="64"/>
      <c r="S153" s="755">
        <f t="shared" si="14"/>
        <v>0</v>
      </c>
      <c r="T153" s="64"/>
      <c r="U153" s="64"/>
      <c r="V153" s="64"/>
      <c r="W153" s="64"/>
      <c r="X153" s="64"/>
      <c r="Y153" s="64"/>
      <c r="Z153" s="64"/>
      <c r="AA153" s="64"/>
      <c r="AB153" s="65"/>
      <c r="AC153" s="70"/>
      <c r="AD153" s="71"/>
      <c r="AE153" s="64"/>
      <c r="AF153" s="64"/>
      <c r="AG153" s="64"/>
      <c r="AH153" s="64"/>
      <c r="AI153" s="65"/>
      <c r="AJ153" s="65"/>
      <c r="AK153" s="64"/>
      <c r="AL153" s="74"/>
      <c r="AM153" s="48"/>
      <c r="AN153" s="64"/>
      <c r="AO153" s="64"/>
      <c r="AP153" s="64"/>
      <c r="AQ153" s="64"/>
      <c r="AR153" s="64"/>
      <c r="AS153" s="64"/>
      <c r="AT153" s="64"/>
      <c r="AU153" s="66"/>
      <c r="AV153" s="75"/>
      <c r="AW153" s="65"/>
      <c r="AX153" s="65"/>
      <c r="AY153" s="65"/>
      <c r="AZ153" s="65"/>
      <c r="BA153" s="65"/>
      <c r="BB153" s="65"/>
      <c r="BC153" s="65"/>
      <c r="BD153" s="66"/>
      <c r="BE153" s="48"/>
      <c r="BF153" s="64"/>
      <c r="BG153" s="64"/>
      <c r="BH153" s="66"/>
      <c r="BI153" s="63"/>
      <c r="BJ153" s="64"/>
      <c r="BK153" s="66"/>
      <c r="BL153" s="48"/>
      <c r="BM153" s="64"/>
      <c r="BN153" s="65"/>
      <c r="BO153" s="76"/>
      <c r="BP153" s="37">
        <f t="shared" si="15"/>
        <v>0</v>
      </c>
    </row>
    <row r="154" spans="1:68" ht="25.5" customHeight="1" thickTop="1" thickBot="1" x14ac:dyDescent="0.2">
      <c r="A154" s="17">
        <f t="shared" si="16"/>
        <v>139</v>
      </c>
      <c r="B154" s="1044"/>
      <c r="C154" s="1045"/>
      <c r="D154" s="38"/>
      <c r="E154" s="954"/>
      <c r="F154" s="53"/>
      <c r="G154" s="39"/>
      <c r="H154" s="1050"/>
      <c r="I154" s="684" t="str">
        <f t="shared" si="12"/>
        <v/>
      </c>
      <c r="J154" s="754">
        <f t="shared" si="13"/>
        <v>0</v>
      </c>
      <c r="K154" s="1249"/>
      <c r="L154" s="1250"/>
      <c r="M154" s="1250"/>
      <c r="N154" s="773" t="str">
        <f t="shared" si="17"/>
        <v/>
      </c>
      <c r="O154" s="774" t="str">
        <f>IF('Set up ~ Config'!$G$32=6,IF(OR($N154=7,$N154=8,$N154=9),1,IF(OR($N154=10,$N154=11,$N154=12),2,IF(OR($N154=1,$N154=2,$N154=3),3,IF(OR($N154=4,$N154=5,$N154=6),4,"")))),IF(OR($N154=9,$N154=10,$N154=11),1,IF(OR($N154=12,$N154=1,$N154=2),2,IF(OR($N154=3,$N154=4,$N154=5),3,IF(OR($N154=6,$N154=7,$N154=8),4,"")))))</f>
        <v/>
      </c>
      <c r="P154" s="40"/>
      <c r="Q154" s="63"/>
      <c r="R154" s="64"/>
      <c r="S154" s="755">
        <f t="shared" si="14"/>
        <v>0</v>
      </c>
      <c r="T154" s="64"/>
      <c r="U154" s="64"/>
      <c r="V154" s="64"/>
      <c r="W154" s="64"/>
      <c r="X154" s="64"/>
      <c r="Y154" s="64"/>
      <c r="Z154" s="64"/>
      <c r="AA154" s="64"/>
      <c r="AB154" s="65"/>
      <c r="AC154" s="70"/>
      <c r="AD154" s="71"/>
      <c r="AE154" s="64"/>
      <c r="AF154" s="64"/>
      <c r="AG154" s="64"/>
      <c r="AH154" s="64"/>
      <c r="AI154" s="65"/>
      <c r="AJ154" s="65"/>
      <c r="AK154" s="64"/>
      <c r="AL154" s="74"/>
      <c r="AM154" s="48"/>
      <c r="AN154" s="64"/>
      <c r="AO154" s="64"/>
      <c r="AP154" s="64"/>
      <c r="AQ154" s="64"/>
      <c r="AR154" s="64"/>
      <c r="AS154" s="64"/>
      <c r="AT154" s="64"/>
      <c r="AU154" s="66"/>
      <c r="AV154" s="75"/>
      <c r="AW154" s="65"/>
      <c r="AX154" s="65"/>
      <c r="AY154" s="65"/>
      <c r="AZ154" s="65"/>
      <c r="BA154" s="65"/>
      <c r="BB154" s="65"/>
      <c r="BC154" s="65"/>
      <c r="BD154" s="66"/>
      <c r="BE154" s="48"/>
      <c r="BF154" s="64"/>
      <c r="BG154" s="64"/>
      <c r="BH154" s="66"/>
      <c r="BI154" s="63"/>
      <c r="BJ154" s="64"/>
      <c r="BK154" s="66"/>
      <c r="BL154" s="48"/>
      <c r="BM154" s="64"/>
      <c r="BN154" s="65"/>
      <c r="BO154" s="76"/>
      <c r="BP154" s="37">
        <f t="shared" si="15"/>
        <v>0</v>
      </c>
    </row>
    <row r="155" spans="1:68" ht="25.5" customHeight="1" thickTop="1" thickBot="1" x14ac:dyDescent="0.2">
      <c r="A155" s="17">
        <f t="shared" si="16"/>
        <v>140</v>
      </c>
      <c r="B155" s="1044"/>
      <c r="C155" s="1045"/>
      <c r="D155" s="38"/>
      <c r="E155" s="954"/>
      <c r="F155" s="53"/>
      <c r="G155" s="39"/>
      <c r="H155" s="1050"/>
      <c r="I155" s="684" t="str">
        <f t="shared" si="12"/>
        <v/>
      </c>
      <c r="J155" s="754">
        <f t="shared" si="13"/>
        <v>0</v>
      </c>
      <c r="K155" s="1249"/>
      <c r="L155" s="1250"/>
      <c r="M155" s="1250"/>
      <c r="N155" s="773" t="str">
        <f t="shared" si="17"/>
        <v/>
      </c>
      <c r="O155" s="774" t="str">
        <f>IF('Set up ~ Config'!$G$32=6,IF(OR($N155=7,$N155=8,$N155=9),1,IF(OR($N155=10,$N155=11,$N155=12),2,IF(OR($N155=1,$N155=2,$N155=3),3,IF(OR($N155=4,$N155=5,$N155=6),4,"")))),IF(OR($N155=9,$N155=10,$N155=11),1,IF(OR($N155=12,$N155=1,$N155=2),2,IF(OR($N155=3,$N155=4,$N155=5),3,IF(OR($N155=6,$N155=7,$N155=8),4,"")))))</f>
        <v/>
      </c>
      <c r="P155" s="40"/>
      <c r="Q155" s="63"/>
      <c r="R155" s="64"/>
      <c r="S155" s="755">
        <f t="shared" si="14"/>
        <v>0</v>
      </c>
      <c r="T155" s="64"/>
      <c r="U155" s="64"/>
      <c r="V155" s="64"/>
      <c r="W155" s="64"/>
      <c r="X155" s="64"/>
      <c r="Y155" s="64"/>
      <c r="Z155" s="64"/>
      <c r="AA155" s="64"/>
      <c r="AB155" s="65"/>
      <c r="AC155" s="70"/>
      <c r="AD155" s="71"/>
      <c r="AE155" s="64"/>
      <c r="AF155" s="64"/>
      <c r="AG155" s="64"/>
      <c r="AH155" s="64"/>
      <c r="AI155" s="65"/>
      <c r="AJ155" s="65"/>
      <c r="AK155" s="64"/>
      <c r="AL155" s="74"/>
      <c r="AM155" s="48"/>
      <c r="AN155" s="64"/>
      <c r="AO155" s="64"/>
      <c r="AP155" s="64"/>
      <c r="AQ155" s="64"/>
      <c r="AR155" s="64"/>
      <c r="AS155" s="64"/>
      <c r="AT155" s="64"/>
      <c r="AU155" s="66"/>
      <c r="AV155" s="75"/>
      <c r="AW155" s="65"/>
      <c r="AX155" s="65"/>
      <c r="AY155" s="65"/>
      <c r="AZ155" s="65"/>
      <c r="BA155" s="65"/>
      <c r="BB155" s="65"/>
      <c r="BC155" s="65"/>
      <c r="BD155" s="66"/>
      <c r="BE155" s="48"/>
      <c r="BF155" s="64"/>
      <c r="BG155" s="64"/>
      <c r="BH155" s="66"/>
      <c r="BI155" s="63"/>
      <c r="BJ155" s="64"/>
      <c r="BK155" s="66"/>
      <c r="BL155" s="48"/>
      <c r="BM155" s="64"/>
      <c r="BN155" s="65"/>
      <c r="BO155" s="76"/>
      <c r="BP155" s="37">
        <f t="shared" si="15"/>
        <v>0</v>
      </c>
    </row>
    <row r="156" spans="1:68" ht="25.5" customHeight="1" thickTop="1" thickBot="1" x14ac:dyDescent="0.2">
      <c r="A156" s="17">
        <f t="shared" si="16"/>
        <v>141</v>
      </c>
      <c r="B156" s="1044"/>
      <c r="C156" s="1045"/>
      <c r="D156" s="38"/>
      <c r="E156" s="954"/>
      <c r="F156" s="53"/>
      <c r="G156" s="39"/>
      <c r="H156" s="1050"/>
      <c r="I156" s="684" t="str">
        <f t="shared" si="12"/>
        <v/>
      </c>
      <c r="J156" s="754">
        <f t="shared" si="13"/>
        <v>0</v>
      </c>
      <c r="K156" s="1249"/>
      <c r="L156" s="1250"/>
      <c r="M156" s="1250"/>
      <c r="N156" s="773" t="str">
        <f t="shared" si="17"/>
        <v/>
      </c>
      <c r="O156" s="774" t="str">
        <f>IF('Set up ~ Config'!$G$32=6,IF(OR($N156=7,$N156=8,$N156=9),1,IF(OR($N156=10,$N156=11,$N156=12),2,IF(OR($N156=1,$N156=2,$N156=3),3,IF(OR($N156=4,$N156=5,$N156=6),4,"")))),IF(OR($N156=9,$N156=10,$N156=11),1,IF(OR($N156=12,$N156=1,$N156=2),2,IF(OR($N156=3,$N156=4,$N156=5),3,IF(OR($N156=6,$N156=7,$N156=8),4,"")))))</f>
        <v/>
      </c>
      <c r="P156" s="40"/>
      <c r="Q156" s="63"/>
      <c r="R156" s="64"/>
      <c r="S156" s="755">
        <f t="shared" si="14"/>
        <v>0</v>
      </c>
      <c r="T156" s="64"/>
      <c r="U156" s="64"/>
      <c r="V156" s="64"/>
      <c r="W156" s="64"/>
      <c r="X156" s="64"/>
      <c r="Y156" s="64"/>
      <c r="Z156" s="64"/>
      <c r="AA156" s="64"/>
      <c r="AB156" s="65"/>
      <c r="AC156" s="70"/>
      <c r="AD156" s="71"/>
      <c r="AE156" s="64"/>
      <c r="AF156" s="64"/>
      <c r="AG156" s="64"/>
      <c r="AH156" s="64"/>
      <c r="AI156" s="65"/>
      <c r="AJ156" s="65"/>
      <c r="AK156" s="64"/>
      <c r="AL156" s="74"/>
      <c r="AM156" s="48"/>
      <c r="AN156" s="64"/>
      <c r="AO156" s="64"/>
      <c r="AP156" s="64"/>
      <c r="AQ156" s="64"/>
      <c r="AR156" s="64"/>
      <c r="AS156" s="64"/>
      <c r="AT156" s="64"/>
      <c r="AU156" s="66"/>
      <c r="AV156" s="75"/>
      <c r="AW156" s="65"/>
      <c r="AX156" s="65"/>
      <c r="AY156" s="65"/>
      <c r="AZ156" s="65"/>
      <c r="BA156" s="65"/>
      <c r="BB156" s="65"/>
      <c r="BC156" s="65"/>
      <c r="BD156" s="66"/>
      <c r="BE156" s="48"/>
      <c r="BF156" s="64"/>
      <c r="BG156" s="64"/>
      <c r="BH156" s="66"/>
      <c r="BI156" s="63"/>
      <c r="BJ156" s="64"/>
      <c r="BK156" s="66"/>
      <c r="BL156" s="48"/>
      <c r="BM156" s="64"/>
      <c r="BN156" s="65"/>
      <c r="BO156" s="76"/>
      <c r="BP156" s="37">
        <f t="shared" si="15"/>
        <v>0</v>
      </c>
    </row>
    <row r="157" spans="1:68" ht="25.5" customHeight="1" thickTop="1" thickBot="1" x14ac:dyDescent="0.2">
      <c r="A157" s="17">
        <f t="shared" si="16"/>
        <v>142</v>
      </c>
      <c r="B157" s="1044"/>
      <c r="C157" s="1045"/>
      <c r="D157" s="38"/>
      <c r="E157" s="954"/>
      <c r="F157" s="53"/>
      <c r="G157" s="39"/>
      <c r="H157" s="1050"/>
      <c r="I157" s="684" t="str">
        <f t="shared" si="12"/>
        <v/>
      </c>
      <c r="J157" s="754">
        <f t="shared" si="13"/>
        <v>0</v>
      </c>
      <c r="K157" s="1249"/>
      <c r="L157" s="1250"/>
      <c r="M157" s="1250"/>
      <c r="N157" s="773" t="str">
        <f t="shared" si="17"/>
        <v/>
      </c>
      <c r="O157" s="774" t="str">
        <f>IF('Set up ~ Config'!$G$32=6,IF(OR($N157=7,$N157=8,$N157=9),1,IF(OR($N157=10,$N157=11,$N157=12),2,IF(OR($N157=1,$N157=2,$N157=3),3,IF(OR($N157=4,$N157=5,$N157=6),4,"")))),IF(OR($N157=9,$N157=10,$N157=11),1,IF(OR($N157=12,$N157=1,$N157=2),2,IF(OR($N157=3,$N157=4,$N157=5),3,IF(OR($N157=6,$N157=7,$N157=8),4,"")))))</f>
        <v/>
      </c>
      <c r="P157" s="40"/>
      <c r="Q157" s="63"/>
      <c r="R157" s="64"/>
      <c r="S157" s="755">
        <f t="shared" si="14"/>
        <v>0</v>
      </c>
      <c r="T157" s="64"/>
      <c r="U157" s="64"/>
      <c r="V157" s="64"/>
      <c r="W157" s="64"/>
      <c r="X157" s="64"/>
      <c r="Y157" s="64"/>
      <c r="Z157" s="64"/>
      <c r="AA157" s="64"/>
      <c r="AB157" s="65"/>
      <c r="AC157" s="70"/>
      <c r="AD157" s="71"/>
      <c r="AE157" s="64"/>
      <c r="AF157" s="64"/>
      <c r="AG157" s="64"/>
      <c r="AH157" s="64"/>
      <c r="AI157" s="65"/>
      <c r="AJ157" s="65"/>
      <c r="AK157" s="64"/>
      <c r="AL157" s="74"/>
      <c r="AM157" s="48"/>
      <c r="AN157" s="64"/>
      <c r="AO157" s="64"/>
      <c r="AP157" s="64"/>
      <c r="AQ157" s="64"/>
      <c r="AR157" s="64"/>
      <c r="AS157" s="64"/>
      <c r="AT157" s="64"/>
      <c r="AU157" s="66"/>
      <c r="AV157" s="75"/>
      <c r="AW157" s="65"/>
      <c r="AX157" s="65"/>
      <c r="AY157" s="65"/>
      <c r="AZ157" s="65"/>
      <c r="BA157" s="65"/>
      <c r="BB157" s="65"/>
      <c r="BC157" s="65"/>
      <c r="BD157" s="66"/>
      <c r="BE157" s="48"/>
      <c r="BF157" s="64"/>
      <c r="BG157" s="64"/>
      <c r="BH157" s="66"/>
      <c r="BI157" s="63"/>
      <c r="BJ157" s="64"/>
      <c r="BK157" s="66"/>
      <c r="BL157" s="48"/>
      <c r="BM157" s="64"/>
      <c r="BN157" s="65"/>
      <c r="BO157" s="76"/>
      <c r="BP157" s="37">
        <f t="shared" si="15"/>
        <v>0</v>
      </c>
    </row>
    <row r="158" spans="1:68" ht="25.5" customHeight="1" thickTop="1" thickBot="1" x14ac:dyDescent="0.2">
      <c r="A158" s="17">
        <f t="shared" si="16"/>
        <v>143</v>
      </c>
      <c r="B158" s="1044"/>
      <c r="C158" s="1045"/>
      <c r="D158" s="38"/>
      <c r="E158" s="954"/>
      <c r="F158" s="53"/>
      <c r="G158" s="39"/>
      <c r="H158" s="1050"/>
      <c r="I158" s="684" t="str">
        <f t="shared" si="12"/>
        <v/>
      </c>
      <c r="J158" s="754">
        <f t="shared" si="13"/>
        <v>0</v>
      </c>
      <c r="K158" s="1249"/>
      <c r="L158" s="1250"/>
      <c r="M158" s="1250"/>
      <c r="N158" s="773" t="str">
        <f t="shared" si="17"/>
        <v/>
      </c>
      <c r="O158" s="774" t="str">
        <f>IF('Set up ~ Config'!$G$32=6,IF(OR($N158=7,$N158=8,$N158=9),1,IF(OR($N158=10,$N158=11,$N158=12),2,IF(OR($N158=1,$N158=2,$N158=3),3,IF(OR($N158=4,$N158=5,$N158=6),4,"")))),IF(OR($N158=9,$N158=10,$N158=11),1,IF(OR($N158=12,$N158=1,$N158=2),2,IF(OR($N158=3,$N158=4,$N158=5),3,IF(OR($N158=6,$N158=7,$N158=8),4,"")))))</f>
        <v/>
      </c>
      <c r="P158" s="40"/>
      <c r="Q158" s="63"/>
      <c r="R158" s="64"/>
      <c r="S158" s="755">
        <f t="shared" si="14"/>
        <v>0</v>
      </c>
      <c r="T158" s="64"/>
      <c r="U158" s="64"/>
      <c r="V158" s="64"/>
      <c r="W158" s="64"/>
      <c r="X158" s="64"/>
      <c r="Y158" s="64"/>
      <c r="Z158" s="64"/>
      <c r="AA158" s="64"/>
      <c r="AB158" s="65"/>
      <c r="AC158" s="70"/>
      <c r="AD158" s="71"/>
      <c r="AE158" s="64"/>
      <c r="AF158" s="64"/>
      <c r="AG158" s="64"/>
      <c r="AH158" s="64"/>
      <c r="AI158" s="65"/>
      <c r="AJ158" s="65"/>
      <c r="AK158" s="64"/>
      <c r="AL158" s="74"/>
      <c r="AM158" s="48"/>
      <c r="AN158" s="64"/>
      <c r="AO158" s="64"/>
      <c r="AP158" s="64"/>
      <c r="AQ158" s="64"/>
      <c r="AR158" s="64"/>
      <c r="AS158" s="64"/>
      <c r="AT158" s="64"/>
      <c r="AU158" s="66"/>
      <c r="AV158" s="75"/>
      <c r="AW158" s="65"/>
      <c r="AX158" s="65"/>
      <c r="AY158" s="65"/>
      <c r="AZ158" s="65"/>
      <c r="BA158" s="65"/>
      <c r="BB158" s="65"/>
      <c r="BC158" s="65"/>
      <c r="BD158" s="66"/>
      <c r="BE158" s="48"/>
      <c r="BF158" s="64"/>
      <c r="BG158" s="64"/>
      <c r="BH158" s="66"/>
      <c r="BI158" s="63"/>
      <c r="BJ158" s="64"/>
      <c r="BK158" s="66"/>
      <c r="BL158" s="48"/>
      <c r="BM158" s="64"/>
      <c r="BN158" s="65"/>
      <c r="BO158" s="76"/>
      <c r="BP158" s="37">
        <f t="shared" si="15"/>
        <v>0</v>
      </c>
    </row>
    <row r="159" spans="1:68" ht="25.5" customHeight="1" thickTop="1" thickBot="1" x14ac:dyDescent="0.2">
      <c r="A159" s="17">
        <f t="shared" si="16"/>
        <v>144</v>
      </c>
      <c r="B159" s="1044"/>
      <c r="C159" s="1045"/>
      <c r="D159" s="38"/>
      <c r="E159" s="954"/>
      <c r="F159" s="53"/>
      <c r="G159" s="39"/>
      <c r="H159" s="1050"/>
      <c r="I159" s="684" t="str">
        <f t="shared" si="12"/>
        <v/>
      </c>
      <c r="J159" s="754">
        <f t="shared" si="13"/>
        <v>0</v>
      </c>
      <c r="K159" s="1249"/>
      <c r="L159" s="1250"/>
      <c r="M159" s="1250"/>
      <c r="N159" s="773" t="str">
        <f t="shared" si="17"/>
        <v/>
      </c>
      <c r="O159" s="774" t="str">
        <f>IF('Set up ~ Config'!$G$32=6,IF(OR($N159=7,$N159=8,$N159=9),1,IF(OR($N159=10,$N159=11,$N159=12),2,IF(OR($N159=1,$N159=2,$N159=3),3,IF(OR($N159=4,$N159=5,$N159=6),4,"")))),IF(OR($N159=9,$N159=10,$N159=11),1,IF(OR($N159=12,$N159=1,$N159=2),2,IF(OR($N159=3,$N159=4,$N159=5),3,IF(OR($N159=6,$N159=7,$N159=8),4,"")))))</f>
        <v/>
      </c>
      <c r="P159" s="40"/>
      <c r="Q159" s="63"/>
      <c r="R159" s="64"/>
      <c r="S159" s="755">
        <f t="shared" si="14"/>
        <v>0</v>
      </c>
      <c r="T159" s="64"/>
      <c r="U159" s="64"/>
      <c r="V159" s="64"/>
      <c r="W159" s="64"/>
      <c r="X159" s="64"/>
      <c r="Y159" s="64"/>
      <c r="Z159" s="64"/>
      <c r="AA159" s="64"/>
      <c r="AB159" s="65"/>
      <c r="AC159" s="70"/>
      <c r="AD159" s="71"/>
      <c r="AE159" s="64"/>
      <c r="AF159" s="64"/>
      <c r="AG159" s="64"/>
      <c r="AH159" s="64"/>
      <c r="AI159" s="65"/>
      <c r="AJ159" s="65"/>
      <c r="AK159" s="64"/>
      <c r="AL159" s="74"/>
      <c r="AM159" s="48"/>
      <c r="AN159" s="64"/>
      <c r="AO159" s="64"/>
      <c r="AP159" s="64"/>
      <c r="AQ159" s="64"/>
      <c r="AR159" s="64"/>
      <c r="AS159" s="64"/>
      <c r="AT159" s="64"/>
      <c r="AU159" s="66"/>
      <c r="AV159" s="75"/>
      <c r="AW159" s="65"/>
      <c r="AX159" s="65"/>
      <c r="AY159" s="65"/>
      <c r="AZ159" s="65"/>
      <c r="BA159" s="65"/>
      <c r="BB159" s="65"/>
      <c r="BC159" s="65"/>
      <c r="BD159" s="66"/>
      <c r="BE159" s="48"/>
      <c r="BF159" s="64"/>
      <c r="BG159" s="64"/>
      <c r="BH159" s="66"/>
      <c r="BI159" s="63"/>
      <c r="BJ159" s="64"/>
      <c r="BK159" s="66"/>
      <c r="BL159" s="48"/>
      <c r="BM159" s="64"/>
      <c r="BN159" s="65"/>
      <c r="BO159" s="76"/>
      <c r="BP159" s="37">
        <f t="shared" si="15"/>
        <v>0</v>
      </c>
    </row>
    <row r="160" spans="1:68" ht="25.5" customHeight="1" thickTop="1" thickBot="1" x14ac:dyDescent="0.2">
      <c r="A160" s="17">
        <f t="shared" si="16"/>
        <v>145</v>
      </c>
      <c r="B160" s="1044"/>
      <c r="C160" s="1045"/>
      <c r="D160" s="38"/>
      <c r="E160" s="954"/>
      <c r="F160" s="53"/>
      <c r="G160" s="39"/>
      <c r="H160" s="1050"/>
      <c r="I160" s="684" t="str">
        <f t="shared" si="12"/>
        <v/>
      </c>
      <c r="J160" s="754">
        <f t="shared" si="13"/>
        <v>0</v>
      </c>
      <c r="K160" s="1249"/>
      <c r="L160" s="1250"/>
      <c r="M160" s="1250"/>
      <c r="N160" s="773" t="str">
        <f t="shared" si="17"/>
        <v/>
      </c>
      <c r="O160" s="774" t="str">
        <f>IF('Set up ~ Config'!$G$32=6,IF(OR($N160=7,$N160=8,$N160=9),1,IF(OR($N160=10,$N160=11,$N160=12),2,IF(OR($N160=1,$N160=2,$N160=3),3,IF(OR($N160=4,$N160=5,$N160=6),4,"")))),IF(OR($N160=9,$N160=10,$N160=11),1,IF(OR($N160=12,$N160=1,$N160=2),2,IF(OR($N160=3,$N160=4,$N160=5),3,IF(OR($N160=6,$N160=7,$N160=8),4,"")))))</f>
        <v/>
      </c>
      <c r="P160" s="40"/>
      <c r="Q160" s="63"/>
      <c r="R160" s="64"/>
      <c r="S160" s="755">
        <f t="shared" si="14"/>
        <v>0</v>
      </c>
      <c r="T160" s="64"/>
      <c r="U160" s="64"/>
      <c r="V160" s="64"/>
      <c r="W160" s="64"/>
      <c r="X160" s="64"/>
      <c r="Y160" s="64"/>
      <c r="Z160" s="64"/>
      <c r="AA160" s="64"/>
      <c r="AB160" s="65"/>
      <c r="AC160" s="70"/>
      <c r="AD160" s="71"/>
      <c r="AE160" s="64"/>
      <c r="AF160" s="64"/>
      <c r="AG160" s="64"/>
      <c r="AH160" s="64"/>
      <c r="AI160" s="65"/>
      <c r="AJ160" s="65"/>
      <c r="AK160" s="64"/>
      <c r="AL160" s="74"/>
      <c r="AM160" s="48"/>
      <c r="AN160" s="64"/>
      <c r="AO160" s="64"/>
      <c r="AP160" s="64"/>
      <c r="AQ160" s="64"/>
      <c r="AR160" s="64"/>
      <c r="AS160" s="64"/>
      <c r="AT160" s="64"/>
      <c r="AU160" s="66"/>
      <c r="AV160" s="75"/>
      <c r="AW160" s="65"/>
      <c r="AX160" s="65"/>
      <c r="AY160" s="65"/>
      <c r="AZ160" s="65"/>
      <c r="BA160" s="65"/>
      <c r="BB160" s="65"/>
      <c r="BC160" s="65"/>
      <c r="BD160" s="66"/>
      <c r="BE160" s="48"/>
      <c r="BF160" s="64"/>
      <c r="BG160" s="64"/>
      <c r="BH160" s="66"/>
      <c r="BI160" s="63"/>
      <c r="BJ160" s="64"/>
      <c r="BK160" s="66"/>
      <c r="BL160" s="48"/>
      <c r="BM160" s="64"/>
      <c r="BN160" s="65"/>
      <c r="BO160" s="76"/>
      <c r="BP160" s="37">
        <f t="shared" si="15"/>
        <v>0</v>
      </c>
    </row>
    <row r="161" spans="1:68" ht="25.5" customHeight="1" thickTop="1" thickBot="1" x14ac:dyDescent="0.2">
      <c r="A161" s="17">
        <f t="shared" si="16"/>
        <v>146</v>
      </c>
      <c r="B161" s="1044"/>
      <c r="C161" s="1045"/>
      <c r="D161" s="38"/>
      <c r="E161" s="954"/>
      <c r="F161" s="53"/>
      <c r="G161" s="39"/>
      <c r="H161" s="1050"/>
      <c r="I161" s="684" t="str">
        <f t="shared" si="12"/>
        <v/>
      </c>
      <c r="J161" s="754">
        <f t="shared" si="13"/>
        <v>0</v>
      </c>
      <c r="K161" s="1249"/>
      <c r="L161" s="1250"/>
      <c r="M161" s="1250"/>
      <c r="N161" s="773" t="str">
        <f t="shared" si="17"/>
        <v/>
      </c>
      <c r="O161" s="774" t="str">
        <f>IF('Set up ~ Config'!$G$32=6,IF(OR($N161=7,$N161=8,$N161=9),1,IF(OR($N161=10,$N161=11,$N161=12),2,IF(OR($N161=1,$N161=2,$N161=3),3,IF(OR($N161=4,$N161=5,$N161=6),4,"")))),IF(OR($N161=9,$N161=10,$N161=11),1,IF(OR($N161=12,$N161=1,$N161=2),2,IF(OR($N161=3,$N161=4,$N161=5),3,IF(OR($N161=6,$N161=7,$N161=8),4,"")))))</f>
        <v/>
      </c>
      <c r="P161" s="40"/>
      <c r="Q161" s="63"/>
      <c r="R161" s="64"/>
      <c r="S161" s="755">
        <f t="shared" si="14"/>
        <v>0</v>
      </c>
      <c r="T161" s="64"/>
      <c r="U161" s="64"/>
      <c r="V161" s="64"/>
      <c r="W161" s="64"/>
      <c r="X161" s="64"/>
      <c r="Y161" s="64"/>
      <c r="Z161" s="64"/>
      <c r="AA161" s="64"/>
      <c r="AB161" s="65"/>
      <c r="AC161" s="70"/>
      <c r="AD161" s="71"/>
      <c r="AE161" s="64"/>
      <c r="AF161" s="64"/>
      <c r="AG161" s="64"/>
      <c r="AH161" s="64"/>
      <c r="AI161" s="65"/>
      <c r="AJ161" s="65"/>
      <c r="AK161" s="64"/>
      <c r="AL161" s="74"/>
      <c r="AM161" s="48"/>
      <c r="AN161" s="64"/>
      <c r="AO161" s="64"/>
      <c r="AP161" s="64"/>
      <c r="AQ161" s="64"/>
      <c r="AR161" s="64"/>
      <c r="AS161" s="64"/>
      <c r="AT161" s="64"/>
      <c r="AU161" s="66"/>
      <c r="AV161" s="75"/>
      <c r="AW161" s="65"/>
      <c r="AX161" s="65"/>
      <c r="AY161" s="65"/>
      <c r="AZ161" s="65"/>
      <c r="BA161" s="65"/>
      <c r="BB161" s="65"/>
      <c r="BC161" s="65"/>
      <c r="BD161" s="66"/>
      <c r="BE161" s="48"/>
      <c r="BF161" s="64"/>
      <c r="BG161" s="64"/>
      <c r="BH161" s="66"/>
      <c r="BI161" s="63"/>
      <c r="BJ161" s="64"/>
      <c r="BK161" s="66"/>
      <c r="BL161" s="48"/>
      <c r="BM161" s="64"/>
      <c r="BN161" s="65"/>
      <c r="BO161" s="76"/>
      <c r="BP161" s="37">
        <f t="shared" si="15"/>
        <v>0</v>
      </c>
    </row>
    <row r="162" spans="1:68" ht="25.5" customHeight="1" thickTop="1" thickBot="1" x14ac:dyDescent="0.2">
      <c r="A162" s="17">
        <f t="shared" si="16"/>
        <v>147</v>
      </c>
      <c r="B162" s="1044"/>
      <c r="C162" s="1045"/>
      <c r="D162" s="38"/>
      <c r="E162" s="954"/>
      <c r="F162" s="53"/>
      <c r="G162" s="39"/>
      <c r="H162" s="1050"/>
      <c r="I162" s="684" t="str">
        <f t="shared" si="12"/>
        <v/>
      </c>
      <c r="J162" s="754">
        <f t="shared" si="13"/>
        <v>0</v>
      </c>
      <c r="K162" s="1249"/>
      <c r="L162" s="1250"/>
      <c r="M162" s="1250"/>
      <c r="N162" s="773" t="str">
        <f t="shared" si="17"/>
        <v/>
      </c>
      <c r="O162" s="774" t="str">
        <f>IF('Set up ~ Config'!$G$32=6,IF(OR($N162=7,$N162=8,$N162=9),1,IF(OR($N162=10,$N162=11,$N162=12),2,IF(OR($N162=1,$N162=2,$N162=3),3,IF(OR($N162=4,$N162=5,$N162=6),4,"")))),IF(OR($N162=9,$N162=10,$N162=11),1,IF(OR($N162=12,$N162=1,$N162=2),2,IF(OR($N162=3,$N162=4,$N162=5),3,IF(OR($N162=6,$N162=7,$N162=8),4,"")))))</f>
        <v/>
      </c>
      <c r="P162" s="40"/>
      <c r="Q162" s="63"/>
      <c r="R162" s="64"/>
      <c r="S162" s="755">
        <f t="shared" si="14"/>
        <v>0</v>
      </c>
      <c r="T162" s="64"/>
      <c r="U162" s="64"/>
      <c r="V162" s="64"/>
      <c r="W162" s="64"/>
      <c r="X162" s="64"/>
      <c r="Y162" s="64"/>
      <c r="Z162" s="64"/>
      <c r="AA162" s="64"/>
      <c r="AB162" s="65"/>
      <c r="AC162" s="70"/>
      <c r="AD162" s="71"/>
      <c r="AE162" s="64"/>
      <c r="AF162" s="64"/>
      <c r="AG162" s="64"/>
      <c r="AH162" s="64"/>
      <c r="AI162" s="65"/>
      <c r="AJ162" s="65"/>
      <c r="AK162" s="64"/>
      <c r="AL162" s="74"/>
      <c r="AM162" s="48"/>
      <c r="AN162" s="64"/>
      <c r="AO162" s="64"/>
      <c r="AP162" s="64"/>
      <c r="AQ162" s="64"/>
      <c r="AR162" s="64"/>
      <c r="AS162" s="64"/>
      <c r="AT162" s="64"/>
      <c r="AU162" s="66"/>
      <c r="AV162" s="75"/>
      <c r="AW162" s="65"/>
      <c r="AX162" s="65"/>
      <c r="AY162" s="65"/>
      <c r="AZ162" s="65"/>
      <c r="BA162" s="65"/>
      <c r="BB162" s="65"/>
      <c r="BC162" s="65"/>
      <c r="BD162" s="66"/>
      <c r="BE162" s="48"/>
      <c r="BF162" s="64"/>
      <c r="BG162" s="64"/>
      <c r="BH162" s="66"/>
      <c r="BI162" s="63"/>
      <c r="BJ162" s="64"/>
      <c r="BK162" s="66"/>
      <c r="BL162" s="48"/>
      <c r="BM162" s="64"/>
      <c r="BN162" s="65"/>
      <c r="BO162" s="76"/>
      <c r="BP162" s="37">
        <f t="shared" si="15"/>
        <v>0</v>
      </c>
    </row>
    <row r="163" spans="1:68" ht="25.5" customHeight="1" thickTop="1" thickBot="1" x14ac:dyDescent="0.2">
      <c r="A163" s="17">
        <f t="shared" si="16"/>
        <v>148</v>
      </c>
      <c r="B163" s="1044"/>
      <c r="C163" s="1045"/>
      <c r="D163" s="38"/>
      <c r="E163" s="954"/>
      <c r="F163" s="53"/>
      <c r="G163" s="39"/>
      <c r="H163" s="1050"/>
      <c r="I163" s="684" t="str">
        <f t="shared" si="12"/>
        <v/>
      </c>
      <c r="J163" s="754">
        <f t="shared" si="13"/>
        <v>0</v>
      </c>
      <c r="K163" s="1249"/>
      <c r="L163" s="1250"/>
      <c r="M163" s="1250"/>
      <c r="N163" s="773" t="str">
        <f t="shared" si="17"/>
        <v/>
      </c>
      <c r="O163" s="774" t="str">
        <f>IF('Set up ~ Config'!$G$32=6,IF(OR($N163=7,$N163=8,$N163=9),1,IF(OR($N163=10,$N163=11,$N163=12),2,IF(OR($N163=1,$N163=2,$N163=3),3,IF(OR($N163=4,$N163=5,$N163=6),4,"")))),IF(OR($N163=9,$N163=10,$N163=11),1,IF(OR($N163=12,$N163=1,$N163=2),2,IF(OR($N163=3,$N163=4,$N163=5),3,IF(OR($N163=6,$N163=7,$N163=8),4,"")))))</f>
        <v/>
      </c>
      <c r="P163" s="40"/>
      <c r="Q163" s="63"/>
      <c r="R163" s="64"/>
      <c r="S163" s="755">
        <f t="shared" si="14"/>
        <v>0</v>
      </c>
      <c r="T163" s="64"/>
      <c r="U163" s="64"/>
      <c r="V163" s="64"/>
      <c r="W163" s="64"/>
      <c r="X163" s="64"/>
      <c r="Y163" s="64"/>
      <c r="Z163" s="64"/>
      <c r="AA163" s="64"/>
      <c r="AB163" s="65"/>
      <c r="AC163" s="70"/>
      <c r="AD163" s="71"/>
      <c r="AE163" s="64"/>
      <c r="AF163" s="64"/>
      <c r="AG163" s="64"/>
      <c r="AH163" s="64"/>
      <c r="AI163" s="65"/>
      <c r="AJ163" s="65"/>
      <c r="AK163" s="64"/>
      <c r="AL163" s="74"/>
      <c r="AM163" s="48"/>
      <c r="AN163" s="64"/>
      <c r="AO163" s="64"/>
      <c r="AP163" s="64"/>
      <c r="AQ163" s="64"/>
      <c r="AR163" s="64"/>
      <c r="AS163" s="64"/>
      <c r="AT163" s="64"/>
      <c r="AU163" s="66"/>
      <c r="AV163" s="75"/>
      <c r="AW163" s="65"/>
      <c r="AX163" s="65"/>
      <c r="AY163" s="65"/>
      <c r="AZ163" s="65"/>
      <c r="BA163" s="65"/>
      <c r="BB163" s="65"/>
      <c r="BC163" s="65"/>
      <c r="BD163" s="66"/>
      <c r="BE163" s="48"/>
      <c r="BF163" s="64"/>
      <c r="BG163" s="64"/>
      <c r="BH163" s="66"/>
      <c r="BI163" s="63"/>
      <c r="BJ163" s="64"/>
      <c r="BK163" s="66"/>
      <c r="BL163" s="48"/>
      <c r="BM163" s="64"/>
      <c r="BN163" s="65"/>
      <c r="BO163" s="76"/>
      <c r="BP163" s="37">
        <f t="shared" si="15"/>
        <v>0</v>
      </c>
    </row>
    <row r="164" spans="1:68" ht="25.5" customHeight="1" thickTop="1" thickBot="1" x14ac:dyDescent="0.2">
      <c r="A164" s="17">
        <f t="shared" si="16"/>
        <v>149</v>
      </c>
      <c r="B164" s="1044"/>
      <c r="C164" s="1045"/>
      <c r="D164" s="38"/>
      <c r="E164" s="954"/>
      <c r="F164" s="53"/>
      <c r="G164" s="39"/>
      <c r="H164" s="1050"/>
      <c r="I164" s="684" t="str">
        <f t="shared" si="12"/>
        <v/>
      </c>
      <c r="J164" s="754">
        <f t="shared" si="13"/>
        <v>0</v>
      </c>
      <c r="K164" s="1249"/>
      <c r="L164" s="1250"/>
      <c r="M164" s="1250"/>
      <c r="N164" s="773" t="str">
        <f t="shared" si="17"/>
        <v/>
      </c>
      <c r="O164" s="774" t="str">
        <f>IF('Set up ~ Config'!$G$32=6,IF(OR($N164=7,$N164=8,$N164=9),1,IF(OR($N164=10,$N164=11,$N164=12),2,IF(OR($N164=1,$N164=2,$N164=3),3,IF(OR($N164=4,$N164=5,$N164=6),4,"")))),IF(OR($N164=9,$N164=10,$N164=11),1,IF(OR($N164=12,$N164=1,$N164=2),2,IF(OR($N164=3,$N164=4,$N164=5),3,IF(OR($N164=6,$N164=7,$N164=8),4,"")))))</f>
        <v/>
      </c>
      <c r="P164" s="40"/>
      <c r="Q164" s="63"/>
      <c r="R164" s="64"/>
      <c r="S164" s="755">
        <f t="shared" si="14"/>
        <v>0</v>
      </c>
      <c r="T164" s="64"/>
      <c r="U164" s="64"/>
      <c r="V164" s="64"/>
      <c r="W164" s="64"/>
      <c r="X164" s="64"/>
      <c r="Y164" s="64"/>
      <c r="Z164" s="64"/>
      <c r="AA164" s="64"/>
      <c r="AB164" s="65"/>
      <c r="AC164" s="70"/>
      <c r="AD164" s="71"/>
      <c r="AE164" s="64"/>
      <c r="AF164" s="64"/>
      <c r="AG164" s="64"/>
      <c r="AH164" s="64"/>
      <c r="AI164" s="65"/>
      <c r="AJ164" s="65"/>
      <c r="AK164" s="64"/>
      <c r="AL164" s="74"/>
      <c r="AM164" s="48"/>
      <c r="AN164" s="64"/>
      <c r="AO164" s="64"/>
      <c r="AP164" s="64"/>
      <c r="AQ164" s="64"/>
      <c r="AR164" s="64"/>
      <c r="AS164" s="64"/>
      <c r="AT164" s="64"/>
      <c r="AU164" s="66"/>
      <c r="AV164" s="75"/>
      <c r="AW164" s="65"/>
      <c r="AX164" s="65"/>
      <c r="AY164" s="65"/>
      <c r="AZ164" s="65"/>
      <c r="BA164" s="65"/>
      <c r="BB164" s="65"/>
      <c r="BC164" s="65"/>
      <c r="BD164" s="66"/>
      <c r="BE164" s="48"/>
      <c r="BF164" s="64"/>
      <c r="BG164" s="64"/>
      <c r="BH164" s="66"/>
      <c r="BI164" s="63"/>
      <c r="BJ164" s="64"/>
      <c r="BK164" s="66"/>
      <c r="BL164" s="48"/>
      <c r="BM164" s="64"/>
      <c r="BN164" s="65"/>
      <c r="BO164" s="76"/>
      <c r="BP164" s="37">
        <f t="shared" si="15"/>
        <v>0</v>
      </c>
    </row>
    <row r="165" spans="1:68" ht="25.5" customHeight="1" thickTop="1" thickBot="1" x14ac:dyDescent="0.2">
      <c r="A165" s="17">
        <f t="shared" si="16"/>
        <v>150</v>
      </c>
      <c r="B165" s="1044"/>
      <c r="C165" s="1045"/>
      <c r="D165" s="38"/>
      <c r="E165" s="954"/>
      <c r="F165" s="53"/>
      <c r="G165" s="39"/>
      <c r="H165" s="1050"/>
      <c r="I165" s="684" t="str">
        <f t="shared" si="12"/>
        <v/>
      </c>
      <c r="J165" s="754">
        <f t="shared" si="13"/>
        <v>0</v>
      </c>
      <c r="K165" s="1249"/>
      <c r="L165" s="1250"/>
      <c r="M165" s="1250"/>
      <c r="N165" s="773" t="str">
        <f t="shared" si="17"/>
        <v/>
      </c>
      <c r="O165" s="774" t="str">
        <f>IF('Set up ~ Config'!$G$32=6,IF(OR($N165=7,$N165=8,$N165=9),1,IF(OR($N165=10,$N165=11,$N165=12),2,IF(OR($N165=1,$N165=2,$N165=3),3,IF(OR($N165=4,$N165=5,$N165=6),4,"")))),IF(OR($N165=9,$N165=10,$N165=11),1,IF(OR($N165=12,$N165=1,$N165=2),2,IF(OR($N165=3,$N165=4,$N165=5),3,IF(OR($N165=6,$N165=7,$N165=8),4,"")))))</f>
        <v/>
      </c>
      <c r="P165" s="40"/>
      <c r="Q165" s="63"/>
      <c r="R165" s="64"/>
      <c r="S165" s="755">
        <f t="shared" si="14"/>
        <v>0</v>
      </c>
      <c r="T165" s="64"/>
      <c r="U165" s="64"/>
      <c r="V165" s="64"/>
      <c r="W165" s="64"/>
      <c r="X165" s="64"/>
      <c r="Y165" s="64"/>
      <c r="Z165" s="64"/>
      <c r="AA165" s="64"/>
      <c r="AB165" s="65"/>
      <c r="AC165" s="70"/>
      <c r="AD165" s="71"/>
      <c r="AE165" s="64"/>
      <c r="AF165" s="64"/>
      <c r="AG165" s="64"/>
      <c r="AH165" s="64"/>
      <c r="AI165" s="65"/>
      <c r="AJ165" s="65"/>
      <c r="AK165" s="64"/>
      <c r="AL165" s="74"/>
      <c r="AM165" s="48"/>
      <c r="AN165" s="64"/>
      <c r="AO165" s="64"/>
      <c r="AP165" s="64"/>
      <c r="AQ165" s="64"/>
      <c r="AR165" s="64"/>
      <c r="AS165" s="64"/>
      <c r="AT165" s="64"/>
      <c r="AU165" s="66"/>
      <c r="AV165" s="75"/>
      <c r="AW165" s="65"/>
      <c r="AX165" s="65"/>
      <c r="AY165" s="65"/>
      <c r="AZ165" s="65"/>
      <c r="BA165" s="65"/>
      <c r="BB165" s="65"/>
      <c r="BC165" s="65"/>
      <c r="BD165" s="66"/>
      <c r="BE165" s="48"/>
      <c r="BF165" s="64"/>
      <c r="BG165" s="64"/>
      <c r="BH165" s="66"/>
      <c r="BI165" s="63"/>
      <c r="BJ165" s="64"/>
      <c r="BK165" s="66"/>
      <c r="BL165" s="48"/>
      <c r="BM165" s="64"/>
      <c r="BN165" s="65"/>
      <c r="BO165" s="76"/>
      <c r="BP165" s="37">
        <f t="shared" si="15"/>
        <v>0</v>
      </c>
    </row>
    <row r="166" spans="1:68" ht="25.5" customHeight="1" thickTop="1" thickBot="1" x14ac:dyDescent="0.2">
      <c r="A166" s="17">
        <f t="shared" si="16"/>
        <v>151</v>
      </c>
      <c r="B166" s="1044"/>
      <c r="C166" s="1045"/>
      <c r="D166" s="38"/>
      <c r="E166" s="954"/>
      <c r="F166" s="53"/>
      <c r="G166" s="39"/>
      <c r="H166" s="1050"/>
      <c r="I166" s="684" t="str">
        <f t="shared" si="12"/>
        <v/>
      </c>
      <c r="J166" s="754">
        <f t="shared" si="13"/>
        <v>0</v>
      </c>
      <c r="K166" s="1249"/>
      <c r="L166" s="1250"/>
      <c r="M166" s="1250"/>
      <c r="N166" s="773" t="str">
        <f t="shared" si="17"/>
        <v/>
      </c>
      <c r="O166" s="774" t="str">
        <f>IF('Set up ~ Config'!$G$32=6,IF(OR($N166=7,$N166=8,$N166=9),1,IF(OR($N166=10,$N166=11,$N166=12),2,IF(OR($N166=1,$N166=2,$N166=3),3,IF(OR($N166=4,$N166=5,$N166=6),4,"")))),IF(OR($N166=9,$N166=10,$N166=11),1,IF(OR($N166=12,$N166=1,$N166=2),2,IF(OR($N166=3,$N166=4,$N166=5),3,IF(OR($N166=6,$N166=7,$N166=8),4,"")))))</f>
        <v/>
      </c>
      <c r="P166" s="40"/>
      <c r="Q166" s="63"/>
      <c r="R166" s="64"/>
      <c r="S166" s="755">
        <f t="shared" si="14"/>
        <v>0</v>
      </c>
      <c r="T166" s="64"/>
      <c r="U166" s="64"/>
      <c r="V166" s="64"/>
      <c r="W166" s="64"/>
      <c r="X166" s="64"/>
      <c r="Y166" s="64"/>
      <c r="Z166" s="64"/>
      <c r="AA166" s="64"/>
      <c r="AB166" s="65"/>
      <c r="AC166" s="70"/>
      <c r="AD166" s="71"/>
      <c r="AE166" s="64"/>
      <c r="AF166" s="64"/>
      <c r="AG166" s="64"/>
      <c r="AH166" s="64"/>
      <c r="AI166" s="65"/>
      <c r="AJ166" s="65"/>
      <c r="AK166" s="64"/>
      <c r="AL166" s="74"/>
      <c r="AM166" s="48"/>
      <c r="AN166" s="64"/>
      <c r="AO166" s="64"/>
      <c r="AP166" s="64"/>
      <c r="AQ166" s="64"/>
      <c r="AR166" s="64"/>
      <c r="AS166" s="64"/>
      <c r="AT166" s="64"/>
      <c r="AU166" s="66"/>
      <c r="AV166" s="75"/>
      <c r="AW166" s="65"/>
      <c r="AX166" s="65"/>
      <c r="AY166" s="65"/>
      <c r="AZ166" s="65"/>
      <c r="BA166" s="65"/>
      <c r="BB166" s="65"/>
      <c r="BC166" s="65"/>
      <c r="BD166" s="66"/>
      <c r="BE166" s="48"/>
      <c r="BF166" s="64"/>
      <c r="BG166" s="64"/>
      <c r="BH166" s="66"/>
      <c r="BI166" s="63"/>
      <c r="BJ166" s="64"/>
      <c r="BK166" s="66"/>
      <c r="BL166" s="48"/>
      <c r="BM166" s="64"/>
      <c r="BN166" s="65"/>
      <c r="BO166" s="76"/>
      <c r="BP166" s="37">
        <f t="shared" si="15"/>
        <v>0</v>
      </c>
    </row>
    <row r="167" spans="1:68" ht="25.5" customHeight="1" thickTop="1" thickBot="1" x14ac:dyDescent="0.2">
      <c r="A167" s="17">
        <f t="shared" si="16"/>
        <v>152</v>
      </c>
      <c r="B167" s="1044"/>
      <c r="C167" s="1045"/>
      <c r="D167" s="38"/>
      <c r="E167" s="954"/>
      <c r="F167" s="53"/>
      <c r="G167" s="39"/>
      <c r="H167" s="1050"/>
      <c r="I167" s="684" t="str">
        <f t="shared" si="12"/>
        <v/>
      </c>
      <c r="J167" s="754">
        <f t="shared" si="13"/>
        <v>0</v>
      </c>
      <c r="K167" s="1249"/>
      <c r="L167" s="1250"/>
      <c r="M167" s="1250"/>
      <c r="N167" s="773" t="str">
        <f t="shared" si="17"/>
        <v/>
      </c>
      <c r="O167" s="774" t="str">
        <f>IF('Set up ~ Config'!$G$32=6,IF(OR($N167=7,$N167=8,$N167=9),1,IF(OR($N167=10,$N167=11,$N167=12),2,IF(OR($N167=1,$N167=2,$N167=3),3,IF(OR($N167=4,$N167=5,$N167=6),4,"")))),IF(OR($N167=9,$N167=10,$N167=11),1,IF(OR($N167=12,$N167=1,$N167=2),2,IF(OR($N167=3,$N167=4,$N167=5),3,IF(OR($N167=6,$N167=7,$N167=8),4,"")))))</f>
        <v/>
      </c>
      <c r="P167" s="40"/>
      <c r="Q167" s="63"/>
      <c r="R167" s="64"/>
      <c r="S167" s="755">
        <f t="shared" si="14"/>
        <v>0</v>
      </c>
      <c r="T167" s="64"/>
      <c r="U167" s="64"/>
      <c r="V167" s="64"/>
      <c r="W167" s="64"/>
      <c r="X167" s="64"/>
      <c r="Y167" s="64"/>
      <c r="Z167" s="64"/>
      <c r="AA167" s="64"/>
      <c r="AB167" s="65"/>
      <c r="AC167" s="70"/>
      <c r="AD167" s="71"/>
      <c r="AE167" s="64"/>
      <c r="AF167" s="64"/>
      <c r="AG167" s="64"/>
      <c r="AH167" s="64"/>
      <c r="AI167" s="65"/>
      <c r="AJ167" s="65"/>
      <c r="AK167" s="64"/>
      <c r="AL167" s="74"/>
      <c r="AM167" s="48"/>
      <c r="AN167" s="64"/>
      <c r="AO167" s="64"/>
      <c r="AP167" s="64"/>
      <c r="AQ167" s="64"/>
      <c r="AR167" s="64"/>
      <c r="AS167" s="64"/>
      <c r="AT167" s="64"/>
      <c r="AU167" s="66"/>
      <c r="AV167" s="75"/>
      <c r="AW167" s="65"/>
      <c r="AX167" s="65"/>
      <c r="AY167" s="65"/>
      <c r="AZ167" s="65"/>
      <c r="BA167" s="65"/>
      <c r="BB167" s="65"/>
      <c r="BC167" s="65"/>
      <c r="BD167" s="66"/>
      <c r="BE167" s="48"/>
      <c r="BF167" s="64"/>
      <c r="BG167" s="64"/>
      <c r="BH167" s="66"/>
      <c r="BI167" s="63"/>
      <c r="BJ167" s="64"/>
      <c r="BK167" s="66"/>
      <c r="BL167" s="48"/>
      <c r="BM167" s="64"/>
      <c r="BN167" s="65"/>
      <c r="BO167" s="76"/>
      <c r="BP167" s="37">
        <f t="shared" si="15"/>
        <v>0</v>
      </c>
    </row>
    <row r="168" spans="1:68" ht="25.5" customHeight="1" thickTop="1" thickBot="1" x14ac:dyDescent="0.2">
      <c r="A168" s="17">
        <f t="shared" si="16"/>
        <v>153</v>
      </c>
      <c r="B168" s="1044"/>
      <c r="C168" s="1045"/>
      <c r="D168" s="38"/>
      <c r="E168" s="954"/>
      <c r="F168" s="53"/>
      <c r="G168" s="39"/>
      <c r="H168" s="1050"/>
      <c r="I168" s="684" t="str">
        <f t="shared" si="12"/>
        <v/>
      </c>
      <c r="J168" s="754">
        <f t="shared" si="13"/>
        <v>0</v>
      </c>
      <c r="K168" s="1249"/>
      <c r="L168" s="1250"/>
      <c r="M168" s="1250"/>
      <c r="N168" s="773" t="str">
        <f t="shared" si="17"/>
        <v/>
      </c>
      <c r="O168" s="774" t="str">
        <f>IF('Set up ~ Config'!$G$32=6,IF(OR($N168=7,$N168=8,$N168=9),1,IF(OR($N168=10,$N168=11,$N168=12),2,IF(OR($N168=1,$N168=2,$N168=3),3,IF(OR($N168=4,$N168=5,$N168=6),4,"")))),IF(OR($N168=9,$N168=10,$N168=11),1,IF(OR($N168=12,$N168=1,$N168=2),2,IF(OR($N168=3,$N168=4,$N168=5),3,IF(OR($N168=6,$N168=7,$N168=8),4,"")))))</f>
        <v/>
      </c>
      <c r="P168" s="40"/>
      <c r="Q168" s="63"/>
      <c r="R168" s="64"/>
      <c r="S168" s="755">
        <f t="shared" si="14"/>
        <v>0</v>
      </c>
      <c r="T168" s="64"/>
      <c r="U168" s="64"/>
      <c r="V168" s="64"/>
      <c r="W168" s="64"/>
      <c r="X168" s="64"/>
      <c r="Y168" s="64"/>
      <c r="Z168" s="64"/>
      <c r="AA168" s="64"/>
      <c r="AB168" s="65"/>
      <c r="AC168" s="70"/>
      <c r="AD168" s="71"/>
      <c r="AE168" s="64"/>
      <c r="AF168" s="64"/>
      <c r="AG168" s="64"/>
      <c r="AH168" s="64"/>
      <c r="AI168" s="65"/>
      <c r="AJ168" s="65"/>
      <c r="AK168" s="64"/>
      <c r="AL168" s="74"/>
      <c r="AM168" s="48"/>
      <c r="AN168" s="64"/>
      <c r="AO168" s="64"/>
      <c r="AP168" s="64"/>
      <c r="AQ168" s="64"/>
      <c r="AR168" s="64"/>
      <c r="AS168" s="64"/>
      <c r="AT168" s="64"/>
      <c r="AU168" s="66"/>
      <c r="AV168" s="75"/>
      <c r="AW168" s="65"/>
      <c r="AX168" s="65"/>
      <c r="AY168" s="65"/>
      <c r="AZ168" s="65"/>
      <c r="BA168" s="65"/>
      <c r="BB168" s="65"/>
      <c r="BC168" s="65"/>
      <c r="BD168" s="66"/>
      <c r="BE168" s="48"/>
      <c r="BF168" s="64"/>
      <c r="BG168" s="64"/>
      <c r="BH168" s="66"/>
      <c r="BI168" s="63"/>
      <c r="BJ168" s="64"/>
      <c r="BK168" s="66"/>
      <c r="BL168" s="48"/>
      <c r="BM168" s="64"/>
      <c r="BN168" s="65"/>
      <c r="BO168" s="76"/>
      <c r="BP168" s="37">
        <f t="shared" si="15"/>
        <v>0</v>
      </c>
    </row>
    <row r="169" spans="1:68" ht="25.5" customHeight="1" thickTop="1" thickBot="1" x14ac:dyDescent="0.2">
      <c r="A169" s="17">
        <f t="shared" si="16"/>
        <v>154</v>
      </c>
      <c r="B169" s="1044"/>
      <c r="C169" s="1045"/>
      <c r="D169" s="38"/>
      <c r="E169" s="954"/>
      <c r="F169" s="53"/>
      <c r="G169" s="39"/>
      <c r="H169" s="1050"/>
      <c r="I169" s="684" t="str">
        <f t="shared" si="12"/>
        <v/>
      </c>
      <c r="J169" s="754">
        <f t="shared" si="13"/>
        <v>0</v>
      </c>
      <c r="K169" s="1249"/>
      <c r="L169" s="1250"/>
      <c r="M169" s="1250"/>
      <c r="N169" s="773" t="str">
        <f t="shared" si="17"/>
        <v/>
      </c>
      <c r="O169" s="774" t="str">
        <f>IF('Set up ~ Config'!$G$32=6,IF(OR($N169=7,$N169=8,$N169=9),1,IF(OR($N169=10,$N169=11,$N169=12),2,IF(OR($N169=1,$N169=2,$N169=3),3,IF(OR($N169=4,$N169=5,$N169=6),4,"")))),IF(OR($N169=9,$N169=10,$N169=11),1,IF(OR($N169=12,$N169=1,$N169=2),2,IF(OR($N169=3,$N169=4,$N169=5),3,IF(OR($N169=6,$N169=7,$N169=8),4,"")))))</f>
        <v/>
      </c>
      <c r="P169" s="40"/>
      <c r="Q169" s="63"/>
      <c r="R169" s="64"/>
      <c r="S169" s="755">
        <f t="shared" si="14"/>
        <v>0</v>
      </c>
      <c r="T169" s="64"/>
      <c r="U169" s="64"/>
      <c r="V169" s="64"/>
      <c r="W169" s="64"/>
      <c r="X169" s="64"/>
      <c r="Y169" s="64"/>
      <c r="Z169" s="64"/>
      <c r="AA169" s="64"/>
      <c r="AB169" s="65"/>
      <c r="AC169" s="70"/>
      <c r="AD169" s="71"/>
      <c r="AE169" s="64"/>
      <c r="AF169" s="64"/>
      <c r="AG169" s="64"/>
      <c r="AH169" s="64"/>
      <c r="AI169" s="65"/>
      <c r="AJ169" s="65"/>
      <c r="AK169" s="64"/>
      <c r="AL169" s="74"/>
      <c r="AM169" s="48"/>
      <c r="AN169" s="64"/>
      <c r="AO169" s="64"/>
      <c r="AP169" s="64"/>
      <c r="AQ169" s="64"/>
      <c r="AR169" s="64"/>
      <c r="AS169" s="64"/>
      <c r="AT169" s="64"/>
      <c r="AU169" s="66"/>
      <c r="AV169" s="75"/>
      <c r="AW169" s="65"/>
      <c r="AX169" s="65"/>
      <c r="AY169" s="65"/>
      <c r="AZ169" s="65"/>
      <c r="BA169" s="65"/>
      <c r="BB169" s="65"/>
      <c r="BC169" s="65"/>
      <c r="BD169" s="66"/>
      <c r="BE169" s="48"/>
      <c r="BF169" s="64"/>
      <c r="BG169" s="64"/>
      <c r="BH169" s="66"/>
      <c r="BI169" s="63"/>
      <c r="BJ169" s="64"/>
      <c r="BK169" s="66"/>
      <c r="BL169" s="48"/>
      <c r="BM169" s="64"/>
      <c r="BN169" s="65"/>
      <c r="BO169" s="76"/>
      <c r="BP169" s="37">
        <f t="shared" si="15"/>
        <v>0</v>
      </c>
    </row>
    <row r="170" spans="1:68" ht="25.5" customHeight="1" thickTop="1" thickBot="1" x14ac:dyDescent="0.2">
      <c r="A170" s="17">
        <f t="shared" si="16"/>
        <v>155</v>
      </c>
      <c r="B170" s="1044"/>
      <c r="C170" s="1045"/>
      <c r="D170" s="38"/>
      <c r="E170" s="954"/>
      <c r="F170" s="53"/>
      <c r="G170" s="39"/>
      <c r="H170" s="1050"/>
      <c r="I170" s="684" t="str">
        <f t="shared" si="12"/>
        <v/>
      </c>
      <c r="J170" s="754">
        <f t="shared" si="13"/>
        <v>0</v>
      </c>
      <c r="K170" s="1249"/>
      <c r="L170" s="1250"/>
      <c r="M170" s="1250"/>
      <c r="N170" s="773" t="str">
        <f t="shared" si="17"/>
        <v/>
      </c>
      <c r="O170" s="774" t="str">
        <f>IF('Set up ~ Config'!$G$32=6,IF(OR($N170=7,$N170=8,$N170=9),1,IF(OR($N170=10,$N170=11,$N170=12),2,IF(OR($N170=1,$N170=2,$N170=3),3,IF(OR($N170=4,$N170=5,$N170=6),4,"")))),IF(OR($N170=9,$N170=10,$N170=11),1,IF(OR($N170=12,$N170=1,$N170=2),2,IF(OR($N170=3,$N170=4,$N170=5),3,IF(OR($N170=6,$N170=7,$N170=8),4,"")))))</f>
        <v/>
      </c>
      <c r="P170" s="40"/>
      <c r="Q170" s="63"/>
      <c r="R170" s="64"/>
      <c r="S170" s="755">
        <f t="shared" si="14"/>
        <v>0</v>
      </c>
      <c r="T170" s="64"/>
      <c r="U170" s="64"/>
      <c r="V170" s="64"/>
      <c r="W170" s="64"/>
      <c r="X170" s="64"/>
      <c r="Y170" s="64"/>
      <c r="Z170" s="64"/>
      <c r="AA170" s="64"/>
      <c r="AB170" s="65"/>
      <c r="AC170" s="70"/>
      <c r="AD170" s="71"/>
      <c r="AE170" s="64"/>
      <c r="AF170" s="64"/>
      <c r="AG170" s="64"/>
      <c r="AH170" s="64"/>
      <c r="AI170" s="65"/>
      <c r="AJ170" s="65"/>
      <c r="AK170" s="64"/>
      <c r="AL170" s="74"/>
      <c r="AM170" s="48"/>
      <c r="AN170" s="64"/>
      <c r="AO170" s="64"/>
      <c r="AP170" s="64"/>
      <c r="AQ170" s="64"/>
      <c r="AR170" s="64"/>
      <c r="AS170" s="64"/>
      <c r="AT170" s="64"/>
      <c r="AU170" s="66"/>
      <c r="AV170" s="75"/>
      <c r="AW170" s="65"/>
      <c r="AX170" s="65"/>
      <c r="AY170" s="65"/>
      <c r="AZ170" s="65"/>
      <c r="BA170" s="65"/>
      <c r="BB170" s="65"/>
      <c r="BC170" s="65"/>
      <c r="BD170" s="66"/>
      <c r="BE170" s="48"/>
      <c r="BF170" s="64"/>
      <c r="BG170" s="64"/>
      <c r="BH170" s="66"/>
      <c r="BI170" s="63"/>
      <c r="BJ170" s="64"/>
      <c r="BK170" s="66"/>
      <c r="BL170" s="48"/>
      <c r="BM170" s="64"/>
      <c r="BN170" s="65"/>
      <c r="BO170" s="76"/>
      <c r="BP170" s="37">
        <f t="shared" si="15"/>
        <v>0</v>
      </c>
    </row>
    <row r="171" spans="1:68" ht="25.5" customHeight="1" thickTop="1" thickBot="1" x14ac:dyDescent="0.2">
      <c r="A171" s="17">
        <f t="shared" si="16"/>
        <v>156</v>
      </c>
      <c r="B171" s="1044"/>
      <c r="C171" s="1045"/>
      <c r="D171" s="38"/>
      <c r="E171" s="954"/>
      <c r="F171" s="53"/>
      <c r="G171" s="39"/>
      <c r="H171" s="1050"/>
      <c r="I171" s="684" t="str">
        <f t="shared" si="12"/>
        <v/>
      </c>
      <c r="J171" s="754">
        <f t="shared" si="13"/>
        <v>0</v>
      </c>
      <c r="K171" s="1249"/>
      <c r="L171" s="1250"/>
      <c r="M171" s="1250"/>
      <c r="N171" s="773" t="str">
        <f t="shared" si="17"/>
        <v/>
      </c>
      <c r="O171" s="774" t="str">
        <f>IF('Set up ~ Config'!$G$32=6,IF(OR($N171=7,$N171=8,$N171=9),1,IF(OR($N171=10,$N171=11,$N171=12),2,IF(OR($N171=1,$N171=2,$N171=3),3,IF(OR($N171=4,$N171=5,$N171=6),4,"")))),IF(OR($N171=9,$N171=10,$N171=11),1,IF(OR($N171=12,$N171=1,$N171=2),2,IF(OR($N171=3,$N171=4,$N171=5),3,IF(OR($N171=6,$N171=7,$N171=8),4,"")))))</f>
        <v/>
      </c>
      <c r="P171" s="40"/>
      <c r="Q171" s="63"/>
      <c r="R171" s="64"/>
      <c r="S171" s="755">
        <f t="shared" si="14"/>
        <v>0</v>
      </c>
      <c r="T171" s="64"/>
      <c r="U171" s="64"/>
      <c r="V171" s="64"/>
      <c r="W171" s="64"/>
      <c r="X171" s="64"/>
      <c r="Y171" s="64"/>
      <c r="Z171" s="64"/>
      <c r="AA171" s="64"/>
      <c r="AB171" s="65"/>
      <c r="AC171" s="70"/>
      <c r="AD171" s="71"/>
      <c r="AE171" s="64"/>
      <c r="AF171" s="64"/>
      <c r="AG171" s="64"/>
      <c r="AH171" s="64"/>
      <c r="AI171" s="65"/>
      <c r="AJ171" s="65"/>
      <c r="AK171" s="64"/>
      <c r="AL171" s="74"/>
      <c r="AM171" s="48"/>
      <c r="AN171" s="64"/>
      <c r="AO171" s="64"/>
      <c r="AP171" s="64"/>
      <c r="AQ171" s="64"/>
      <c r="AR171" s="64"/>
      <c r="AS171" s="64"/>
      <c r="AT171" s="64"/>
      <c r="AU171" s="66"/>
      <c r="AV171" s="75"/>
      <c r="AW171" s="65"/>
      <c r="AX171" s="65"/>
      <c r="AY171" s="65"/>
      <c r="AZ171" s="65"/>
      <c r="BA171" s="65"/>
      <c r="BB171" s="65"/>
      <c r="BC171" s="65"/>
      <c r="BD171" s="66"/>
      <c r="BE171" s="48"/>
      <c r="BF171" s="64"/>
      <c r="BG171" s="64"/>
      <c r="BH171" s="66"/>
      <c r="BI171" s="63"/>
      <c r="BJ171" s="64"/>
      <c r="BK171" s="66"/>
      <c r="BL171" s="48"/>
      <c r="BM171" s="64"/>
      <c r="BN171" s="65"/>
      <c r="BO171" s="76"/>
      <c r="BP171" s="37">
        <f t="shared" si="15"/>
        <v>0</v>
      </c>
    </row>
    <row r="172" spans="1:68" ht="25.5" customHeight="1" thickTop="1" thickBot="1" x14ac:dyDescent="0.2">
      <c r="A172" s="17">
        <f t="shared" si="16"/>
        <v>157</v>
      </c>
      <c r="B172" s="1044"/>
      <c r="C172" s="1045"/>
      <c r="D172" s="38"/>
      <c r="E172" s="954"/>
      <c r="F172" s="53"/>
      <c r="G172" s="39"/>
      <c r="H172" s="1050"/>
      <c r="I172" s="684" t="str">
        <f t="shared" si="12"/>
        <v/>
      </c>
      <c r="J172" s="754">
        <f t="shared" si="13"/>
        <v>0</v>
      </c>
      <c r="K172" s="1249"/>
      <c r="L172" s="1250"/>
      <c r="M172" s="1250"/>
      <c r="N172" s="773" t="str">
        <f t="shared" si="17"/>
        <v/>
      </c>
      <c r="O172" s="774" t="str">
        <f>IF('Set up ~ Config'!$G$32=6,IF(OR($N172=7,$N172=8,$N172=9),1,IF(OR($N172=10,$N172=11,$N172=12),2,IF(OR($N172=1,$N172=2,$N172=3),3,IF(OR($N172=4,$N172=5,$N172=6),4,"")))),IF(OR($N172=9,$N172=10,$N172=11),1,IF(OR($N172=12,$N172=1,$N172=2),2,IF(OR($N172=3,$N172=4,$N172=5),3,IF(OR($N172=6,$N172=7,$N172=8),4,"")))))</f>
        <v/>
      </c>
      <c r="P172" s="40"/>
      <c r="Q172" s="63"/>
      <c r="R172" s="64"/>
      <c r="S172" s="755">
        <f t="shared" si="14"/>
        <v>0</v>
      </c>
      <c r="T172" s="64"/>
      <c r="U172" s="64"/>
      <c r="V172" s="64"/>
      <c r="W172" s="64"/>
      <c r="X172" s="64"/>
      <c r="Y172" s="64"/>
      <c r="Z172" s="64"/>
      <c r="AA172" s="64"/>
      <c r="AB172" s="65"/>
      <c r="AC172" s="70"/>
      <c r="AD172" s="71"/>
      <c r="AE172" s="64"/>
      <c r="AF172" s="64"/>
      <c r="AG172" s="64"/>
      <c r="AH172" s="64"/>
      <c r="AI172" s="65"/>
      <c r="AJ172" s="65"/>
      <c r="AK172" s="64"/>
      <c r="AL172" s="74"/>
      <c r="AM172" s="48"/>
      <c r="AN172" s="64"/>
      <c r="AO172" s="64"/>
      <c r="AP172" s="64"/>
      <c r="AQ172" s="64"/>
      <c r="AR172" s="64"/>
      <c r="AS172" s="64"/>
      <c r="AT172" s="64"/>
      <c r="AU172" s="66"/>
      <c r="AV172" s="75"/>
      <c r="AW172" s="65"/>
      <c r="AX172" s="65"/>
      <c r="AY172" s="65"/>
      <c r="AZ172" s="65"/>
      <c r="BA172" s="65"/>
      <c r="BB172" s="65"/>
      <c r="BC172" s="65"/>
      <c r="BD172" s="66"/>
      <c r="BE172" s="48"/>
      <c r="BF172" s="64"/>
      <c r="BG172" s="64"/>
      <c r="BH172" s="66"/>
      <c r="BI172" s="63"/>
      <c r="BJ172" s="64"/>
      <c r="BK172" s="66"/>
      <c r="BL172" s="48"/>
      <c r="BM172" s="64"/>
      <c r="BN172" s="65"/>
      <c r="BO172" s="76"/>
      <c r="BP172" s="37">
        <f t="shared" si="15"/>
        <v>0</v>
      </c>
    </row>
    <row r="173" spans="1:68" ht="25.5" customHeight="1" thickTop="1" thickBot="1" x14ac:dyDescent="0.2">
      <c r="A173" s="17">
        <f t="shared" si="16"/>
        <v>158</v>
      </c>
      <c r="B173" s="1044"/>
      <c r="C173" s="1045"/>
      <c r="D173" s="38"/>
      <c r="E173" s="954"/>
      <c r="F173" s="53"/>
      <c r="G173" s="39"/>
      <c r="H173" s="1050"/>
      <c r="I173" s="684" t="str">
        <f t="shared" si="12"/>
        <v/>
      </c>
      <c r="J173" s="754">
        <f t="shared" si="13"/>
        <v>0</v>
      </c>
      <c r="K173" s="1249"/>
      <c r="L173" s="1250"/>
      <c r="M173" s="1250"/>
      <c r="N173" s="773" t="str">
        <f t="shared" si="17"/>
        <v/>
      </c>
      <c r="O173" s="774" t="str">
        <f>IF('Set up ~ Config'!$G$32=6,IF(OR($N173=7,$N173=8,$N173=9),1,IF(OR($N173=10,$N173=11,$N173=12),2,IF(OR($N173=1,$N173=2,$N173=3),3,IF(OR($N173=4,$N173=5,$N173=6),4,"")))),IF(OR($N173=9,$N173=10,$N173=11),1,IF(OR($N173=12,$N173=1,$N173=2),2,IF(OR($N173=3,$N173=4,$N173=5),3,IF(OR($N173=6,$N173=7,$N173=8),4,"")))))</f>
        <v/>
      </c>
      <c r="P173" s="40"/>
      <c r="Q173" s="63"/>
      <c r="R173" s="64"/>
      <c r="S173" s="755">
        <f t="shared" si="14"/>
        <v>0</v>
      </c>
      <c r="T173" s="64"/>
      <c r="U173" s="64"/>
      <c r="V173" s="64"/>
      <c r="W173" s="64"/>
      <c r="X173" s="64"/>
      <c r="Y173" s="64"/>
      <c r="Z173" s="64"/>
      <c r="AA173" s="64"/>
      <c r="AB173" s="65"/>
      <c r="AC173" s="70"/>
      <c r="AD173" s="71"/>
      <c r="AE173" s="64"/>
      <c r="AF173" s="64"/>
      <c r="AG173" s="64"/>
      <c r="AH173" s="64"/>
      <c r="AI173" s="65"/>
      <c r="AJ173" s="65"/>
      <c r="AK173" s="64"/>
      <c r="AL173" s="74"/>
      <c r="AM173" s="48"/>
      <c r="AN173" s="64"/>
      <c r="AO173" s="64"/>
      <c r="AP173" s="64"/>
      <c r="AQ173" s="64"/>
      <c r="AR173" s="64"/>
      <c r="AS173" s="64"/>
      <c r="AT173" s="64"/>
      <c r="AU173" s="66"/>
      <c r="AV173" s="75"/>
      <c r="AW173" s="65"/>
      <c r="AX173" s="65"/>
      <c r="AY173" s="65"/>
      <c r="AZ173" s="65"/>
      <c r="BA173" s="65"/>
      <c r="BB173" s="65"/>
      <c r="BC173" s="65"/>
      <c r="BD173" s="66"/>
      <c r="BE173" s="48"/>
      <c r="BF173" s="64"/>
      <c r="BG173" s="64"/>
      <c r="BH173" s="66"/>
      <c r="BI173" s="63"/>
      <c r="BJ173" s="64"/>
      <c r="BK173" s="66"/>
      <c r="BL173" s="48"/>
      <c r="BM173" s="64"/>
      <c r="BN173" s="65"/>
      <c r="BO173" s="76"/>
      <c r="BP173" s="37">
        <f t="shared" si="15"/>
        <v>0</v>
      </c>
    </row>
    <row r="174" spans="1:68" ht="25.5" customHeight="1" thickTop="1" thickBot="1" x14ac:dyDescent="0.2">
      <c r="A174" s="17">
        <f t="shared" si="16"/>
        <v>159</v>
      </c>
      <c r="B174" s="1044"/>
      <c r="C174" s="1045"/>
      <c r="D174" s="38"/>
      <c r="E174" s="954"/>
      <c r="F174" s="53"/>
      <c r="G174" s="39"/>
      <c r="H174" s="1050"/>
      <c r="I174" s="684" t="str">
        <f t="shared" si="12"/>
        <v/>
      </c>
      <c r="J174" s="754">
        <f t="shared" si="13"/>
        <v>0</v>
      </c>
      <c r="K174" s="1249"/>
      <c r="L174" s="1250"/>
      <c r="M174" s="1250"/>
      <c r="N174" s="773" t="str">
        <f t="shared" si="17"/>
        <v/>
      </c>
      <c r="O174" s="774" t="str">
        <f>IF('Set up ~ Config'!$G$32=6,IF(OR($N174=7,$N174=8,$N174=9),1,IF(OR($N174=10,$N174=11,$N174=12),2,IF(OR($N174=1,$N174=2,$N174=3),3,IF(OR($N174=4,$N174=5,$N174=6),4,"")))),IF(OR($N174=9,$N174=10,$N174=11),1,IF(OR($N174=12,$N174=1,$N174=2),2,IF(OR($N174=3,$N174=4,$N174=5),3,IF(OR($N174=6,$N174=7,$N174=8),4,"")))))</f>
        <v/>
      </c>
      <c r="P174" s="40"/>
      <c r="Q174" s="63"/>
      <c r="R174" s="64"/>
      <c r="S174" s="755">
        <f t="shared" si="14"/>
        <v>0</v>
      </c>
      <c r="T174" s="64"/>
      <c r="U174" s="64"/>
      <c r="V174" s="64"/>
      <c r="W174" s="64"/>
      <c r="X174" s="64"/>
      <c r="Y174" s="64"/>
      <c r="Z174" s="64"/>
      <c r="AA174" s="64"/>
      <c r="AB174" s="65"/>
      <c r="AC174" s="70"/>
      <c r="AD174" s="71"/>
      <c r="AE174" s="64"/>
      <c r="AF174" s="64"/>
      <c r="AG174" s="64"/>
      <c r="AH174" s="64"/>
      <c r="AI174" s="65"/>
      <c r="AJ174" s="65"/>
      <c r="AK174" s="64"/>
      <c r="AL174" s="74"/>
      <c r="AM174" s="48"/>
      <c r="AN174" s="64"/>
      <c r="AO174" s="64"/>
      <c r="AP174" s="64"/>
      <c r="AQ174" s="64"/>
      <c r="AR174" s="64"/>
      <c r="AS174" s="64"/>
      <c r="AT174" s="64"/>
      <c r="AU174" s="66"/>
      <c r="AV174" s="75"/>
      <c r="AW174" s="65"/>
      <c r="AX174" s="65"/>
      <c r="AY174" s="65"/>
      <c r="AZ174" s="65"/>
      <c r="BA174" s="65"/>
      <c r="BB174" s="65"/>
      <c r="BC174" s="65"/>
      <c r="BD174" s="66"/>
      <c r="BE174" s="48"/>
      <c r="BF174" s="64"/>
      <c r="BG174" s="64"/>
      <c r="BH174" s="66"/>
      <c r="BI174" s="63"/>
      <c r="BJ174" s="64"/>
      <c r="BK174" s="66"/>
      <c r="BL174" s="48"/>
      <c r="BM174" s="64"/>
      <c r="BN174" s="65"/>
      <c r="BO174" s="76"/>
      <c r="BP174" s="37">
        <f t="shared" si="15"/>
        <v>0</v>
      </c>
    </row>
    <row r="175" spans="1:68" ht="25.5" customHeight="1" thickTop="1" thickBot="1" x14ac:dyDescent="0.2">
      <c r="A175" s="17">
        <f t="shared" si="16"/>
        <v>160</v>
      </c>
      <c r="B175" s="1044"/>
      <c r="C175" s="1045"/>
      <c r="D175" s="38"/>
      <c r="E175" s="954"/>
      <c r="F175" s="53"/>
      <c r="G175" s="39"/>
      <c r="H175" s="1050"/>
      <c r="I175" s="684" t="str">
        <f t="shared" si="12"/>
        <v/>
      </c>
      <c r="J175" s="754">
        <f t="shared" si="13"/>
        <v>0</v>
      </c>
      <c r="K175" s="1249"/>
      <c r="L175" s="1250"/>
      <c r="M175" s="1250"/>
      <c r="N175" s="773" t="str">
        <f t="shared" si="17"/>
        <v/>
      </c>
      <c r="O175" s="774" t="str">
        <f>IF('Set up ~ Config'!$G$32=6,IF(OR($N175=7,$N175=8,$N175=9),1,IF(OR($N175=10,$N175=11,$N175=12),2,IF(OR($N175=1,$N175=2,$N175=3),3,IF(OR($N175=4,$N175=5,$N175=6),4,"")))),IF(OR($N175=9,$N175=10,$N175=11),1,IF(OR($N175=12,$N175=1,$N175=2),2,IF(OR($N175=3,$N175=4,$N175=5),3,IF(OR($N175=6,$N175=7,$N175=8),4,"")))))</f>
        <v/>
      </c>
      <c r="P175" s="40"/>
      <c r="Q175" s="63"/>
      <c r="R175" s="64"/>
      <c r="S175" s="755">
        <f t="shared" si="14"/>
        <v>0</v>
      </c>
      <c r="T175" s="64"/>
      <c r="U175" s="64"/>
      <c r="V175" s="64"/>
      <c r="W175" s="64"/>
      <c r="X175" s="64"/>
      <c r="Y175" s="64"/>
      <c r="Z175" s="64"/>
      <c r="AA175" s="64"/>
      <c r="AB175" s="65"/>
      <c r="AC175" s="70"/>
      <c r="AD175" s="71"/>
      <c r="AE175" s="64"/>
      <c r="AF175" s="64"/>
      <c r="AG175" s="64"/>
      <c r="AH175" s="64"/>
      <c r="AI175" s="65"/>
      <c r="AJ175" s="65"/>
      <c r="AK175" s="64"/>
      <c r="AL175" s="74"/>
      <c r="AM175" s="48"/>
      <c r="AN175" s="64"/>
      <c r="AO175" s="64"/>
      <c r="AP175" s="64"/>
      <c r="AQ175" s="64"/>
      <c r="AR175" s="64"/>
      <c r="AS175" s="64"/>
      <c r="AT175" s="64"/>
      <c r="AU175" s="66"/>
      <c r="AV175" s="75"/>
      <c r="AW175" s="65"/>
      <c r="AX175" s="65"/>
      <c r="AY175" s="65"/>
      <c r="AZ175" s="65"/>
      <c r="BA175" s="65"/>
      <c r="BB175" s="65"/>
      <c r="BC175" s="65"/>
      <c r="BD175" s="66"/>
      <c r="BE175" s="48"/>
      <c r="BF175" s="64"/>
      <c r="BG175" s="64"/>
      <c r="BH175" s="66"/>
      <c r="BI175" s="63"/>
      <c r="BJ175" s="64"/>
      <c r="BK175" s="66"/>
      <c r="BL175" s="48"/>
      <c r="BM175" s="64"/>
      <c r="BN175" s="65"/>
      <c r="BO175" s="76"/>
      <c r="BP175" s="37">
        <f t="shared" si="15"/>
        <v>0</v>
      </c>
    </row>
    <row r="176" spans="1:68" ht="25.5" customHeight="1" thickTop="1" thickBot="1" x14ac:dyDescent="0.2">
      <c r="A176" s="17">
        <f t="shared" si="16"/>
        <v>161</v>
      </c>
      <c r="B176" s="1044"/>
      <c r="C176" s="1045"/>
      <c r="D176" s="38"/>
      <c r="E176" s="954"/>
      <c r="F176" s="53"/>
      <c r="G176" s="39"/>
      <c r="H176" s="1050"/>
      <c r="I176" s="684" t="str">
        <f t="shared" si="12"/>
        <v/>
      </c>
      <c r="J176" s="754">
        <f t="shared" si="13"/>
        <v>0</v>
      </c>
      <c r="K176" s="1249"/>
      <c r="L176" s="1250"/>
      <c r="M176" s="1250"/>
      <c r="N176" s="773" t="str">
        <f t="shared" si="17"/>
        <v/>
      </c>
      <c r="O176" s="774" t="str">
        <f>IF('Set up ~ Config'!$G$32=6,IF(OR($N176=7,$N176=8,$N176=9),1,IF(OR($N176=10,$N176=11,$N176=12),2,IF(OR($N176=1,$N176=2,$N176=3),3,IF(OR($N176=4,$N176=5,$N176=6),4,"")))),IF(OR($N176=9,$N176=10,$N176=11),1,IF(OR($N176=12,$N176=1,$N176=2),2,IF(OR($N176=3,$N176=4,$N176=5),3,IF(OR($N176=6,$N176=7,$N176=8),4,"")))))</f>
        <v/>
      </c>
      <c r="P176" s="40"/>
      <c r="Q176" s="63"/>
      <c r="R176" s="64"/>
      <c r="S176" s="755">
        <f t="shared" si="14"/>
        <v>0</v>
      </c>
      <c r="T176" s="64"/>
      <c r="U176" s="64"/>
      <c r="V176" s="64"/>
      <c r="W176" s="64"/>
      <c r="X176" s="64"/>
      <c r="Y176" s="64"/>
      <c r="Z176" s="64"/>
      <c r="AA176" s="64"/>
      <c r="AB176" s="65"/>
      <c r="AC176" s="70"/>
      <c r="AD176" s="71"/>
      <c r="AE176" s="64"/>
      <c r="AF176" s="64"/>
      <c r="AG176" s="64"/>
      <c r="AH176" s="64"/>
      <c r="AI176" s="65"/>
      <c r="AJ176" s="65"/>
      <c r="AK176" s="64"/>
      <c r="AL176" s="74"/>
      <c r="AM176" s="48"/>
      <c r="AN176" s="64"/>
      <c r="AO176" s="64"/>
      <c r="AP176" s="64"/>
      <c r="AQ176" s="64"/>
      <c r="AR176" s="64"/>
      <c r="AS176" s="64"/>
      <c r="AT176" s="64"/>
      <c r="AU176" s="66"/>
      <c r="AV176" s="75"/>
      <c r="AW176" s="65"/>
      <c r="AX176" s="65"/>
      <c r="AY176" s="65"/>
      <c r="AZ176" s="65"/>
      <c r="BA176" s="65"/>
      <c r="BB176" s="65"/>
      <c r="BC176" s="65"/>
      <c r="BD176" s="66"/>
      <c r="BE176" s="48"/>
      <c r="BF176" s="64"/>
      <c r="BG176" s="64"/>
      <c r="BH176" s="66"/>
      <c r="BI176" s="63"/>
      <c r="BJ176" s="64"/>
      <c r="BK176" s="66"/>
      <c r="BL176" s="48"/>
      <c r="BM176" s="64"/>
      <c r="BN176" s="65"/>
      <c r="BO176" s="76"/>
      <c r="BP176" s="37">
        <f t="shared" si="15"/>
        <v>0</v>
      </c>
    </row>
    <row r="177" spans="1:68" ht="25.5" customHeight="1" thickTop="1" thickBot="1" x14ac:dyDescent="0.2">
      <c r="A177" s="17">
        <f t="shared" si="16"/>
        <v>162</v>
      </c>
      <c r="B177" s="1044"/>
      <c r="C177" s="1045"/>
      <c r="D177" s="38"/>
      <c r="E177" s="954"/>
      <c r="F177" s="53"/>
      <c r="G177" s="39"/>
      <c r="H177" s="1050"/>
      <c r="I177" s="684" t="str">
        <f t="shared" si="12"/>
        <v/>
      </c>
      <c r="J177" s="754">
        <f t="shared" si="13"/>
        <v>0</v>
      </c>
      <c r="K177" s="1249"/>
      <c r="L177" s="1250"/>
      <c r="M177" s="1250"/>
      <c r="N177" s="773" t="str">
        <f t="shared" si="17"/>
        <v/>
      </c>
      <c r="O177" s="774" t="str">
        <f>IF('Set up ~ Config'!$G$32=6,IF(OR($N177=7,$N177=8,$N177=9),1,IF(OR($N177=10,$N177=11,$N177=12),2,IF(OR($N177=1,$N177=2,$N177=3),3,IF(OR($N177=4,$N177=5,$N177=6),4,"")))),IF(OR($N177=9,$N177=10,$N177=11),1,IF(OR($N177=12,$N177=1,$N177=2),2,IF(OR($N177=3,$N177=4,$N177=5),3,IF(OR($N177=6,$N177=7,$N177=8),4,"")))))</f>
        <v/>
      </c>
      <c r="P177" s="40"/>
      <c r="Q177" s="63"/>
      <c r="R177" s="64"/>
      <c r="S177" s="755">
        <f t="shared" si="14"/>
        <v>0</v>
      </c>
      <c r="T177" s="64"/>
      <c r="U177" s="64"/>
      <c r="V177" s="64"/>
      <c r="W177" s="64"/>
      <c r="X177" s="64"/>
      <c r="Y177" s="64"/>
      <c r="Z177" s="64"/>
      <c r="AA177" s="64"/>
      <c r="AB177" s="65"/>
      <c r="AC177" s="70"/>
      <c r="AD177" s="71"/>
      <c r="AE177" s="64"/>
      <c r="AF177" s="64"/>
      <c r="AG177" s="64"/>
      <c r="AH177" s="64"/>
      <c r="AI177" s="65"/>
      <c r="AJ177" s="65"/>
      <c r="AK177" s="64"/>
      <c r="AL177" s="74"/>
      <c r="AM177" s="48"/>
      <c r="AN177" s="64"/>
      <c r="AO177" s="64"/>
      <c r="AP177" s="64"/>
      <c r="AQ177" s="64"/>
      <c r="AR177" s="64"/>
      <c r="AS177" s="64"/>
      <c r="AT177" s="64"/>
      <c r="AU177" s="66"/>
      <c r="AV177" s="75"/>
      <c r="AW177" s="65"/>
      <c r="AX177" s="65"/>
      <c r="AY177" s="65"/>
      <c r="AZ177" s="65"/>
      <c r="BA177" s="65"/>
      <c r="BB177" s="65"/>
      <c r="BC177" s="65"/>
      <c r="BD177" s="66"/>
      <c r="BE177" s="48"/>
      <c r="BF177" s="64"/>
      <c r="BG177" s="64"/>
      <c r="BH177" s="66"/>
      <c r="BI177" s="63"/>
      <c r="BJ177" s="64"/>
      <c r="BK177" s="66"/>
      <c r="BL177" s="48"/>
      <c r="BM177" s="64"/>
      <c r="BN177" s="65"/>
      <c r="BO177" s="76"/>
      <c r="BP177" s="37">
        <f t="shared" si="15"/>
        <v>0</v>
      </c>
    </row>
    <row r="178" spans="1:68" ht="25.5" customHeight="1" thickTop="1" thickBot="1" x14ac:dyDescent="0.2">
      <c r="A178" s="17">
        <f t="shared" si="16"/>
        <v>163</v>
      </c>
      <c r="B178" s="1044"/>
      <c r="C178" s="1045"/>
      <c r="D178" s="38"/>
      <c r="E178" s="954"/>
      <c r="F178" s="53"/>
      <c r="G178" s="39"/>
      <c r="H178" s="1050"/>
      <c r="I178" s="684" t="str">
        <f t="shared" si="12"/>
        <v/>
      </c>
      <c r="J178" s="754">
        <f t="shared" si="13"/>
        <v>0</v>
      </c>
      <c r="K178" s="1249"/>
      <c r="L178" s="1250"/>
      <c r="M178" s="1250"/>
      <c r="N178" s="773" t="str">
        <f t="shared" si="17"/>
        <v/>
      </c>
      <c r="O178" s="774" t="str">
        <f>IF('Set up ~ Config'!$G$32=6,IF(OR($N178=7,$N178=8,$N178=9),1,IF(OR($N178=10,$N178=11,$N178=12),2,IF(OR($N178=1,$N178=2,$N178=3),3,IF(OR($N178=4,$N178=5,$N178=6),4,"")))),IF(OR($N178=9,$N178=10,$N178=11),1,IF(OR($N178=12,$N178=1,$N178=2),2,IF(OR($N178=3,$N178=4,$N178=5),3,IF(OR($N178=6,$N178=7,$N178=8),4,"")))))</f>
        <v/>
      </c>
      <c r="P178" s="40"/>
      <c r="Q178" s="63"/>
      <c r="R178" s="64"/>
      <c r="S178" s="755">
        <f t="shared" si="14"/>
        <v>0</v>
      </c>
      <c r="T178" s="64"/>
      <c r="U178" s="64"/>
      <c r="V178" s="64"/>
      <c r="W178" s="64"/>
      <c r="X178" s="64"/>
      <c r="Y178" s="64"/>
      <c r="Z178" s="64"/>
      <c r="AA178" s="64"/>
      <c r="AB178" s="65"/>
      <c r="AC178" s="70"/>
      <c r="AD178" s="71"/>
      <c r="AE178" s="64"/>
      <c r="AF178" s="64"/>
      <c r="AG178" s="64"/>
      <c r="AH178" s="64"/>
      <c r="AI178" s="65"/>
      <c r="AJ178" s="65"/>
      <c r="AK178" s="64"/>
      <c r="AL178" s="74"/>
      <c r="AM178" s="48"/>
      <c r="AN178" s="64"/>
      <c r="AO178" s="64"/>
      <c r="AP178" s="64"/>
      <c r="AQ178" s="64"/>
      <c r="AR178" s="64"/>
      <c r="AS178" s="64"/>
      <c r="AT178" s="64"/>
      <c r="AU178" s="66"/>
      <c r="AV178" s="75"/>
      <c r="AW178" s="65"/>
      <c r="AX178" s="65"/>
      <c r="AY178" s="65"/>
      <c r="AZ178" s="65"/>
      <c r="BA178" s="65"/>
      <c r="BB178" s="65"/>
      <c r="BC178" s="65"/>
      <c r="BD178" s="66"/>
      <c r="BE178" s="48"/>
      <c r="BF178" s="64"/>
      <c r="BG178" s="64"/>
      <c r="BH178" s="66"/>
      <c r="BI178" s="63"/>
      <c r="BJ178" s="64"/>
      <c r="BK178" s="66"/>
      <c r="BL178" s="48"/>
      <c r="BM178" s="64"/>
      <c r="BN178" s="65"/>
      <c r="BO178" s="76"/>
      <c r="BP178" s="37">
        <f t="shared" si="15"/>
        <v>0</v>
      </c>
    </row>
    <row r="179" spans="1:68" ht="25.5" customHeight="1" thickTop="1" thickBot="1" x14ac:dyDescent="0.2">
      <c r="A179" s="17">
        <f t="shared" si="16"/>
        <v>164</v>
      </c>
      <c r="B179" s="1044"/>
      <c r="C179" s="1045"/>
      <c r="D179" s="38"/>
      <c r="E179" s="954"/>
      <c r="F179" s="53"/>
      <c r="G179" s="39"/>
      <c r="H179" s="1050"/>
      <c r="I179" s="684" t="str">
        <f t="shared" si="12"/>
        <v/>
      </c>
      <c r="J179" s="754">
        <f t="shared" si="13"/>
        <v>0</v>
      </c>
      <c r="K179" s="1249"/>
      <c r="L179" s="1250"/>
      <c r="M179" s="1250"/>
      <c r="N179" s="773" t="str">
        <f t="shared" si="17"/>
        <v/>
      </c>
      <c r="O179" s="774" t="str">
        <f>IF('Set up ~ Config'!$G$32=6,IF(OR($N179=7,$N179=8,$N179=9),1,IF(OR($N179=10,$N179=11,$N179=12),2,IF(OR($N179=1,$N179=2,$N179=3),3,IF(OR($N179=4,$N179=5,$N179=6),4,"")))),IF(OR($N179=9,$N179=10,$N179=11),1,IF(OR($N179=12,$N179=1,$N179=2),2,IF(OR($N179=3,$N179=4,$N179=5),3,IF(OR($N179=6,$N179=7,$N179=8),4,"")))))</f>
        <v/>
      </c>
      <c r="P179" s="40"/>
      <c r="Q179" s="63"/>
      <c r="R179" s="64"/>
      <c r="S179" s="755">
        <f t="shared" si="14"/>
        <v>0</v>
      </c>
      <c r="T179" s="64"/>
      <c r="U179" s="64"/>
      <c r="V179" s="64"/>
      <c r="W179" s="64"/>
      <c r="X179" s="64"/>
      <c r="Y179" s="64"/>
      <c r="Z179" s="64"/>
      <c r="AA179" s="64"/>
      <c r="AB179" s="65"/>
      <c r="AC179" s="70"/>
      <c r="AD179" s="71"/>
      <c r="AE179" s="64"/>
      <c r="AF179" s="64"/>
      <c r="AG179" s="64"/>
      <c r="AH179" s="64"/>
      <c r="AI179" s="65"/>
      <c r="AJ179" s="65"/>
      <c r="AK179" s="64"/>
      <c r="AL179" s="74"/>
      <c r="AM179" s="48"/>
      <c r="AN179" s="64"/>
      <c r="AO179" s="64"/>
      <c r="AP179" s="64"/>
      <c r="AQ179" s="64"/>
      <c r="AR179" s="64"/>
      <c r="AS179" s="64"/>
      <c r="AT179" s="64"/>
      <c r="AU179" s="66"/>
      <c r="AV179" s="75"/>
      <c r="AW179" s="65"/>
      <c r="AX179" s="65"/>
      <c r="AY179" s="65"/>
      <c r="AZ179" s="65"/>
      <c r="BA179" s="65"/>
      <c r="BB179" s="65"/>
      <c r="BC179" s="65"/>
      <c r="BD179" s="66"/>
      <c r="BE179" s="48"/>
      <c r="BF179" s="64"/>
      <c r="BG179" s="64"/>
      <c r="BH179" s="66"/>
      <c r="BI179" s="63"/>
      <c r="BJ179" s="64"/>
      <c r="BK179" s="66"/>
      <c r="BL179" s="48"/>
      <c r="BM179" s="64"/>
      <c r="BN179" s="65"/>
      <c r="BO179" s="76"/>
      <c r="BP179" s="37">
        <f t="shared" si="15"/>
        <v>0</v>
      </c>
    </row>
    <row r="180" spans="1:68" ht="25.5" customHeight="1" thickTop="1" thickBot="1" x14ac:dyDescent="0.2">
      <c r="A180" s="17">
        <f t="shared" si="16"/>
        <v>165</v>
      </c>
      <c r="B180" s="1044"/>
      <c r="C180" s="1045"/>
      <c r="D180" s="38"/>
      <c r="E180" s="954"/>
      <c r="F180" s="53"/>
      <c r="G180" s="39"/>
      <c r="H180" s="1050"/>
      <c r="I180" s="684" t="str">
        <f t="shared" si="12"/>
        <v/>
      </c>
      <c r="J180" s="754">
        <f t="shared" si="13"/>
        <v>0</v>
      </c>
      <c r="K180" s="1249"/>
      <c r="L180" s="1250"/>
      <c r="M180" s="1250"/>
      <c r="N180" s="773" t="str">
        <f t="shared" si="17"/>
        <v/>
      </c>
      <c r="O180" s="774" t="str">
        <f>IF('Set up ~ Config'!$G$32=6,IF(OR($N180=7,$N180=8,$N180=9),1,IF(OR($N180=10,$N180=11,$N180=12),2,IF(OR($N180=1,$N180=2,$N180=3),3,IF(OR($N180=4,$N180=5,$N180=6),4,"")))),IF(OR($N180=9,$N180=10,$N180=11),1,IF(OR($N180=12,$N180=1,$N180=2),2,IF(OR($N180=3,$N180=4,$N180=5),3,IF(OR($N180=6,$N180=7,$N180=8),4,"")))))</f>
        <v/>
      </c>
      <c r="P180" s="40"/>
      <c r="Q180" s="63"/>
      <c r="R180" s="64"/>
      <c r="S180" s="755">
        <f t="shared" si="14"/>
        <v>0</v>
      </c>
      <c r="T180" s="64"/>
      <c r="U180" s="64"/>
      <c r="V180" s="64"/>
      <c r="W180" s="64"/>
      <c r="X180" s="64"/>
      <c r="Y180" s="64"/>
      <c r="Z180" s="64"/>
      <c r="AA180" s="64"/>
      <c r="AB180" s="65"/>
      <c r="AC180" s="70"/>
      <c r="AD180" s="71"/>
      <c r="AE180" s="64"/>
      <c r="AF180" s="64"/>
      <c r="AG180" s="64"/>
      <c r="AH180" s="64"/>
      <c r="AI180" s="65"/>
      <c r="AJ180" s="65"/>
      <c r="AK180" s="64"/>
      <c r="AL180" s="74"/>
      <c r="AM180" s="48"/>
      <c r="AN180" s="64"/>
      <c r="AO180" s="64"/>
      <c r="AP180" s="64"/>
      <c r="AQ180" s="64"/>
      <c r="AR180" s="64"/>
      <c r="AS180" s="64"/>
      <c r="AT180" s="64"/>
      <c r="AU180" s="66"/>
      <c r="AV180" s="75"/>
      <c r="AW180" s="65"/>
      <c r="AX180" s="65"/>
      <c r="AY180" s="65"/>
      <c r="AZ180" s="65"/>
      <c r="BA180" s="65"/>
      <c r="BB180" s="65"/>
      <c r="BC180" s="65"/>
      <c r="BD180" s="66"/>
      <c r="BE180" s="48"/>
      <c r="BF180" s="64"/>
      <c r="BG180" s="64"/>
      <c r="BH180" s="66"/>
      <c r="BI180" s="63"/>
      <c r="BJ180" s="64"/>
      <c r="BK180" s="66"/>
      <c r="BL180" s="48"/>
      <c r="BM180" s="64"/>
      <c r="BN180" s="65"/>
      <c r="BO180" s="76"/>
      <c r="BP180" s="37">
        <f t="shared" si="15"/>
        <v>0</v>
      </c>
    </row>
    <row r="181" spans="1:68" ht="25.5" customHeight="1" thickTop="1" thickBot="1" x14ac:dyDescent="0.2">
      <c r="A181" s="17">
        <f t="shared" si="16"/>
        <v>166</v>
      </c>
      <c r="B181" s="1044"/>
      <c r="C181" s="1045"/>
      <c r="D181" s="38"/>
      <c r="E181" s="954"/>
      <c r="F181" s="53"/>
      <c r="G181" s="39"/>
      <c r="H181" s="1050"/>
      <c r="I181" s="684" t="str">
        <f t="shared" si="12"/>
        <v/>
      </c>
      <c r="J181" s="754">
        <f t="shared" si="13"/>
        <v>0</v>
      </c>
      <c r="K181" s="1249"/>
      <c r="L181" s="1250"/>
      <c r="M181" s="1250"/>
      <c r="N181" s="773" t="str">
        <f t="shared" si="17"/>
        <v/>
      </c>
      <c r="O181" s="774" t="str">
        <f>IF('Set up ~ Config'!$G$32=6,IF(OR($N181=7,$N181=8,$N181=9),1,IF(OR($N181=10,$N181=11,$N181=12),2,IF(OR($N181=1,$N181=2,$N181=3),3,IF(OR($N181=4,$N181=5,$N181=6),4,"")))),IF(OR($N181=9,$N181=10,$N181=11),1,IF(OR($N181=12,$N181=1,$N181=2),2,IF(OR($N181=3,$N181=4,$N181=5),3,IF(OR($N181=6,$N181=7,$N181=8),4,"")))))</f>
        <v/>
      </c>
      <c r="P181" s="40"/>
      <c r="Q181" s="63"/>
      <c r="R181" s="64"/>
      <c r="S181" s="755">
        <f t="shared" si="14"/>
        <v>0</v>
      </c>
      <c r="T181" s="64"/>
      <c r="U181" s="64"/>
      <c r="V181" s="64"/>
      <c r="W181" s="64"/>
      <c r="X181" s="64"/>
      <c r="Y181" s="64"/>
      <c r="Z181" s="64"/>
      <c r="AA181" s="64"/>
      <c r="AB181" s="65"/>
      <c r="AC181" s="70"/>
      <c r="AD181" s="71"/>
      <c r="AE181" s="64"/>
      <c r="AF181" s="64"/>
      <c r="AG181" s="64"/>
      <c r="AH181" s="64"/>
      <c r="AI181" s="65"/>
      <c r="AJ181" s="65"/>
      <c r="AK181" s="64"/>
      <c r="AL181" s="74"/>
      <c r="AM181" s="48"/>
      <c r="AN181" s="64"/>
      <c r="AO181" s="64"/>
      <c r="AP181" s="64"/>
      <c r="AQ181" s="64"/>
      <c r="AR181" s="64"/>
      <c r="AS181" s="64"/>
      <c r="AT181" s="64"/>
      <c r="AU181" s="66"/>
      <c r="AV181" s="75"/>
      <c r="AW181" s="65"/>
      <c r="AX181" s="65"/>
      <c r="AY181" s="65"/>
      <c r="AZ181" s="65"/>
      <c r="BA181" s="65"/>
      <c r="BB181" s="65"/>
      <c r="BC181" s="65"/>
      <c r="BD181" s="66"/>
      <c r="BE181" s="48"/>
      <c r="BF181" s="64"/>
      <c r="BG181" s="64"/>
      <c r="BH181" s="66"/>
      <c r="BI181" s="63"/>
      <c r="BJ181" s="64"/>
      <c r="BK181" s="66"/>
      <c r="BL181" s="48"/>
      <c r="BM181" s="64"/>
      <c r="BN181" s="65"/>
      <c r="BO181" s="76"/>
      <c r="BP181" s="37">
        <f t="shared" si="15"/>
        <v>0</v>
      </c>
    </row>
    <row r="182" spans="1:68" ht="25.5" customHeight="1" thickTop="1" thickBot="1" x14ac:dyDescent="0.2">
      <c r="A182" s="17">
        <f t="shared" si="16"/>
        <v>167</v>
      </c>
      <c r="B182" s="1044"/>
      <c r="C182" s="1045"/>
      <c r="D182" s="38"/>
      <c r="E182" s="954"/>
      <c r="F182" s="53"/>
      <c r="G182" s="39"/>
      <c r="H182" s="1050"/>
      <c r="I182" s="684" t="str">
        <f t="shared" si="12"/>
        <v/>
      </c>
      <c r="J182" s="754">
        <f t="shared" si="13"/>
        <v>0</v>
      </c>
      <c r="K182" s="1249"/>
      <c r="L182" s="1250"/>
      <c r="M182" s="1250"/>
      <c r="N182" s="773" t="str">
        <f t="shared" si="17"/>
        <v/>
      </c>
      <c r="O182" s="774" t="str">
        <f>IF('Set up ~ Config'!$G$32=6,IF(OR($N182=7,$N182=8,$N182=9),1,IF(OR($N182=10,$N182=11,$N182=12),2,IF(OR($N182=1,$N182=2,$N182=3),3,IF(OR($N182=4,$N182=5,$N182=6),4,"")))),IF(OR($N182=9,$N182=10,$N182=11),1,IF(OR($N182=12,$N182=1,$N182=2),2,IF(OR($N182=3,$N182=4,$N182=5),3,IF(OR($N182=6,$N182=7,$N182=8),4,"")))))</f>
        <v/>
      </c>
      <c r="P182" s="40"/>
      <c r="Q182" s="63"/>
      <c r="R182" s="64"/>
      <c r="S182" s="755">
        <f t="shared" si="14"/>
        <v>0</v>
      </c>
      <c r="T182" s="64"/>
      <c r="U182" s="64"/>
      <c r="V182" s="64"/>
      <c r="W182" s="64"/>
      <c r="X182" s="64"/>
      <c r="Y182" s="64"/>
      <c r="Z182" s="64"/>
      <c r="AA182" s="64"/>
      <c r="AB182" s="65"/>
      <c r="AC182" s="70"/>
      <c r="AD182" s="71"/>
      <c r="AE182" s="64"/>
      <c r="AF182" s="64"/>
      <c r="AG182" s="64"/>
      <c r="AH182" s="64"/>
      <c r="AI182" s="65"/>
      <c r="AJ182" s="65"/>
      <c r="AK182" s="64"/>
      <c r="AL182" s="74"/>
      <c r="AM182" s="48"/>
      <c r="AN182" s="64"/>
      <c r="AO182" s="64"/>
      <c r="AP182" s="64"/>
      <c r="AQ182" s="64"/>
      <c r="AR182" s="64"/>
      <c r="AS182" s="64"/>
      <c r="AT182" s="64"/>
      <c r="AU182" s="66"/>
      <c r="AV182" s="75"/>
      <c r="AW182" s="65"/>
      <c r="AX182" s="65"/>
      <c r="AY182" s="65"/>
      <c r="AZ182" s="65"/>
      <c r="BA182" s="65"/>
      <c r="BB182" s="65"/>
      <c r="BC182" s="65"/>
      <c r="BD182" s="66"/>
      <c r="BE182" s="48"/>
      <c r="BF182" s="64"/>
      <c r="BG182" s="64"/>
      <c r="BH182" s="66"/>
      <c r="BI182" s="63"/>
      <c r="BJ182" s="64"/>
      <c r="BK182" s="66"/>
      <c r="BL182" s="48"/>
      <c r="BM182" s="64"/>
      <c r="BN182" s="65"/>
      <c r="BO182" s="76"/>
      <c r="BP182" s="37">
        <f t="shared" si="15"/>
        <v>0</v>
      </c>
    </row>
    <row r="183" spans="1:68" ht="25.5" customHeight="1" thickTop="1" thickBot="1" x14ac:dyDescent="0.2">
      <c r="A183" s="17">
        <f t="shared" si="16"/>
        <v>168</v>
      </c>
      <c r="B183" s="1044"/>
      <c r="C183" s="1045"/>
      <c r="D183" s="38"/>
      <c r="E183" s="954"/>
      <c r="F183" s="53"/>
      <c r="G183" s="39"/>
      <c r="H183" s="1050"/>
      <c r="I183" s="684" t="str">
        <f t="shared" si="12"/>
        <v/>
      </c>
      <c r="J183" s="754">
        <f t="shared" si="13"/>
        <v>0</v>
      </c>
      <c r="K183" s="1249"/>
      <c r="L183" s="1250"/>
      <c r="M183" s="1250"/>
      <c r="N183" s="773" t="str">
        <f t="shared" si="17"/>
        <v/>
      </c>
      <c r="O183" s="774" t="str">
        <f>IF('Set up ~ Config'!$G$32=6,IF(OR($N183=7,$N183=8,$N183=9),1,IF(OR($N183=10,$N183=11,$N183=12),2,IF(OR($N183=1,$N183=2,$N183=3),3,IF(OR($N183=4,$N183=5,$N183=6),4,"")))),IF(OR($N183=9,$N183=10,$N183=11),1,IF(OR($N183=12,$N183=1,$N183=2),2,IF(OR($N183=3,$N183=4,$N183=5),3,IF(OR($N183=6,$N183=7,$N183=8),4,"")))))</f>
        <v/>
      </c>
      <c r="P183" s="40"/>
      <c r="Q183" s="63"/>
      <c r="R183" s="64"/>
      <c r="S183" s="755">
        <f t="shared" si="14"/>
        <v>0</v>
      </c>
      <c r="T183" s="64"/>
      <c r="U183" s="64"/>
      <c r="V183" s="64"/>
      <c r="W183" s="64"/>
      <c r="X183" s="64"/>
      <c r="Y183" s="64"/>
      <c r="Z183" s="64"/>
      <c r="AA183" s="64"/>
      <c r="AB183" s="65"/>
      <c r="AC183" s="70"/>
      <c r="AD183" s="71"/>
      <c r="AE183" s="64"/>
      <c r="AF183" s="64"/>
      <c r="AG183" s="64"/>
      <c r="AH183" s="64"/>
      <c r="AI183" s="65"/>
      <c r="AJ183" s="65"/>
      <c r="AK183" s="64"/>
      <c r="AL183" s="74"/>
      <c r="AM183" s="48"/>
      <c r="AN183" s="64"/>
      <c r="AO183" s="64"/>
      <c r="AP183" s="64"/>
      <c r="AQ183" s="64"/>
      <c r="AR183" s="64"/>
      <c r="AS183" s="64"/>
      <c r="AT183" s="64"/>
      <c r="AU183" s="66"/>
      <c r="AV183" s="75"/>
      <c r="AW183" s="65"/>
      <c r="AX183" s="65"/>
      <c r="AY183" s="65"/>
      <c r="AZ183" s="65"/>
      <c r="BA183" s="65"/>
      <c r="BB183" s="65"/>
      <c r="BC183" s="65"/>
      <c r="BD183" s="66"/>
      <c r="BE183" s="48"/>
      <c r="BF183" s="64"/>
      <c r="BG183" s="64"/>
      <c r="BH183" s="66"/>
      <c r="BI183" s="63"/>
      <c r="BJ183" s="64"/>
      <c r="BK183" s="66"/>
      <c r="BL183" s="48"/>
      <c r="BM183" s="64"/>
      <c r="BN183" s="65"/>
      <c r="BO183" s="76"/>
      <c r="BP183" s="37">
        <f t="shared" si="15"/>
        <v>0</v>
      </c>
    </row>
    <row r="184" spans="1:68" ht="25.5" customHeight="1" thickTop="1" thickBot="1" x14ac:dyDescent="0.2">
      <c r="A184" s="17">
        <f t="shared" si="16"/>
        <v>169</v>
      </c>
      <c r="B184" s="1044"/>
      <c r="C184" s="1045"/>
      <c r="D184" s="38"/>
      <c r="E184" s="954"/>
      <c r="F184" s="53"/>
      <c r="G184" s="39"/>
      <c r="H184" s="1050"/>
      <c r="I184" s="684" t="str">
        <f t="shared" si="12"/>
        <v/>
      </c>
      <c r="J184" s="754">
        <f t="shared" si="13"/>
        <v>0</v>
      </c>
      <c r="K184" s="1249"/>
      <c r="L184" s="1250"/>
      <c r="M184" s="1250"/>
      <c r="N184" s="773" t="str">
        <f t="shared" si="17"/>
        <v/>
      </c>
      <c r="O184" s="774" t="str">
        <f>IF('Set up ~ Config'!$G$32=6,IF(OR($N184=7,$N184=8,$N184=9),1,IF(OR($N184=10,$N184=11,$N184=12),2,IF(OR($N184=1,$N184=2,$N184=3),3,IF(OR($N184=4,$N184=5,$N184=6),4,"")))),IF(OR($N184=9,$N184=10,$N184=11),1,IF(OR($N184=12,$N184=1,$N184=2),2,IF(OR($N184=3,$N184=4,$N184=5),3,IF(OR($N184=6,$N184=7,$N184=8),4,"")))))</f>
        <v/>
      </c>
      <c r="P184" s="40"/>
      <c r="Q184" s="63"/>
      <c r="R184" s="64"/>
      <c r="S184" s="755">
        <f t="shared" si="14"/>
        <v>0</v>
      </c>
      <c r="T184" s="64"/>
      <c r="U184" s="64"/>
      <c r="V184" s="64"/>
      <c r="W184" s="64"/>
      <c r="X184" s="64"/>
      <c r="Y184" s="64"/>
      <c r="Z184" s="64"/>
      <c r="AA184" s="64"/>
      <c r="AB184" s="65"/>
      <c r="AC184" s="70"/>
      <c r="AD184" s="71"/>
      <c r="AE184" s="64"/>
      <c r="AF184" s="64"/>
      <c r="AG184" s="64"/>
      <c r="AH184" s="64"/>
      <c r="AI184" s="65"/>
      <c r="AJ184" s="65"/>
      <c r="AK184" s="64"/>
      <c r="AL184" s="74"/>
      <c r="AM184" s="48"/>
      <c r="AN184" s="64"/>
      <c r="AO184" s="64"/>
      <c r="AP184" s="64"/>
      <c r="AQ184" s="64"/>
      <c r="AR184" s="64"/>
      <c r="AS184" s="64"/>
      <c r="AT184" s="64"/>
      <c r="AU184" s="66"/>
      <c r="AV184" s="75"/>
      <c r="AW184" s="65"/>
      <c r="AX184" s="65"/>
      <c r="AY184" s="65"/>
      <c r="AZ184" s="65"/>
      <c r="BA184" s="65"/>
      <c r="BB184" s="65"/>
      <c r="BC184" s="65"/>
      <c r="BD184" s="66"/>
      <c r="BE184" s="48"/>
      <c r="BF184" s="64"/>
      <c r="BG184" s="64"/>
      <c r="BH184" s="66"/>
      <c r="BI184" s="63"/>
      <c r="BJ184" s="64"/>
      <c r="BK184" s="66"/>
      <c r="BL184" s="48"/>
      <c r="BM184" s="64"/>
      <c r="BN184" s="65"/>
      <c r="BO184" s="76"/>
      <c r="BP184" s="37">
        <f t="shared" si="15"/>
        <v>0</v>
      </c>
    </row>
    <row r="185" spans="1:68" ht="25.5" customHeight="1" thickTop="1" thickBot="1" x14ac:dyDescent="0.2">
      <c r="A185" s="17">
        <f t="shared" si="16"/>
        <v>170</v>
      </c>
      <c r="B185" s="1044"/>
      <c r="C185" s="1045"/>
      <c r="D185" s="38"/>
      <c r="E185" s="954"/>
      <c r="F185" s="53"/>
      <c r="G185" s="39"/>
      <c r="H185" s="1050"/>
      <c r="I185" s="684" t="str">
        <f t="shared" si="12"/>
        <v/>
      </c>
      <c r="J185" s="754">
        <f t="shared" si="13"/>
        <v>0</v>
      </c>
      <c r="K185" s="1249"/>
      <c r="L185" s="1250"/>
      <c r="M185" s="1250"/>
      <c r="N185" s="773" t="str">
        <f t="shared" si="17"/>
        <v/>
      </c>
      <c r="O185" s="774" t="str">
        <f>IF('Set up ~ Config'!$G$32=6,IF(OR($N185=7,$N185=8,$N185=9),1,IF(OR($N185=10,$N185=11,$N185=12),2,IF(OR($N185=1,$N185=2,$N185=3),3,IF(OR($N185=4,$N185=5,$N185=6),4,"")))),IF(OR($N185=9,$N185=10,$N185=11),1,IF(OR($N185=12,$N185=1,$N185=2),2,IF(OR($N185=3,$N185=4,$N185=5),3,IF(OR($N185=6,$N185=7,$N185=8),4,"")))))</f>
        <v/>
      </c>
      <c r="P185" s="40"/>
      <c r="Q185" s="63"/>
      <c r="R185" s="64"/>
      <c r="S185" s="755">
        <f t="shared" si="14"/>
        <v>0</v>
      </c>
      <c r="T185" s="64"/>
      <c r="U185" s="64"/>
      <c r="V185" s="64"/>
      <c r="W185" s="64"/>
      <c r="X185" s="64"/>
      <c r="Y185" s="64"/>
      <c r="Z185" s="64"/>
      <c r="AA185" s="64"/>
      <c r="AB185" s="65"/>
      <c r="AC185" s="70"/>
      <c r="AD185" s="71"/>
      <c r="AE185" s="64"/>
      <c r="AF185" s="64"/>
      <c r="AG185" s="64"/>
      <c r="AH185" s="64"/>
      <c r="AI185" s="65"/>
      <c r="AJ185" s="65"/>
      <c r="AK185" s="64"/>
      <c r="AL185" s="74"/>
      <c r="AM185" s="48"/>
      <c r="AN185" s="64"/>
      <c r="AO185" s="64"/>
      <c r="AP185" s="64"/>
      <c r="AQ185" s="64"/>
      <c r="AR185" s="64"/>
      <c r="AS185" s="64"/>
      <c r="AT185" s="64"/>
      <c r="AU185" s="66"/>
      <c r="AV185" s="75"/>
      <c r="AW185" s="65"/>
      <c r="AX185" s="65"/>
      <c r="AY185" s="65"/>
      <c r="AZ185" s="65"/>
      <c r="BA185" s="65"/>
      <c r="BB185" s="65"/>
      <c r="BC185" s="65"/>
      <c r="BD185" s="66"/>
      <c r="BE185" s="48"/>
      <c r="BF185" s="64"/>
      <c r="BG185" s="64"/>
      <c r="BH185" s="66"/>
      <c r="BI185" s="63"/>
      <c r="BJ185" s="64"/>
      <c r="BK185" s="66"/>
      <c r="BL185" s="48"/>
      <c r="BM185" s="64"/>
      <c r="BN185" s="65"/>
      <c r="BO185" s="76"/>
      <c r="BP185" s="37">
        <f t="shared" si="15"/>
        <v>0</v>
      </c>
    </row>
    <row r="186" spans="1:68" ht="25.5" customHeight="1" thickTop="1" thickBot="1" x14ac:dyDescent="0.2">
      <c r="A186" s="17">
        <f t="shared" si="16"/>
        <v>171</v>
      </c>
      <c r="B186" s="1044"/>
      <c r="C186" s="1045"/>
      <c r="D186" s="38"/>
      <c r="E186" s="954"/>
      <c r="F186" s="53"/>
      <c r="G186" s="39"/>
      <c r="H186" s="1050"/>
      <c r="I186" s="684" t="str">
        <f t="shared" si="12"/>
        <v/>
      </c>
      <c r="J186" s="754">
        <f t="shared" si="13"/>
        <v>0</v>
      </c>
      <c r="K186" s="1249"/>
      <c r="L186" s="1250"/>
      <c r="M186" s="1250"/>
      <c r="N186" s="773" t="str">
        <f t="shared" si="17"/>
        <v/>
      </c>
      <c r="O186" s="774" t="str">
        <f>IF('Set up ~ Config'!$G$32=6,IF(OR($N186=7,$N186=8,$N186=9),1,IF(OR($N186=10,$N186=11,$N186=12),2,IF(OR($N186=1,$N186=2,$N186=3),3,IF(OR($N186=4,$N186=5,$N186=6),4,"")))),IF(OR($N186=9,$N186=10,$N186=11),1,IF(OR($N186=12,$N186=1,$N186=2),2,IF(OR($N186=3,$N186=4,$N186=5),3,IF(OR($N186=6,$N186=7,$N186=8),4,"")))))</f>
        <v/>
      </c>
      <c r="P186" s="40"/>
      <c r="Q186" s="63"/>
      <c r="R186" s="64"/>
      <c r="S186" s="755">
        <f t="shared" si="14"/>
        <v>0</v>
      </c>
      <c r="T186" s="64"/>
      <c r="U186" s="64"/>
      <c r="V186" s="64"/>
      <c r="W186" s="64"/>
      <c r="X186" s="64"/>
      <c r="Y186" s="64"/>
      <c r="Z186" s="64"/>
      <c r="AA186" s="64"/>
      <c r="AB186" s="65"/>
      <c r="AC186" s="70"/>
      <c r="AD186" s="71"/>
      <c r="AE186" s="64"/>
      <c r="AF186" s="64"/>
      <c r="AG186" s="64"/>
      <c r="AH186" s="64"/>
      <c r="AI186" s="65"/>
      <c r="AJ186" s="65"/>
      <c r="AK186" s="64"/>
      <c r="AL186" s="74"/>
      <c r="AM186" s="48"/>
      <c r="AN186" s="64"/>
      <c r="AO186" s="64"/>
      <c r="AP186" s="64"/>
      <c r="AQ186" s="64"/>
      <c r="AR186" s="64"/>
      <c r="AS186" s="64"/>
      <c r="AT186" s="64"/>
      <c r="AU186" s="66"/>
      <c r="AV186" s="75"/>
      <c r="AW186" s="65"/>
      <c r="AX186" s="65"/>
      <c r="AY186" s="65"/>
      <c r="AZ186" s="65"/>
      <c r="BA186" s="65"/>
      <c r="BB186" s="65"/>
      <c r="BC186" s="65"/>
      <c r="BD186" s="66"/>
      <c r="BE186" s="48"/>
      <c r="BF186" s="64"/>
      <c r="BG186" s="64"/>
      <c r="BH186" s="66"/>
      <c r="BI186" s="63"/>
      <c r="BJ186" s="64"/>
      <c r="BK186" s="66"/>
      <c r="BL186" s="48"/>
      <c r="BM186" s="64"/>
      <c r="BN186" s="65"/>
      <c r="BO186" s="76"/>
      <c r="BP186" s="37">
        <f t="shared" si="15"/>
        <v>0</v>
      </c>
    </row>
    <row r="187" spans="1:68" ht="25.5" customHeight="1" thickTop="1" thickBot="1" x14ac:dyDescent="0.2">
      <c r="A187" s="17">
        <f t="shared" si="16"/>
        <v>172</v>
      </c>
      <c r="B187" s="1044"/>
      <c r="C187" s="1045"/>
      <c r="D187" s="38"/>
      <c r="E187" s="954"/>
      <c r="F187" s="53"/>
      <c r="G187" s="39"/>
      <c r="H187" s="1050"/>
      <c r="I187" s="684" t="str">
        <f t="shared" si="12"/>
        <v/>
      </c>
      <c r="J187" s="754">
        <f t="shared" si="13"/>
        <v>0</v>
      </c>
      <c r="K187" s="1249"/>
      <c r="L187" s="1250"/>
      <c r="M187" s="1250"/>
      <c r="N187" s="773" t="str">
        <f t="shared" si="17"/>
        <v/>
      </c>
      <c r="O187" s="774" t="str">
        <f>IF('Set up ~ Config'!$G$32=6,IF(OR($N187=7,$N187=8,$N187=9),1,IF(OR($N187=10,$N187=11,$N187=12),2,IF(OR($N187=1,$N187=2,$N187=3),3,IF(OR($N187=4,$N187=5,$N187=6),4,"")))),IF(OR($N187=9,$N187=10,$N187=11),1,IF(OR($N187=12,$N187=1,$N187=2),2,IF(OR($N187=3,$N187=4,$N187=5),3,IF(OR($N187=6,$N187=7,$N187=8),4,"")))))</f>
        <v/>
      </c>
      <c r="P187" s="40"/>
      <c r="Q187" s="63"/>
      <c r="R187" s="64"/>
      <c r="S187" s="755">
        <f t="shared" si="14"/>
        <v>0</v>
      </c>
      <c r="T187" s="64"/>
      <c r="U187" s="64"/>
      <c r="V187" s="64"/>
      <c r="W187" s="64"/>
      <c r="X187" s="64"/>
      <c r="Y187" s="64"/>
      <c r="Z187" s="64"/>
      <c r="AA187" s="64"/>
      <c r="AB187" s="65"/>
      <c r="AC187" s="70"/>
      <c r="AD187" s="71"/>
      <c r="AE187" s="64"/>
      <c r="AF187" s="64"/>
      <c r="AG187" s="64"/>
      <c r="AH187" s="64"/>
      <c r="AI187" s="65"/>
      <c r="AJ187" s="65"/>
      <c r="AK187" s="64"/>
      <c r="AL187" s="74"/>
      <c r="AM187" s="48"/>
      <c r="AN187" s="64"/>
      <c r="AO187" s="64"/>
      <c r="AP187" s="64"/>
      <c r="AQ187" s="64"/>
      <c r="AR187" s="64"/>
      <c r="AS187" s="64"/>
      <c r="AT187" s="64"/>
      <c r="AU187" s="66"/>
      <c r="AV187" s="75"/>
      <c r="AW187" s="65"/>
      <c r="AX187" s="65"/>
      <c r="AY187" s="65"/>
      <c r="AZ187" s="65"/>
      <c r="BA187" s="65"/>
      <c r="BB187" s="65"/>
      <c r="BC187" s="65"/>
      <c r="BD187" s="66"/>
      <c r="BE187" s="48"/>
      <c r="BF187" s="64"/>
      <c r="BG187" s="64"/>
      <c r="BH187" s="66"/>
      <c r="BI187" s="63"/>
      <c r="BJ187" s="64"/>
      <c r="BK187" s="66"/>
      <c r="BL187" s="48"/>
      <c r="BM187" s="64"/>
      <c r="BN187" s="65"/>
      <c r="BO187" s="76"/>
      <c r="BP187" s="37">
        <f t="shared" si="15"/>
        <v>0</v>
      </c>
    </row>
    <row r="188" spans="1:68" ht="25.5" customHeight="1" thickTop="1" thickBot="1" x14ac:dyDescent="0.2">
      <c r="A188" s="17">
        <f t="shared" si="16"/>
        <v>173</v>
      </c>
      <c r="B188" s="1044"/>
      <c r="C188" s="1045"/>
      <c r="D188" s="38"/>
      <c r="E188" s="954"/>
      <c r="F188" s="53"/>
      <c r="G188" s="39"/>
      <c r="H188" s="1050"/>
      <c r="I188" s="684" t="str">
        <f t="shared" si="12"/>
        <v/>
      </c>
      <c r="J188" s="754">
        <f t="shared" si="13"/>
        <v>0</v>
      </c>
      <c r="K188" s="1249"/>
      <c r="L188" s="1250"/>
      <c r="M188" s="1250"/>
      <c r="N188" s="773" t="str">
        <f t="shared" si="17"/>
        <v/>
      </c>
      <c r="O188" s="774" t="str">
        <f>IF('Set up ~ Config'!$G$32=6,IF(OR($N188=7,$N188=8,$N188=9),1,IF(OR($N188=10,$N188=11,$N188=12),2,IF(OR($N188=1,$N188=2,$N188=3),3,IF(OR($N188=4,$N188=5,$N188=6),4,"")))),IF(OR($N188=9,$N188=10,$N188=11),1,IF(OR($N188=12,$N188=1,$N188=2),2,IF(OR($N188=3,$N188=4,$N188=5),3,IF(OR($N188=6,$N188=7,$N188=8),4,"")))))</f>
        <v/>
      </c>
      <c r="P188" s="40"/>
      <c r="Q188" s="63"/>
      <c r="R188" s="64"/>
      <c r="S188" s="755">
        <f t="shared" si="14"/>
        <v>0</v>
      </c>
      <c r="T188" s="64"/>
      <c r="U188" s="64"/>
      <c r="V188" s="64"/>
      <c r="W188" s="64"/>
      <c r="X188" s="64"/>
      <c r="Y188" s="64"/>
      <c r="Z188" s="64"/>
      <c r="AA188" s="64"/>
      <c r="AB188" s="65"/>
      <c r="AC188" s="70"/>
      <c r="AD188" s="71"/>
      <c r="AE188" s="64"/>
      <c r="AF188" s="64"/>
      <c r="AG188" s="64"/>
      <c r="AH188" s="64"/>
      <c r="AI188" s="65"/>
      <c r="AJ188" s="65"/>
      <c r="AK188" s="64"/>
      <c r="AL188" s="74"/>
      <c r="AM188" s="48"/>
      <c r="AN188" s="64"/>
      <c r="AO188" s="64"/>
      <c r="AP188" s="64"/>
      <c r="AQ188" s="64"/>
      <c r="AR188" s="64"/>
      <c r="AS188" s="64"/>
      <c r="AT188" s="64"/>
      <c r="AU188" s="66"/>
      <c r="AV188" s="75"/>
      <c r="AW188" s="65"/>
      <c r="AX188" s="65"/>
      <c r="AY188" s="65"/>
      <c r="AZ188" s="65"/>
      <c r="BA188" s="65"/>
      <c r="BB188" s="65"/>
      <c r="BC188" s="65"/>
      <c r="BD188" s="66"/>
      <c r="BE188" s="48"/>
      <c r="BF188" s="64"/>
      <c r="BG188" s="64"/>
      <c r="BH188" s="66"/>
      <c r="BI188" s="63"/>
      <c r="BJ188" s="64"/>
      <c r="BK188" s="66"/>
      <c r="BL188" s="48"/>
      <c r="BM188" s="64"/>
      <c r="BN188" s="65"/>
      <c r="BO188" s="76"/>
      <c r="BP188" s="37">
        <f t="shared" si="15"/>
        <v>0</v>
      </c>
    </row>
    <row r="189" spans="1:68" ht="25.5" customHeight="1" thickTop="1" thickBot="1" x14ac:dyDescent="0.2">
      <c r="A189" s="17">
        <f t="shared" si="16"/>
        <v>174</v>
      </c>
      <c r="B189" s="1044"/>
      <c r="C189" s="1045"/>
      <c r="D189" s="38"/>
      <c r="E189" s="954"/>
      <c r="F189" s="53"/>
      <c r="G189" s="39"/>
      <c r="H189" s="1050"/>
      <c r="I189" s="684" t="str">
        <f t="shared" si="12"/>
        <v/>
      </c>
      <c r="J189" s="754">
        <f t="shared" si="13"/>
        <v>0</v>
      </c>
      <c r="K189" s="1249"/>
      <c r="L189" s="1250"/>
      <c r="M189" s="1250"/>
      <c r="N189" s="773" t="str">
        <f t="shared" si="17"/>
        <v/>
      </c>
      <c r="O189" s="774" t="str">
        <f>IF('Set up ~ Config'!$G$32=6,IF(OR($N189=7,$N189=8,$N189=9),1,IF(OR($N189=10,$N189=11,$N189=12),2,IF(OR($N189=1,$N189=2,$N189=3),3,IF(OR($N189=4,$N189=5,$N189=6),4,"")))),IF(OR($N189=9,$N189=10,$N189=11),1,IF(OR($N189=12,$N189=1,$N189=2),2,IF(OR($N189=3,$N189=4,$N189=5),3,IF(OR($N189=6,$N189=7,$N189=8),4,"")))))</f>
        <v/>
      </c>
      <c r="P189" s="40"/>
      <c r="Q189" s="63"/>
      <c r="R189" s="64"/>
      <c r="S189" s="755">
        <f t="shared" si="14"/>
        <v>0</v>
      </c>
      <c r="T189" s="64"/>
      <c r="U189" s="64"/>
      <c r="V189" s="64"/>
      <c r="W189" s="64"/>
      <c r="X189" s="64"/>
      <c r="Y189" s="64"/>
      <c r="Z189" s="64"/>
      <c r="AA189" s="64"/>
      <c r="AB189" s="65"/>
      <c r="AC189" s="70"/>
      <c r="AD189" s="71"/>
      <c r="AE189" s="64"/>
      <c r="AF189" s="64"/>
      <c r="AG189" s="64"/>
      <c r="AH189" s="64"/>
      <c r="AI189" s="65"/>
      <c r="AJ189" s="65"/>
      <c r="AK189" s="64"/>
      <c r="AL189" s="74"/>
      <c r="AM189" s="48"/>
      <c r="AN189" s="64"/>
      <c r="AO189" s="64"/>
      <c r="AP189" s="64"/>
      <c r="AQ189" s="64"/>
      <c r="AR189" s="64"/>
      <c r="AS189" s="64"/>
      <c r="AT189" s="64"/>
      <c r="AU189" s="66"/>
      <c r="AV189" s="75"/>
      <c r="AW189" s="65"/>
      <c r="AX189" s="65"/>
      <c r="AY189" s="65"/>
      <c r="AZ189" s="65"/>
      <c r="BA189" s="65"/>
      <c r="BB189" s="65"/>
      <c r="BC189" s="65"/>
      <c r="BD189" s="66"/>
      <c r="BE189" s="48"/>
      <c r="BF189" s="64"/>
      <c r="BG189" s="64"/>
      <c r="BH189" s="66"/>
      <c r="BI189" s="63"/>
      <c r="BJ189" s="64"/>
      <c r="BK189" s="66"/>
      <c r="BL189" s="48"/>
      <c r="BM189" s="64"/>
      <c r="BN189" s="65"/>
      <c r="BO189" s="76"/>
      <c r="BP189" s="37">
        <f t="shared" si="15"/>
        <v>0</v>
      </c>
    </row>
    <row r="190" spans="1:68" ht="25.5" customHeight="1" thickTop="1" thickBot="1" x14ac:dyDescent="0.2">
      <c r="A190" s="17">
        <f t="shared" si="16"/>
        <v>175</v>
      </c>
      <c r="B190" s="1044"/>
      <c r="C190" s="1045"/>
      <c r="D190" s="38"/>
      <c r="E190" s="954"/>
      <c r="F190" s="53"/>
      <c r="G190" s="39"/>
      <c r="H190" s="1050"/>
      <c r="I190" s="684" t="str">
        <f t="shared" si="12"/>
        <v/>
      </c>
      <c r="J190" s="754">
        <f t="shared" si="13"/>
        <v>0</v>
      </c>
      <c r="K190" s="1249"/>
      <c r="L190" s="1250"/>
      <c r="M190" s="1250"/>
      <c r="N190" s="773" t="str">
        <f t="shared" si="17"/>
        <v/>
      </c>
      <c r="O190" s="774" t="str">
        <f>IF('Set up ~ Config'!$G$32=6,IF(OR($N190=7,$N190=8,$N190=9),1,IF(OR($N190=10,$N190=11,$N190=12),2,IF(OR($N190=1,$N190=2,$N190=3),3,IF(OR($N190=4,$N190=5,$N190=6),4,"")))),IF(OR($N190=9,$N190=10,$N190=11),1,IF(OR($N190=12,$N190=1,$N190=2),2,IF(OR($N190=3,$N190=4,$N190=5),3,IF(OR($N190=6,$N190=7,$N190=8),4,"")))))</f>
        <v/>
      </c>
      <c r="P190" s="40"/>
      <c r="Q190" s="63"/>
      <c r="R190" s="64"/>
      <c r="S190" s="755">
        <f t="shared" si="14"/>
        <v>0</v>
      </c>
      <c r="T190" s="64"/>
      <c r="U190" s="64"/>
      <c r="V190" s="64"/>
      <c r="W190" s="64"/>
      <c r="X190" s="64"/>
      <c r="Y190" s="64"/>
      <c r="Z190" s="64"/>
      <c r="AA190" s="64"/>
      <c r="AB190" s="65"/>
      <c r="AC190" s="70"/>
      <c r="AD190" s="71"/>
      <c r="AE190" s="64"/>
      <c r="AF190" s="64"/>
      <c r="AG190" s="64"/>
      <c r="AH190" s="64"/>
      <c r="AI190" s="65"/>
      <c r="AJ190" s="65"/>
      <c r="AK190" s="64"/>
      <c r="AL190" s="74"/>
      <c r="AM190" s="48"/>
      <c r="AN190" s="64"/>
      <c r="AO190" s="64"/>
      <c r="AP190" s="64"/>
      <c r="AQ190" s="64"/>
      <c r="AR190" s="64"/>
      <c r="AS190" s="64"/>
      <c r="AT190" s="64"/>
      <c r="AU190" s="66"/>
      <c r="AV190" s="75"/>
      <c r="AW190" s="65"/>
      <c r="AX190" s="65"/>
      <c r="AY190" s="65"/>
      <c r="AZ190" s="65"/>
      <c r="BA190" s="65"/>
      <c r="BB190" s="65"/>
      <c r="BC190" s="65"/>
      <c r="BD190" s="66"/>
      <c r="BE190" s="48"/>
      <c r="BF190" s="64"/>
      <c r="BG190" s="64"/>
      <c r="BH190" s="66"/>
      <c r="BI190" s="63"/>
      <c r="BJ190" s="64"/>
      <c r="BK190" s="66"/>
      <c r="BL190" s="48"/>
      <c r="BM190" s="64"/>
      <c r="BN190" s="65"/>
      <c r="BO190" s="76"/>
      <c r="BP190" s="37">
        <f t="shared" si="15"/>
        <v>0</v>
      </c>
    </row>
    <row r="191" spans="1:68" ht="25.5" customHeight="1" thickTop="1" thickBot="1" x14ac:dyDescent="0.2">
      <c r="A191" s="17">
        <f t="shared" si="16"/>
        <v>176</v>
      </c>
      <c r="B191" s="1044"/>
      <c r="C191" s="1045"/>
      <c r="D191" s="38"/>
      <c r="E191" s="954"/>
      <c r="F191" s="53"/>
      <c r="G191" s="39"/>
      <c r="H191" s="1050"/>
      <c r="I191" s="684" t="str">
        <f t="shared" si="12"/>
        <v/>
      </c>
      <c r="J191" s="754">
        <f t="shared" si="13"/>
        <v>0</v>
      </c>
      <c r="K191" s="1249"/>
      <c r="L191" s="1250"/>
      <c r="M191" s="1250"/>
      <c r="N191" s="773" t="str">
        <f t="shared" si="17"/>
        <v/>
      </c>
      <c r="O191" s="774" t="str">
        <f>IF('Set up ~ Config'!$G$32=6,IF(OR($N191=7,$N191=8,$N191=9),1,IF(OR($N191=10,$N191=11,$N191=12),2,IF(OR($N191=1,$N191=2,$N191=3),3,IF(OR($N191=4,$N191=5,$N191=6),4,"")))),IF(OR($N191=9,$N191=10,$N191=11),1,IF(OR($N191=12,$N191=1,$N191=2),2,IF(OR($N191=3,$N191=4,$N191=5),3,IF(OR($N191=6,$N191=7,$N191=8),4,"")))))</f>
        <v/>
      </c>
      <c r="P191" s="40"/>
      <c r="Q191" s="63"/>
      <c r="R191" s="64"/>
      <c r="S191" s="755">
        <f t="shared" si="14"/>
        <v>0</v>
      </c>
      <c r="T191" s="64"/>
      <c r="U191" s="64"/>
      <c r="V191" s="64"/>
      <c r="W191" s="64"/>
      <c r="X191" s="64"/>
      <c r="Y191" s="64"/>
      <c r="Z191" s="64"/>
      <c r="AA191" s="64"/>
      <c r="AB191" s="65"/>
      <c r="AC191" s="70"/>
      <c r="AD191" s="71"/>
      <c r="AE191" s="64"/>
      <c r="AF191" s="64"/>
      <c r="AG191" s="64"/>
      <c r="AH191" s="64"/>
      <c r="AI191" s="65"/>
      <c r="AJ191" s="65"/>
      <c r="AK191" s="64"/>
      <c r="AL191" s="74"/>
      <c r="AM191" s="48"/>
      <c r="AN191" s="64"/>
      <c r="AO191" s="64"/>
      <c r="AP191" s="64"/>
      <c r="AQ191" s="64"/>
      <c r="AR191" s="64"/>
      <c r="AS191" s="64"/>
      <c r="AT191" s="64"/>
      <c r="AU191" s="66"/>
      <c r="AV191" s="75"/>
      <c r="AW191" s="65"/>
      <c r="AX191" s="65"/>
      <c r="AY191" s="65"/>
      <c r="AZ191" s="65"/>
      <c r="BA191" s="65"/>
      <c r="BB191" s="65"/>
      <c r="BC191" s="65"/>
      <c r="BD191" s="66"/>
      <c r="BE191" s="48"/>
      <c r="BF191" s="64"/>
      <c r="BG191" s="64"/>
      <c r="BH191" s="66"/>
      <c r="BI191" s="63"/>
      <c r="BJ191" s="64"/>
      <c r="BK191" s="66"/>
      <c r="BL191" s="48"/>
      <c r="BM191" s="64"/>
      <c r="BN191" s="65"/>
      <c r="BO191" s="76"/>
      <c r="BP191" s="37">
        <f t="shared" si="15"/>
        <v>0</v>
      </c>
    </row>
    <row r="192" spans="1:68" ht="25.5" customHeight="1" thickTop="1" thickBot="1" x14ac:dyDescent="0.2">
      <c r="A192" s="17">
        <f t="shared" si="16"/>
        <v>177</v>
      </c>
      <c r="B192" s="1044"/>
      <c r="C192" s="1045"/>
      <c r="D192" s="38"/>
      <c r="E192" s="954"/>
      <c r="F192" s="53"/>
      <c r="G192" s="39"/>
      <c r="H192" s="1050"/>
      <c r="I192" s="684" t="str">
        <f t="shared" si="12"/>
        <v/>
      </c>
      <c r="J192" s="754">
        <f t="shared" si="13"/>
        <v>0</v>
      </c>
      <c r="K192" s="1249"/>
      <c r="L192" s="1250"/>
      <c r="M192" s="1250"/>
      <c r="N192" s="773" t="str">
        <f t="shared" si="17"/>
        <v/>
      </c>
      <c r="O192" s="774" t="str">
        <f>IF('Set up ~ Config'!$G$32=6,IF(OR($N192=7,$N192=8,$N192=9),1,IF(OR($N192=10,$N192=11,$N192=12),2,IF(OR($N192=1,$N192=2,$N192=3),3,IF(OR($N192=4,$N192=5,$N192=6),4,"")))),IF(OR($N192=9,$N192=10,$N192=11),1,IF(OR($N192=12,$N192=1,$N192=2),2,IF(OR($N192=3,$N192=4,$N192=5),3,IF(OR($N192=6,$N192=7,$N192=8),4,"")))))</f>
        <v/>
      </c>
      <c r="P192" s="40"/>
      <c r="Q192" s="63"/>
      <c r="R192" s="64"/>
      <c r="S192" s="755">
        <f t="shared" si="14"/>
        <v>0</v>
      </c>
      <c r="T192" s="64"/>
      <c r="U192" s="64"/>
      <c r="V192" s="64"/>
      <c r="W192" s="64"/>
      <c r="X192" s="64"/>
      <c r="Y192" s="64"/>
      <c r="Z192" s="64"/>
      <c r="AA192" s="64"/>
      <c r="AB192" s="65"/>
      <c r="AC192" s="70"/>
      <c r="AD192" s="71"/>
      <c r="AE192" s="64"/>
      <c r="AF192" s="64"/>
      <c r="AG192" s="64"/>
      <c r="AH192" s="64"/>
      <c r="AI192" s="65"/>
      <c r="AJ192" s="65"/>
      <c r="AK192" s="64"/>
      <c r="AL192" s="74"/>
      <c r="AM192" s="48"/>
      <c r="AN192" s="64"/>
      <c r="AO192" s="64"/>
      <c r="AP192" s="64"/>
      <c r="AQ192" s="64"/>
      <c r="AR192" s="64"/>
      <c r="AS192" s="64"/>
      <c r="AT192" s="64"/>
      <c r="AU192" s="66"/>
      <c r="AV192" s="75"/>
      <c r="AW192" s="65"/>
      <c r="AX192" s="65"/>
      <c r="AY192" s="65"/>
      <c r="AZ192" s="65"/>
      <c r="BA192" s="65"/>
      <c r="BB192" s="65"/>
      <c r="BC192" s="65"/>
      <c r="BD192" s="66"/>
      <c r="BE192" s="48"/>
      <c r="BF192" s="64"/>
      <c r="BG192" s="64"/>
      <c r="BH192" s="66"/>
      <c r="BI192" s="63"/>
      <c r="BJ192" s="64"/>
      <c r="BK192" s="66"/>
      <c r="BL192" s="48"/>
      <c r="BM192" s="64"/>
      <c r="BN192" s="65"/>
      <c r="BO192" s="76"/>
      <c r="BP192" s="37">
        <f t="shared" si="15"/>
        <v>0</v>
      </c>
    </row>
    <row r="193" spans="1:68" ht="25.5" customHeight="1" thickTop="1" thickBot="1" x14ac:dyDescent="0.2">
      <c r="A193" s="17">
        <f t="shared" si="16"/>
        <v>178</v>
      </c>
      <c r="B193" s="1044"/>
      <c r="C193" s="1045"/>
      <c r="D193" s="38"/>
      <c r="E193" s="954"/>
      <c r="F193" s="53"/>
      <c r="G193" s="39"/>
      <c r="H193" s="1050"/>
      <c r="I193" s="684" t="str">
        <f t="shared" si="12"/>
        <v/>
      </c>
      <c r="J193" s="754">
        <f t="shared" si="13"/>
        <v>0</v>
      </c>
      <c r="K193" s="1249"/>
      <c r="L193" s="1250"/>
      <c r="M193" s="1250"/>
      <c r="N193" s="773" t="str">
        <f t="shared" si="17"/>
        <v/>
      </c>
      <c r="O193" s="774" t="str">
        <f>IF('Set up ~ Config'!$G$32=6,IF(OR($N193=7,$N193=8,$N193=9),1,IF(OR($N193=10,$N193=11,$N193=12),2,IF(OR($N193=1,$N193=2,$N193=3),3,IF(OR($N193=4,$N193=5,$N193=6),4,"")))),IF(OR($N193=9,$N193=10,$N193=11),1,IF(OR($N193=12,$N193=1,$N193=2),2,IF(OR($N193=3,$N193=4,$N193=5),3,IF(OR($N193=6,$N193=7,$N193=8),4,"")))))</f>
        <v/>
      </c>
      <c r="P193" s="40"/>
      <c r="Q193" s="63"/>
      <c r="R193" s="64"/>
      <c r="S193" s="755">
        <f t="shared" si="14"/>
        <v>0</v>
      </c>
      <c r="T193" s="64"/>
      <c r="U193" s="64"/>
      <c r="V193" s="64"/>
      <c r="W193" s="64"/>
      <c r="X193" s="64"/>
      <c r="Y193" s="64"/>
      <c r="Z193" s="64"/>
      <c r="AA193" s="64"/>
      <c r="AB193" s="65"/>
      <c r="AC193" s="70"/>
      <c r="AD193" s="71"/>
      <c r="AE193" s="64"/>
      <c r="AF193" s="64"/>
      <c r="AG193" s="64"/>
      <c r="AH193" s="64"/>
      <c r="AI193" s="65"/>
      <c r="AJ193" s="65"/>
      <c r="AK193" s="64"/>
      <c r="AL193" s="74"/>
      <c r="AM193" s="48"/>
      <c r="AN193" s="64"/>
      <c r="AO193" s="64"/>
      <c r="AP193" s="64"/>
      <c r="AQ193" s="64"/>
      <c r="AR193" s="64"/>
      <c r="AS193" s="64"/>
      <c r="AT193" s="64"/>
      <c r="AU193" s="66"/>
      <c r="AV193" s="75"/>
      <c r="AW193" s="65"/>
      <c r="AX193" s="65"/>
      <c r="AY193" s="65"/>
      <c r="AZ193" s="65"/>
      <c r="BA193" s="65"/>
      <c r="BB193" s="65"/>
      <c r="BC193" s="65"/>
      <c r="BD193" s="66"/>
      <c r="BE193" s="48"/>
      <c r="BF193" s="64"/>
      <c r="BG193" s="64"/>
      <c r="BH193" s="66"/>
      <c r="BI193" s="63"/>
      <c r="BJ193" s="64"/>
      <c r="BK193" s="66"/>
      <c r="BL193" s="48"/>
      <c r="BM193" s="64"/>
      <c r="BN193" s="65"/>
      <c r="BO193" s="76"/>
      <c r="BP193" s="37">
        <f t="shared" si="15"/>
        <v>0</v>
      </c>
    </row>
    <row r="194" spans="1:68" ht="25.5" customHeight="1" thickTop="1" thickBot="1" x14ac:dyDescent="0.2">
      <c r="A194" s="17">
        <f t="shared" si="16"/>
        <v>179</v>
      </c>
      <c r="B194" s="1044"/>
      <c r="C194" s="1045"/>
      <c r="D194" s="38"/>
      <c r="E194" s="954"/>
      <c r="F194" s="53"/>
      <c r="G194" s="39"/>
      <c r="H194" s="1050"/>
      <c r="I194" s="684" t="str">
        <f t="shared" si="12"/>
        <v/>
      </c>
      <c r="J194" s="754">
        <f t="shared" si="13"/>
        <v>0</v>
      </c>
      <c r="K194" s="1249"/>
      <c r="L194" s="1250"/>
      <c r="M194" s="1250"/>
      <c r="N194" s="773" t="str">
        <f t="shared" si="17"/>
        <v/>
      </c>
      <c r="O194" s="774" t="str">
        <f>IF('Set up ~ Config'!$G$32=6,IF(OR($N194=7,$N194=8,$N194=9),1,IF(OR($N194=10,$N194=11,$N194=12),2,IF(OR($N194=1,$N194=2,$N194=3),3,IF(OR($N194=4,$N194=5,$N194=6),4,"")))),IF(OR($N194=9,$N194=10,$N194=11),1,IF(OR($N194=12,$N194=1,$N194=2),2,IF(OR($N194=3,$N194=4,$N194=5),3,IF(OR($N194=6,$N194=7,$N194=8),4,"")))))</f>
        <v/>
      </c>
      <c r="P194" s="40"/>
      <c r="Q194" s="63"/>
      <c r="R194" s="64"/>
      <c r="S194" s="755">
        <f t="shared" si="14"/>
        <v>0</v>
      </c>
      <c r="T194" s="64"/>
      <c r="U194" s="64"/>
      <c r="V194" s="64"/>
      <c r="W194" s="64"/>
      <c r="X194" s="64"/>
      <c r="Y194" s="64"/>
      <c r="Z194" s="64"/>
      <c r="AA194" s="64"/>
      <c r="AB194" s="65"/>
      <c r="AC194" s="70"/>
      <c r="AD194" s="71"/>
      <c r="AE194" s="64"/>
      <c r="AF194" s="64"/>
      <c r="AG194" s="64"/>
      <c r="AH194" s="64"/>
      <c r="AI194" s="65"/>
      <c r="AJ194" s="65"/>
      <c r="AK194" s="64"/>
      <c r="AL194" s="74"/>
      <c r="AM194" s="48"/>
      <c r="AN194" s="64"/>
      <c r="AO194" s="64"/>
      <c r="AP194" s="64"/>
      <c r="AQ194" s="64"/>
      <c r="AR194" s="64"/>
      <c r="AS194" s="64"/>
      <c r="AT194" s="64"/>
      <c r="AU194" s="66"/>
      <c r="AV194" s="75"/>
      <c r="AW194" s="65"/>
      <c r="AX194" s="65"/>
      <c r="AY194" s="65"/>
      <c r="AZ194" s="65"/>
      <c r="BA194" s="65"/>
      <c r="BB194" s="65"/>
      <c r="BC194" s="65"/>
      <c r="BD194" s="66"/>
      <c r="BE194" s="48"/>
      <c r="BF194" s="64"/>
      <c r="BG194" s="64"/>
      <c r="BH194" s="66"/>
      <c r="BI194" s="63"/>
      <c r="BJ194" s="64"/>
      <c r="BK194" s="66"/>
      <c r="BL194" s="48"/>
      <c r="BM194" s="64"/>
      <c r="BN194" s="65"/>
      <c r="BO194" s="76"/>
      <c r="BP194" s="37">
        <f t="shared" si="15"/>
        <v>0</v>
      </c>
    </row>
    <row r="195" spans="1:68" ht="25.5" customHeight="1" thickTop="1" thickBot="1" x14ac:dyDescent="0.2">
      <c r="A195" s="17">
        <f t="shared" si="16"/>
        <v>180</v>
      </c>
      <c r="B195" s="1044"/>
      <c r="C195" s="1045"/>
      <c r="D195" s="38"/>
      <c r="E195" s="954"/>
      <c r="F195" s="53"/>
      <c r="G195" s="39"/>
      <c r="H195" s="1050"/>
      <c r="I195" s="684" t="str">
        <f t="shared" si="12"/>
        <v/>
      </c>
      <c r="J195" s="754">
        <f t="shared" si="13"/>
        <v>0</v>
      </c>
      <c r="K195" s="1249"/>
      <c r="L195" s="1250"/>
      <c r="M195" s="1250"/>
      <c r="N195" s="773" t="str">
        <f t="shared" si="17"/>
        <v/>
      </c>
      <c r="O195" s="774" t="str">
        <f>IF('Set up ~ Config'!$G$32=6,IF(OR($N195=7,$N195=8,$N195=9),1,IF(OR($N195=10,$N195=11,$N195=12),2,IF(OR($N195=1,$N195=2,$N195=3),3,IF(OR($N195=4,$N195=5,$N195=6),4,"")))),IF(OR($N195=9,$N195=10,$N195=11),1,IF(OR($N195=12,$N195=1,$N195=2),2,IF(OR($N195=3,$N195=4,$N195=5),3,IF(OR($N195=6,$N195=7,$N195=8),4,"")))))</f>
        <v/>
      </c>
      <c r="P195" s="40"/>
      <c r="Q195" s="63"/>
      <c r="R195" s="64"/>
      <c r="S195" s="755">
        <f t="shared" si="14"/>
        <v>0</v>
      </c>
      <c r="T195" s="64"/>
      <c r="U195" s="64"/>
      <c r="V195" s="64"/>
      <c r="W195" s="64"/>
      <c r="X195" s="64"/>
      <c r="Y195" s="64"/>
      <c r="Z195" s="64"/>
      <c r="AA195" s="64"/>
      <c r="AB195" s="65"/>
      <c r="AC195" s="70"/>
      <c r="AD195" s="71"/>
      <c r="AE195" s="64"/>
      <c r="AF195" s="64"/>
      <c r="AG195" s="64"/>
      <c r="AH195" s="64"/>
      <c r="AI195" s="65"/>
      <c r="AJ195" s="65"/>
      <c r="AK195" s="64"/>
      <c r="AL195" s="74"/>
      <c r="AM195" s="48"/>
      <c r="AN195" s="64"/>
      <c r="AO195" s="64"/>
      <c r="AP195" s="64"/>
      <c r="AQ195" s="64"/>
      <c r="AR195" s="64"/>
      <c r="AS195" s="64"/>
      <c r="AT195" s="64"/>
      <c r="AU195" s="66"/>
      <c r="AV195" s="75"/>
      <c r="AW195" s="65"/>
      <c r="AX195" s="65"/>
      <c r="AY195" s="65"/>
      <c r="AZ195" s="65"/>
      <c r="BA195" s="65"/>
      <c r="BB195" s="65"/>
      <c r="BC195" s="65"/>
      <c r="BD195" s="66"/>
      <c r="BE195" s="48"/>
      <c r="BF195" s="64"/>
      <c r="BG195" s="64"/>
      <c r="BH195" s="66"/>
      <c r="BI195" s="63"/>
      <c r="BJ195" s="64"/>
      <c r="BK195" s="66"/>
      <c r="BL195" s="48"/>
      <c r="BM195" s="64"/>
      <c r="BN195" s="65"/>
      <c r="BO195" s="76"/>
      <c r="BP195" s="37">
        <f t="shared" si="15"/>
        <v>0</v>
      </c>
    </row>
    <row r="196" spans="1:68" ht="25.5" customHeight="1" thickTop="1" thickBot="1" x14ac:dyDescent="0.2">
      <c r="A196" s="17">
        <f t="shared" si="16"/>
        <v>181</v>
      </c>
      <c r="B196" s="1044"/>
      <c r="C196" s="1045"/>
      <c r="D196" s="38"/>
      <c r="E196" s="954"/>
      <c r="F196" s="53"/>
      <c r="G196" s="39"/>
      <c r="H196" s="1050"/>
      <c r="I196" s="684" t="str">
        <f t="shared" si="12"/>
        <v/>
      </c>
      <c r="J196" s="754">
        <f t="shared" si="13"/>
        <v>0</v>
      </c>
      <c r="K196" s="1249"/>
      <c r="L196" s="1250"/>
      <c r="M196" s="1250"/>
      <c r="N196" s="773" t="str">
        <f t="shared" si="17"/>
        <v/>
      </c>
      <c r="O196" s="774" t="str">
        <f>IF('Set up ~ Config'!$G$32=6,IF(OR($N196=7,$N196=8,$N196=9),1,IF(OR($N196=10,$N196=11,$N196=12),2,IF(OR($N196=1,$N196=2,$N196=3),3,IF(OR($N196=4,$N196=5,$N196=6),4,"")))),IF(OR($N196=9,$N196=10,$N196=11),1,IF(OR($N196=12,$N196=1,$N196=2),2,IF(OR($N196=3,$N196=4,$N196=5),3,IF(OR($N196=6,$N196=7,$N196=8),4,"")))))</f>
        <v/>
      </c>
      <c r="P196" s="40"/>
      <c r="Q196" s="63"/>
      <c r="R196" s="64"/>
      <c r="S196" s="755">
        <f t="shared" si="14"/>
        <v>0</v>
      </c>
      <c r="T196" s="64"/>
      <c r="U196" s="64"/>
      <c r="V196" s="64"/>
      <c r="W196" s="64"/>
      <c r="X196" s="64"/>
      <c r="Y196" s="64"/>
      <c r="Z196" s="64"/>
      <c r="AA196" s="64"/>
      <c r="AB196" s="65"/>
      <c r="AC196" s="70"/>
      <c r="AD196" s="71"/>
      <c r="AE196" s="64"/>
      <c r="AF196" s="64"/>
      <c r="AG196" s="64"/>
      <c r="AH196" s="64"/>
      <c r="AI196" s="65"/>
      <c r="AJ196" s="65"/>
      <c r="AK196" s="64"/>
      <c r="AL196" s="74"/>
      <c r="AM196" s="48"/>
      <c r="AN196" s="64"/>
      <c r="AO196" s="64"/>
      <c r="AP196" s="64"/>
      <c r="AQ196" s="64"/>
      <c r="AR196" s="64"/>
      <c r="AS196" s="64"/>
      <c r="AT196" s="64"/>
      <c r="AU196" s="66"/>
      <c r="AV196" s="75"/>
      <c r="AW196" s="65"/>
      <c r="AX196" s="65"/>
      <c r="AY196" s="65"/>
      <c r="AZ196" s="65"/>
      <c r="BA196" s="65"/>
      <c r="BB196" s="65"/>
      <c r="BC196" s="65"/>
      <c r="BD196" s="66"/>
      <c r="BE196" s="48"/>
      <c r="BF196" s="64"/>
      <c r="BG196" s="64"/>
      <c r="BH196" s="66"/>
      <c r="BI196" s="63"/>
      <c r="BJ196" s="64"/>
      <c r="BK196" s="66"/>
      <c r="BL196" s="48"/>
      <c r="BM196" s="64"/>
      <c r="BN196" s="65"/>
      <c r="BO196" s="76"/>
      <c r="BP196" s="37">
        <f t="shared" si="15"/>
        <v>0</v>
      </c>
    </row>
    <row r="197" spans="1:68" ht="25.5" customHeight="1" thickTop="1" thickBot="1" x14ac:dyDescent="0.2">
      <c r="A197" s="17">
        <f t="shared" si="16"/>
        <v>182</v>
      </c>
      <c r="B197" s="1044"/>
      <c r="C197" s="1045"/>
      <c r="D197" s="38"/>
      <c r="E197" s="954"/>
      <c r="F197" s="53"/>
      <c r="G197" s="39"/>
      <c r="H197" s="1050"/>
      <c r="I197" s="684" t="str">
        <f t="shared" si="12"/>
        <v/>
      </c>
      <c r="J197" s="754">
        <f t="shared" si="13"/>
        <v>0</v>
      </c>
      <c r="K197" s="1249"/>
      <c r="L197" s="1250"/>
      <c r="M197" s="1250"/>
      <c r="N197" s="773" t="str">
        <f t="shared" si="17"/>
        <v/>
      </c>
      <c r="O197" s="774" t="str">
        <f>IF('Set up ~ Config'!$G$32=6,IF(OR($N197=7,$N197=8,$N197=9),1,IF(OR($N197=10,$N197=11,$N197=12),2,IF(OR($N197=1,$N197=2,$N197=3),3,IF(OR($N197=4,$N197=5,$N197=6),4,"")))),IF(OR($N197=9,$N197=10,$N197=11),1,IF(OR($N197=12,$N197=1,$N197=2),2,IF(OR($N197=3,$N197=4,$N197=5),3,IF(OR($N197=6,$N197=7,$N197=8),4,"")))))</f>
        <v/>
      </c>
      <c r="P197" s="40"/>
      <c r="Q197" s="63"/>
      <c r="R197" s="64"/>
      <c r="S197" s="755">
        <f t="shared" si="14"/>
        <v>0</v>
      </c>
      <c r="T197" s="64"/>
      <c r="U197" s="64"/>
      <c r="V197" s="64"/>
      <c r="W197" s="64"/>
      <c r="X197" s="64"/>
      <c r="Y197" s="64"/>
      <c r="Z197" s="64"/>
      <c r="AA197" s="64"/>
      <c r="AB197" s="65"/>
      <c r="AC197" s="70"/>
      <c r="AD197" s="71"/>
      <c r="AE197" s="64"/>
      <c r="AF197" s="64"/>
      <c r="AG197" s="64"/>
      <c r="AH197" s="64"/>
      <c r="AI197" s="65"/>
      <c r="AJ197" s="65"/>
      <c r="AK197" s="64"/>
      <c r="AL197" s="74"/>
      <c r="AM197" s="48"/>
      <c r="AN197" s="64"/>
      <c r="AO197" s="64"/>
      <c r="AP197" s="64"/>
      <c r="AQ197" s="64"/>
      <c r="AR197" s="64"/>
      <c r="AS197" s="64"/>
      <c r="AT197" s="64"/>
      <c r="AU197" s="66"/>
      <c r="AV197" s="75"/>
      <c r="AW197" s="65"/>
      <c r="AX197" s="65"/>
      <c r="AY197" s="65"/>
      <c r="AZ197" s="65"/>
      <c r="BA197" s="65"/>
      <c r="BB197" s="65"/>
      <c r="BC197" s="65"/>
      <c r="BD197" s="66"/>
      <c r="BE197" s="48"/>
      <c r="BF197" s="64"/>
      <c r="BG197" s="64"/>
      <c r="BH197" s="66"/>
      <c r="BI197" s="63"/>
      <c r="BJ197" s="64"/>
      <c r="BK197" s="66"/>
      <c r="BL197" s="48"/>
      <c r="BM197" s="64"/>
      <c r="BN197" s="65"/>
      <c r="BO197" s="76"/>
      <c r="BP197" s="37">
        <f t="shared" si="15"/>
        <v>0</v>
      </c>
    </row>
    <row r="198" spans="1:68" ht="25.5" customHeight="1" thickTop="1" thickBot="1" x14ac:dyDescent="0.2">
      <c r="A198" s="17">
        <f t="shared" si="16"/>
        <v>183</v>
      </c>
      <c r="B198" s="1044"/>
      <c r="C198" s="1045"/>
      <c r="D198" s="38"/>
      <c r="E198" s="954"/>
      <c r="F198" s="53"/>
      <c r="G198" s="39"/>
      <c r="H198" s="1050"/>
      <c r="I198" s="684" t="str">
        <f t="shared" si="12"/>
        <v/>
      </c>
      <c r="J198" s="754">
        <f t="shared" si="13"/>
        <v>0</v>
      </c>
      <c r="K198" s="1249"/>
      <c r="L198" s="1250"/>
      <c r="M198" s="1250"/>
      <c r="N198" s="773" t="str">
        <f t="shared" si="17"/>
        <v/>
      </c>
      <c r="O198" s="774" t="str">
        <f>IF('Set up ~ Config'!$G$32=6,IF(OR($N198=7,$N198=8,$N198=9),1,IF(OR($N198=10,$N198=11,$N198=12),2,IF(OR($N198=1,$N198=2,$N198=3),3,IF(OR($N198=4,$N198=5,$N198=6),4,"")))),IF(OR($N198=9,$N198=10,$N198=11),1,IF(OR($N198=12,$N198=1,$N198=2),2,IF(OR($N198=3,$N198=4,$N198=5),3,IF(OR($N198=6,$N198=7,$N198=8),4,"")))))</f>
        <v/>
      </c>
      <c r="P198" s="40"/>
      <c r="Q198" s="63"/>
      <c r="R198" s="64"/>
      <c r="S198" s="755">
        <f t="shared" si="14"/>
        <v>0</v>
      </c>
      <c r="T198" s="64"/>
      <c r="U198" s="64"/>
      <c r="V198" s="64"/>
      <c r="W198" s="64"/>
      <c r="X198" s="64"/>
      <c r="Y198" s="64"/>
      <c r="Z198" s="64"/>
      <c r="AA198" s="64"/>
      <c r="AB198" s="65"/>
      <c r="AC198" s="70"/>
      <c r="AD198" s="71"/>
      <c r="AE198" s="64"/>
      <c r="AF198" s="64"/>
      <c r="AG198" s="64"/>
      <c r="AH198" s="64"/>
      <c r="AI198" s="65"/>
      <c r="AJ198" s="65"/>
      <c r="AK198" s="64"/>
      <c r="AL198" s="74"/>
      <c r="AM198" s="48"/>
      <c r="AN198" s="64"/>
      <c r="AO198" s="64"/>
      <c r="AP198" s="64"/>
      <c r="AQ198" s="64"/>
      <c r="AR198" s="64"/>
      <c r="AS198" s="64"/>
      <c r="AT198" s="64"/>
      <c r="AU198" s="66"/>
      <c r="AV198" s="75"/>
      <c r="AW198" s="65"/>
      <c r="AX198" s="65"/>
      <c r="AY198" s="65"/>
      <c r="AZ198" s="65"/>
      <c r="BA198" s="65"/>
      <c r="BB198" s="65"/>
      <c r="BC198" s="65"/>
      <c r="BD198" s="66"/>
      <c r="BE198" s="48"/>
      <c r="BF198" s="64"/>
      <c r="BG198" s="64"/>
      <c r="BH198" s="66"/>
      <c r="BI198" s="63"/>
      <c r="BJ198" s="64"/>
      <c r="BK198" s="66"/>
      <c r="BL198" s="48"/>
      <c r="BM198" s="64"/>
      <c r="BN198" s="65"/>
      <c r="BO198" s="76"/>
      <c r="BP198" s="37">
        <f t="shared" si="15"/>
        <v>0</v>
      </c>
    </row>
    <row r="199" spans="1:68" ht="25.5" customHeight="1" thickTop="1" thickBot="1" x14ac:dyDescent="0.2">
      <c r="A199" s="17">
        <f t="shared" si="16"/>
        <v>184</v>
      </c>
      <c r="B199" s="1044"/>
      <c r="C199" s="1045"/>
      <c r="D199" s="38"/>
      <c r="E199" s="954"/>
      <c r="F199" s="53"/>
      <c r="G199" s="39"/>
      <c r="H199" s="1050"/>
      <c r="I199" s="684" t="str">
        <f t="shared" si="12"/>
        <v/>
      </c>
      <c r="J199" s="754">
        <f t="shared" si="13"/>
        <v>0</v>
      </c>
      <c r="K199" s="1249"/>
      <c r="L199" s="1250"/>
      <c r="M199" s="1250"/>
      <c r="N199" s="773" t="str">
        <f t="shared" si="17"/>
        <v/>
      </c>
      <c r="O199" s="774" t="str">
        <f>IF('Set up ~ Config'!$G$32=6,IF(OR($N199=7,$N199=8,$N199=9),1,IF(OR($N199=10,$N199=11,$N199=12),2,IF(OR($N199=1,$N199=2,$N199=3),3,IF(OR($N199=4,$N199=5,$N199=6),4,"")))),IF(OR($N199=9,$N199=10,$N199=11),1,IF(OR($N199=12,$N199=1,$N199=2),2,IF(OR($N199=3,$N199=4,$N199=5),3,IF(OR($N199=6,$N199=7,$N199=8),4,"")))))</f>
        <v/>
      </c>
      <c r="P199" s="40"/>
      <c r="Q199" s="63"/>
      <c r="R199" s="64"/>
      <c r="S199" s="755">
        <f t="shared" si="14"/>
        <v>0</v>
      </c>
      <c r="T199" s="64"/>
      <c r="U199" s="64"/>
      <c r="V199" s="64"/>
      <c r="W199" s="64"/>
      <c r="X199" s="64"/>
      <c r="Y199" s="64"/>
      <c r="Z199" s="64"/>
      <c r="AA199" s="64"/>
      <c r="AB199" s="65"/>
      <c r="AC199" s="70"/>
      <c r="AD199" s="71"/>
      <c r="AE199" s="64"/>
      <c r="AF199" s="64"/>
      <c r="AG199" s="64"/>
      <c r="AH199" s="64"/>
      <c r="AI199" s="65"/>
      <c r="AJ199" s="65"/>
      <c r="AK199" s="64"/>
      <c r="AL199" s="74"/>
      <c r="AM199" s="48"/>
      <c r="AN199" s="64"/>
      <c r="AO199" s="64"/>
      <c r="AP199" s="64"/>
      <c r="AQ199" s="64"/>
      <c r="AR199" s="64"/>
      <c r="AS199" s="64"/>
      <c r="AT199" s="64"/>
      <c r="AU199" s="66"/>
      <c r="AV199" s="75"/>
      <c r="AW199" s="65"/>
      <c r="AX199" s="65"/>
      <c r="AY199" s="65"/>
      <c r="AZ199" s="65"/>
      <c r="BA199" s="65"/>
      <c r="BB199" s="65"/>
      <c r="BC199" s="65"/>
      <c r="BD199" s="66"/>
      <c r="BE199" s="48"/>
      <c r="BF199" s="64"/>
      <c r="BG199" s="64"/>
      <c r="BH199" s="66"/>
      <c r="BI199" s="63"/>
      <c r="BJ199" s="64"/>
      <c r="BK199" s="66"/>
      <c r="BL199" s="48"/>
      <c r="BM199" s="64"/>
      <c r="BN199" s="65"/>
      <c r="BO199" s="76"/>
      <c r="BP199" s="37">
        <f t="shared" si="15"/>
        <v>0</v>
      </c>
    </row>
    <row r="200" spans="1:68" ht="25.5" customHeight="1" thickTop="1" thickBot="1" x14ac:dyDescent="0.2">
      <c r="A200" s="17">
        <f t="shared" si="16"/>
        <v>185</v>
      </c>
      <c r="B200" s="1044"/>
      <c r="C200" s="1045"/>
      <c r="D200" s="38"/>
      <c r="E200" s="954"/>
      <c r="F200" s="53"/>
      <c r="G200" s="39"/>
      <c r="H200" s="1050"/>
      <c r="I200" s="684" t="str">
        <f t="shared" si="12"/>
        <v/>
      </c>
      <c r="J200" s="754">
        <f t="shared" si="13"/>
        <v>0</v>
      </c>
      <c r="K200" s="1249"/>
      <c r="L200" s="1250"/>
      <c r="M200" s="1250"/>
      <c r="N200" s="773" t="str">
        <f t="shared" si="17"/>
        <v/>
      </c>
      <c r="O200" s="774" t="str">
        <f>IF('Set up ~ Config'!$G$32=6,IF(OR($N200=7,$N200=8,$N200=9),1,IF(OR($N200=10,$N200=11,$N200=12),2,IF(OR($N200=1,$N200=2,$N200=3),3,IF(OR($N200=4,$N200=5,$N200=6),4,"")))),IF(OR($N200=9,$N200=10,$N200=11),1,IF(OR($N200=12,$N200=1,$N200=2),2,IF(OR($N200=3,$N200=4,$N200=5),3,IF(OR($N200=6,$N200=7,$N200=8),4,"")))))</f>
        <v/>
      </c>
      <c r="P200" s="40"/>
      <c r="Q200" s="63"/>
      <c r="R200" s="64"/>
      <c r="S200" s="755">
        <f t="shared" si="14"/>
        <v>0</v>
      </c>
      <c r="T200" s="64"/>
      <c r="U200" s="64"/>
      <c r="V200" s="64"/>
      <c r="W200" s="64"/>
      <c r="X200" s="64"/>
      <c r="Y200" s="64"/>
      <c r="Z200" s="64"/>
      <c r="AA200" s="64"/>
      <c r="AB200" s="65"/>
      <c r="AC200" s="70"/>
      <c r="AD200" s="71"/>
      <c r="AE200" s="64"/>
      <c r="AF200" s="64"/>
      <c r="AG200" s="64"/>
      <c r="AH200" s="64"/>
      <c r="AI200" s="65"/>
      <c r="AJ200" s="65"/>
      <c r="AK200" s="64"/>
      <c r="AL200" s="74"/>
      <c r="AM200" s="48"/>
      <c r="AN200" s="64"/>
      <c r="AO200" s="64"/>
      <c r="AP200" s="64"/>
      <c r="AQ200" s="64"/>
      <c r="AR200" s="64"/>
      <c r="AS200" s="64"/>
      <c r="AT200" s="64"/>
      <c r="AU200" s="66"/>
      <c r="AV200" s="75"/>
      <c r="AW200" s="65"/>
      <c r="AX200" s="65"/>
      <c r="AY200" s="65"/>
      <c r="AZ200" s="65"/>
      <c r="BA200" s="65"/>
      <c r="BB200" s="65"/>
      <c r="BC200" s="65"/>
      <c r="BD200" s="66"/>
      <c r="BE200" s="48"/>
      <c r="BF200" s="64"/>
      <c r="BG200" s="64"/>
      <c r="BH200" s="66"/>
      <c r="BI200" s="63"/>
      <c r="BJ200" s="64"/>
      <c r="BK200" s="66"/>
      <c r="BL200" s="48"/>
      <c r="BM200" s="64"/>
      <c r="BN200" s="65"/>
      <c r="BO200" s="76"/>
      <c r="BP200" s="37">
        <f t="shared" si="15"/>
        <v>0</v>
      </c>
    </row>
    <row r="201" spans="1:68" ht="25.5" customHeight="1" thickTop="1" thickBot="1" x14ac:dyDescent="0.2">
      <c r="A201" s="17">
        <f t="shared" si="16"/>
        <v>186</v>
      </c>
      <c r="B201" s="1044"/>
      <c r="C201" s="1045"/>
      <c r="D201" s="38"/>
      <c r="E201" s="954"/>
      <c r="F201" s="53"/>
      <c r="G201" s="39"/>
      <c r="H201" s="1050"/>
      <c r="I201" s="684" t="str">
        <f t="shared" si="12"/>
        <v/>
      </c>
      <c r="J201" s="754">
        <f t="shared" si="13"/>
        <v>0</v>
      </c>
      <c r="K201" s="1249"/>
      <c r="L201" s="1250"/>
      <c r="M201" s="1250"/>
      <c r="N201" s="773" t="str">
        <f t="shared" si="17"/>
        <v/>
      </c>
      <c r="O201" s="774" t="str">
        <f>IF('Set up ~ Config'!$G$32=6,IF(OR($N201=7,$N201=8,$N201=9),1,IF(OR($N201=10,$N201=11,$N201=12),2,IF(OR($N201=1,$N201=2,$N201=3),3,IF(OR($N201=4,$N201=5,$N201=6),4,"")))),IF(OR($N201=9,$N201=10,$N201=11),1,IF(OR($N201=12,$N201=1,$N201=2),2,IF(OR($N201=3,$N201=4,$N201=5),3,IF(OR($N201=6,$N201=7,$N201=8),4,"")))))</f>
        <v/>
      </c>
      <c r="P201" s="40"/>
      <c r="Q201" s="63"/>
      <c r="R201" s="64"/>
      <c r="S201" s="755">
        <f t="shared" si="14"/>
        <v>0</v>
      </c>
      <c r="T201" s="64"/>
      <c r="U201" s="64"/>
      <c r="V201" s="64"/>
      <c r="W201" s="64"/>
      <c r="X201" s="64"/>
      <c r="Y201" s="64"/>
      <c r="Z201" s="64"/>
      <c r="AA201" s="64"/>
      <c r="AB201" s="65"/>
      <c r="AC201" s="70"/>
      <c r="AD201" s="71"/>
      <c r="AE201" s="64"/>
      <c r="AF201" s="64"/>
      <c r="AG201" s="64"/>
      <c r="AH201" s="64"/>
      <c r="AI201" s="65"/>
      <c r="AJ201" s="65"/>
      <c r="AK201" s="64"/>
      <c r="AL201" s="74"/>
      <c r="AM201" s="48"/>
      <c r="AN201" s="64"/>
      <c r="AO201" s="64"/>
      <c r="AP201" s="64"/>
      <c r="AQ201" s="64"/>
      <c r="AR201" s="64"/>
      <c r="AS201" s="64"/>
      <c r="AT201" s="64"/>
      <c r="AU201" s="66"/>
      <c r="AV201" s="75"/>
      <c r="AW201" s="65"/>
      <c r="AX201" s="65"/>
      <c r="AY201" s="65"/>
      <c r="AZ201" s="65"/>
      <c r="BA201" s="65"/>
      <c r="BB201" s="65"/>
      <c r="BC201" s="65"/>
      <c r="BD201" s="66"/>
      <c r="BE201" s="48"/>
      <c r="BF201" s="64"/>
      <c r="BG201" s="64"/>
      <c r="BH201" s="66"/>
      <c r="BI201" s="63"/>
      <c r="BJ201" s="64"/>
      <c r="BK201" s="66"/>
      <c r="BL201" s="48"/>
      <c r="BM201" s="64"/>
      <c r="BN201" s="65"/>
      <c r="BO201" s="76"/>
      <c r="BP201" s="37">
        <f t="shared" si="15"/>
        <v>0</v>
      </c>
    </row>
    <row r="202" spans="1:68" ht="25.5" customHeight="1" thickTop="1" thickBot="1" x14ac:dyDescent="0.2">
      <c r="A202" s="17">
        <f t="shared" si="16"/>
        <v>187</v>
      </c>
      <c r="B202" s="1044"/>
      <c r="C202" s="1045"/>
      <c r="D202" s="38"/>
      <c r="E202" s="954"/>
      <c r="F202" s="53"/>
      <c r="G202" s="39"/>
      <c r="H202" s="1050"/>
      <c r="I202" s="684" t="str">
        <f t="shared" si="12"/>
        <v/>
      </c>
      <c r="J202" s="754">
        <f t="shared" si="13"/>
        <v>0</v>
      </c>
      <c r="K202" s="1249"/>
      <c r="L202" s="1250"/>
      <c r="M202" s="1250"/>
      <c r="N202" s="773" t="str">
        <f t="shared" si="17"/>
        <v/>
      </c>
      <c r="O202" s="774" t="str">
        <f>IF('Set up ~ Config'!$G$32=6,IF(OR($N202=7,$N202=8,$N202=9),1,IF(OR($N202=10,$N202=11,$N202=12),2,IF(OR($N202=1,$N202=2,$N202=3),3,IF(OR($N202=4,$N202=5,$N202=6),4,"")))),IF(OR($N202=9,$N202=10,$N202=11),1,IF(OR($N202=12,$N202=1,$N202=2),2,IF(OR($N202=3,$N202=4,$N202=5),3,IF(OR($N202=6,$N202=7,$N202=8),4,"")))))</f>
        <v/>
      </c>
      <c r="P202" s="40"/>
      <c r="Q202" s="63"/>
      <c r="R202" s="64"/>
      <c r="S202" s="755">
        <f t="shared" si="14"/>
        <v>0</v>
      </c>
      <c r="T202" s="64"/>
      <c r="U202" s="64"/>
      <c r="V202" s="64"/>
      <c r="W202" s="64"/>
      <c r="X202" s="64"/>
      <c r="Y202" s="64"/>
      <c r="Z202" s="64"/>
      <c r="AA202" s="64"/>
      <c r="AB202" s="65"/>
      <c r="AC202" s="70"/>
      <c r="AD202" s="71"/>
      <c r="AE202" s="64"/>
      <c r="AF202" s="64"/>
      <c r="AG202" s="64"/>
      <c r="AH202" s="64"/>
      <c r="AI202" s="65"/>
      <c r="AJ202" s="65"/>
      <c r="AK202" s="64"/>
      <c r="AL202" s="74"/>
      <c r="AM202" s="48"/>
      <c r="AN202" s="64"/>
      <c r="AO202" s="64"/>
      <c r="AP202" s="64"/>
      <c r="AQ202" s="64"/>
      <c r="AR202" s="64"/>
      <c r="AS202" s="64"/>
      <c r="AT202" s="64"/>
      <c r="AU202" s="66"/>
      <c r="AV202" s="75"/>
      <c r="AW202" s="65"/>
      <c r="AX202" s="65"/>
      <c r="AY202" s="65"/>
      <c r="AZ202" s="65"/>
      <c r="BA202" s="65"/>
      <c r="BB202" s="65"/>
      <c r="BC202" s="65"/>
      <c r="BD202" s="66"/>
      <c r="BE202" s="48"/>
      <c r="BF202" s="64"/>
      <c r="BG202" s="64"/>
      <c r="BH202" s="66"/>
      <c r="BI202" s="63"/>
      <c r="BJ202" s="64"/>
      <c r="BK202" s="66"/>
      <c r="BL202" s="48"/>
      <c r="BM202" s="64"/>
      <c r="BN202" s="65"/>
      <c r="BO202" s="76"/>
      <c r="BP202" s="37">
        <f t="shared" si="15"/>
        <v>0</v>
      </c>
    </row>
    <row r="203" spans="1:68" ht="25.5" customHeight="1" thickTop="1" thickBot="1" x14ac:dyDescent="0.2">
      <c r="A203" s="17">
        <f t="shared" si="16"/>
        <v>188</v>
      </c>
      <c r="B203" s="1044"/>
      <c r="C203" s="1045"/>
      <c r="D203" s="38"/>
      <c r="E203" s="954"/>
      <c r="F203" s="53"/>
      <c r="G203" s="39"/>
      <c r="H203" s="1050"/>
      <c r="I203" s="684" t="str">
        <f t="shared" si="12"/>
        <v/>
      </c>
      <c r="J203" s="754">
        <f t="shared" si="13"/>
        <v>0</v>
      </c>
      <c r="K203" s="1249"/>
      <c r="L203" s="1250"/>
      <c r="M203" s="1250"/>
      <c r="N203" s="773" t="str">
        <f t="shared" si="17"/>
        <v/>
      </c>
      <c r="O203" s="774" t="str">
        <f>IF('Set up ~ Config'!$G$32=6,IF(OR($N203=7,$N203=8,$N203=9),1,IF(OR($N203=10,$N203=11,$N203=12),2,IF(OR($N203=1,$N203=2,$N203=3),3,IF(OR($N203=4,$N203=5,$N203=6),4,"")))),IF(OR($N203=9,$N203=10,$N203=11),1,IF(OR($N203=12,$N203=1,$N203=2),2,IF(OR($N203=3,$N203=4,$N203=5),3,IF(OR($N203=6,$N203=7,$N203=8),4,"")))))</f>
        <v/>
      </c>
      <c r="P203" s="40"/>
      <c r="Q203" s="63"/>
      <c r="R203" s="64"/>
      <c r="S203" s="755">
        <f t="shared" si="14"/>
        <v>0</v>
      </c>
      <c r="T203" s="64"/>
      <c r="U203" s="64"/>
      <c r="V203" s="64"/>
      <c r="W203" s="64"/>
      <c r="X203" s="64"/>
      <c r="Y203" s="64"/>
      <c r="Z203" s="64"/>
      <c r="AA203" s="64"/>
      <c r="AB203" s="65"/>
      <c r="AC203" s="70"/>
      <c r="AD203" s="71"/>
      <c r="AE203" s="64"/>
      <c r="AF203" s="64"/>
      <c r="AG203" s="64"/>
      <c r="AH203" s="64"/>
      <c r="AI203" s="65"/>
      <c r="AJ203" s="65"/>
      <c r="AK203" s="64"/>
      <c r="AL203" s="74"/>
      <c r="AM203" s="48"/>
      <c r="AN203" s="64"/>
      <c r="AO203" s="64"/>
      <c r="AP203" s="64"/>
      <c r="AQ203" s="64"/>
      <c r="AR203" s="64"/>
      <c r="AS203" s="64"/>
      <c r="AT203" s="64"/>
      <c r="AU203" s="66"/>
      <c r="AV203" s="75"/>
      <c r="AW203" s="65"/>
      <c r="AX203" s="65"/>
      <c r="AY203" s="65"/>
      <c r="AZ203" s="65"/>
      <c r="BA203" s="65"/>
      <c r="BB203" s="65"/>
      <c r="BC203" s="65"/>
      <c r="BD203" s="66"/>
      <c r="BE203" s="48"/>
      <c r="BF203" s="64"/>
      <c r="BG203" s="64"/>
      <c r="BH203" s="66"/>
      <c r="BI203" s="63"/>
      <c r="BJ203" s="64"/>
      <c r="BK203" s="66"/>
      <c r="BL203" s="48"/>
      <c r="BM203" s="64"/>
      <c r="BN203" s="65"/>
      <c r="BO203" s="76"/>
      <c r="BP203" s="37">
        <f t="shared" si="15"/>
        <v>0</v>
      </c>
    </row>
    <row r="204" spans="1:68" ht="25.5" customHeight="1" thickTop="1" thickBot="1" x14ac:dyDescent="0.2">
      <c r="A204" s="17">
        <f t="shared" si="16"/>
        <v>189</v>
      </c>
      <c r="B204" s="1044"/>
      <c r="C204" s="1045"/>
      <c r="D204" s="38"/>
      <c r="E204" s="954"/>
      <c r="F204" s="53"/>
      <c r="G204" s="39"/>
      <c r="H204" s="1050"/>
      <c r="I204" s="684" t="str">
        <f t="shared" si="12"/>
        <v/>
      </c>
      <c r="J204" s="754">
        <f t="shared" si="13"/>
        <v>0</v>
      </c>
      <c r="K204" s="1249"/>
      <c r="L204" s="1250"/>
      <c r="M204" s="1250"/>
      <c r="N204" s="773" t="str">
        <f t="shared" si="17"/>
        <v/>
      </c>
      <c r="O204" s="774" t="str">
        <f>IF('Set up ~ Config'!$G$32=6,IF(OR($N204=7,$N204=8,$N204=9),1,IF(OR($N204=10,$N204=11,$N204=12),2,IF(OR($N204=1,$N204=2,$N204=3),3,IF(OR($N204=4,$N204=5,$N204=6),4,"")))),IF(OR($N204=9,$N204=10,$N204=11),1,IF(OR($N204=12,$N204=1,$N204=2),2,IF(OR($N204=3,$N204=4,$N204=5),3,IF(OR($N204=6,$N204=7,$N204=8),4,"")))))</f>
        <v/>
      </c>
      <c r="P204" s="40"/>
      <c r="Q204" s="63"/>
      <c r="R204" s="64"/>
      <c r="S204" s="755">
        <f t="shared" si="14"/>
        <v>0</v>
      </c>
      <c r="T204" s="64"/>
      <c r="U204" s="64"/>
      <c r="V204" s="64"/>
      <c r="W204" s="64"/>
      <c r="X204" s="64"/>
      <c r="Y204" s="64"/>
      <c r="Z204" s="64"/>
      <c r="AA204" s="64"/>
      <c r="AB204" s="65"/>
      <c r="AC204" s="70"/>
      <c r="AD204" s="71"/>
      <c r="AE204" s="64"/>
      <c r="AF204" s="64"/>
      <c r="AG204" s="64"/>
      <c r="AH204" s="64"/>
      <c r="AI204" s="65"/>
      <c r="AJ204" s="65"/>
      <c r="AK204" s="64"/>
      <c r="AL204" s="74"/>
      <c r="AM204" s="48"/>
      <c r="AN204" s="64"/>
      <c r="AO204" s="64"/>
      <c r="AP204" s="64"/>
      <c r="AQ204" s="64"/>
      <c r="AR204" s="64"/>
      <c r="AS204" s="64"/>
      <c r="AT204" s="64"/>
      <c r="AU204" s="66"/>
      <c r="AV204" s="75"/>
      <c r="AW204" s="65"/>
      <c r="AX204" s="65"/>
      <c r="AY204" s="65"/>
      <c r="AZ204" s="65"/>
      <c r="BA204" s="65"/>
      <c r="BB204" s="65"/>
      <c r="BC204" s="65"/>
      <c r="BD204" s="66"/>
      <c r="BE204" s="48"/>
      <c r="BF204" s="64"/>
      <c r="BG204" s="64"/>
      <c r="BH204" s="66"/>
      <c r="BI204" s="63"/>
      <c r="BJ204" s="64"/>
      <c r="BK204" s="66"/>
      <c r="BL204" s="48"/>
      <c r="BM204" s="64"/>
      <c r="BN204" s="65"/>
      <c r="BO204" s="76"/>
      <c r="BP204" s="37">
        <f t="shared" si="15"/>
        <v>0</v>
      </c>
    </row>
    <row r="205" spans="1:68" ht="25.5" customHeight="1" thickTop="1" thickBot="1" x14ac:dyDescent="0.2">
      <c r="A205" s="17">
        <f t="shared" si="16"/>
        <v>190</v>
      </c>
      <c r="B205" s="1044"/>
      <c r="C205" s="1045"/>
      <c r="D205" s="38"/>
      <c r="E205" s="954"/>
      <c r="F205" s="53"/>
      <c r="G205" s="39"/>
      <c r="H205" s="1050"/>
      <c r="I205" s="684" t="str">
        <f t="shared" si="12"/>
        <v/>
      </c>
      <c r="J205" s="754">
        <f t="shared" si="13"/>
        <v>0</v>
      </c>
      <c r="K205" s="1249"/>
      <c r="L205" s="1250"/>
      <c r="M205" s="1250"/>
      <c r="N205" s="773" t="str">
        <f t="shared" si="17"/>
        <v/>
      </c>
      <c r="O205" s="774" t="str">
        <f>IF('Set up ~ Config'!$G$32=6,IF(OR($N205=7,$N205=8,$N205=9),1,IF(OR($N205=10,$N205=11,$N205=12),2,IF(OR($N205=1,$N205=2,$N205=3),3,IF(OR($N205=4,$N205=5,$N205=6),4,"")))),IF(OR($N205=9,$N205=10,$N205=11),1,IF(OR($N205=12,$N205=1,$N205=2),2,IF(OR($N205=3,$N205=4,$N205=5),3,IF(OR($N205=6,$N205=7,$N205=8),4,"")))))</f>
        <v/>
      </c>
      <c r="P205" s="40"/>
      <c r="Q205" s="63"/>
      <c r="R205" s="64"/>
      <c r="S205" s="755">
        <f t="shared" si="14"/>
        <v>0</v>
      </c>
      <c r="T205" s="64"/>
      <c r="U205" s="64"/>
      <c r="V205" s="64"/>
      <c r="W205" s="64"/>
      <c r="X205" s="64"/>
      <c r="Y205" s="64"/>
      <c r="Z205" s="64"/>
      <c r="AA205" s="64"/>
      <c r="AB205" s="65"/>
      <c r="AC205" s="70"/>
      <c r="AD205" s="71"/>
      <c r="AE205" s="64"/>
      <c r="AF205" s="64"/>
      <c r="AG205" s="64"/>
      <c r="AH205" s="64"/>
      <c r="AI205" s="65"/>
      <c r="AJ205" s="65"/>
      <c r="AK205" s="64"/>
      <c r="AL205" s="74"/>
      <c r="AM205" s="48"/>
      <c r="AN205" s="64"/>
      <c r="AO205" s="64"/>
      <c r="AP205" s="64"/>
      <c r="AQ205" s="64"/>
      <c r="AR205" s="64"/>
      <c r="AS205" s="64"/>
      <c r="AT205" s="64"/>
      <c r="AU205" s="66"/>
      <c r="AV205" s="75"/>
      <c r="AW205" s="65"/>
      <c r="AX205" s="65"/>
      <c r="AY205" s="65"/>
      <c r="AZ205" s="65"/>
      <c r="BA205" s="65"/>
      <c r="BB205" s="65"/>
      <c r="BC205" s="65"/>
      <c r="BD205" s="66"/>
      <c r="BE205" s="48"/>
      <c r="BF205" s="64"/>
      <c r="BG205" s="64"/>
      <c r="BH205" s="66"/>
      <c r="BI205" s="63"/>
      <c r="BJ205" s="64"/>
      <c r="BK205" s="66"/>
      <c r="BL205" s="48"/>
      <c r="BM205" s="64"/>
      <c r="BN205" s="65"/>
      <c r="BO205" s="76"/>
      <c r="BP205" s="37">
        <f t="shared" si="15"/>
        <v>0</v>
      </c>
    </row>
    <row r="206" spans="1:68" ht="25.5" customHeight="1" thickTop="1" thickBot="1" x14ac:dyDescent="0.2">
      <c r="A206" s="17">
        <f t="shared" si="16"/>
        <v>191</v>
      </c>
      <c r="B206" s="1044"/>
      <c r="C206" s="1045"/>
      <c r="D206" s="38"/>
      <c r="E206" s="954"/>
      <c r="F206" s="53"/>
      <c r="G206" s="39"/>
      <c r="H206" s="1050"/>
      <c r="I206" s="684" t="str">
        <f t="shared" si="12"/>
        <v/>
      </c>
      <c r="J206" s="754">
        <f t="shared" si="13"/>
        <v>0</v>
      </c>
      <c r="K206" s="1249"/>
      <c r="L206" s="1250"/>
      <c r="M206" s="1250"/>
      <c r="N206" s="773" t="str">
        <f t="shared" si="17"/>
        <v/>
      </c>
      <c r="O206" s="774" t="str">
        <f>IF('Set up ~ Config'!$G$32=6,IF(OR($N206=7,$N206=8,$N206=9),1,IF(OR($N206=10,$N206=11,$N206=12),2,IF(OR($N206=1,$N206=2,$N206=3),3,IF(OR($N206=4,$N206=5,$N206=6),4,"")))),IF(OR($N206=9,$N206=10,$N206=11),1,IF(OR($N206=12,$N206=1,$N206=2),2,IF(OR($N206=3,$N206=4,$N206=5),3,IF(OR($N206=6,$N206=7,$N206=8),4,"")))))</f>
        <v/>
      </c>
      <c r="P206" s="40"/>
      <c r="Q206" s="63"/>
      <c r="R206" s="64"/>
      <c r="S206" s="755">
        <f t="shared" si="14"/>
        <v>0</v>
      </c>
      <c r="T206" s="64"/>
      <c r="U206" s="64"/>
      <c r="V206" s="64"/>
      <c r="W206" s="64"/>
      <c r="X206" s="64"/>
      <c r="Y206" s="64"/>
      <c r="Z206" s="64"/>
      <c r="AA206" s="64"/>
      <c r="AB206" s="65"/>
      <c r="AC206" s="70"/>
      <c r="AD206" s="71"/>
      <c r="AE206" s="64"/>
      <c r="AF206" s="64"/>
      <c r="AG206" s="64"/>
      <c r="AH206" s="64"/>
      <c r="AI206" s="65"/>
      <c r="AJ206" s="65"/>
      <c r="AK206" s="64"/>
      <c r="AL206" s="74"/>
      <c r="AM206" s="48"/>
      <c r="AN206" s="64"/>
      <c r="AO206" s="64"/>
      <c r="AP206" s="64"/>
      <c r="AQ206" s="64"/>
      <c r="AR206" s="64"/>
      <c r="AS206" s="64"/>
      <c r="AT206" s="64"/>
      <c r="AU206" s="66"/>
      <c r="AV206" s="75"/>
      <c r="AW206" s="65"/>
      <c r="AX206" s="65"/>
      <c r="AY206" s="65"/>
      <c r="AZ206" s="65"/>
      <c r="BA206" s="65"/>
      <c r="BB206" s="65"/>
      <c r="BC206" s="65"/>
      <c r="BD206" s="66"/>
      <c r="BE206" s="48"/>
      <c r="BF206" s="64"/>
      <c r="BG206" s="64"/>
      <c r="BH206" s="66"/>
      <c r="BI206" s="63"/>
      <c r="BJ206" s="64"/>
      <c r="BK206" s="66"/>
      <c r="BL206" s="48"/>
      <c r="BM206" s="64"/>
      <c r="BN206" s="65"/>
      <c r="BO206" s="76"/>
      <c r="BP206" s="37">
        <f t="shared" si="15"/>
        <v>0</v>
      </c>
    </row>
    <row r="207" spans="1:68" ht="25.5" customHeight="1" thickTop="1" thickBot="1" x14ac:dyDescent="0.2">
      <c r="A207" s="17">
        <f t="shared" si="16"/>
        <v>192</v>
      </c>
      <c r="B207" s="1044"/>
      <c r="C207" s="1045"/>
      <c r="D207" s="38"/>
      <c r="E207" s="954"/>
      <c r="F207" s="53"/>
      <c r="G207" s="39"/>
      <c r="H207" s="1050"/>
      <c r="I207" s="684" t="str">
        <f t="shared" si="12"/>
        <v/>
      </c>
      <c r="J207" s="754">
        <f t="shared" si="13"/>
        <v>0</v>
      </c>
      <c r="K207" s="1249"/>
      <c r="L207" s="1250"/>
      <c r="M207" s="1250"/>
      <c r="N207" s="773" t="str">
        <f t="shared" si="17"/>
        <v/>
      </c>
      <c r="O207" s="774" t="str">
        <f>IF('Set up ~ Config'!$G$32=6,IF(OR($N207=7,$N207=8,$N207=9),1,IF(OR($N207=10,$N207=11,$N207=12),2,IF(OR($N207=1,$N207=2,$N207=3),3,IF(OR($N207=4,$N207=5,$N207=6),4,"")))),IF(OR($N207=9,$N207=10,$N207=11),1,IF(OR($N207=12,$N207=1,$N207=2),2,IF(OR($N207=3,$N207=4,$N207=5),3,IF(OR($N207=6,$N207=7,$N207=8),4,"")))))</f>
        <v/>
      </c>
      <c r="P207" s="40"/>
      <c r="Q207" s="63"/>
      <c r="R207" s="64"/>
      <c r="S207" s="755">
        <f t="shared" si="14"/>
        <v>0</v>
      </c>
      <c r="T207" s="64"/>
      <c r="U207" s="64"/>
      <c r="V207" s="64"/>
      <c r="W207" s="64"/>
      <c r="X207" s="64"/>
      <c r="Y207" s="64"/>
      <c r="Z207" s="64"/>
      <c r="AA207" s="64"/>
      <c r="AB207" s="65"/>
      <c r="AC207" s="70"/>
      <c r="AD207" s="71"/>
      <c r="AE207" s="64"/>
      <c r="AF207" s="64"/>
      <c r="AG207" s="64"/>
      <c r="AH207" s="64"/>
      <c r="AI207" s="65"/>
      <c r="AJ207" s="65"/>
      <c r="AK207" s="64"/>
      <c r="AL207" s="74"/>
      <c r="AM207" s="48"/>
      <c r="AN207" s="64"/>
      <c r="AO207" s="64"/>
      <c r="AP207" s="64"/>
      <c r="AQ207" s="64"/>
      <c r="AR207" s="64"/>
      <c r="AS207" s="64"/>
      <c r="AT207" s="64"/>
      <c r="AU207" s="66"/>
      <c r="AV207" s="75"/>
      <c r="AW207" s="65"/>
      <c r="AX207" s="65"/>
      <c r="AY207" s="65"/>
      <c r="AZ207" s="65"/>
      <c r="BA207" s="65"/>
      <c r="BB207" s="65"/>
      <c r="BC207" s="65"/>
      <c r="BD207" s="66"/>
      <c r="BE207" s="48"/>
      <c r="BF207" s="64"/>
      <c r="BG207" s="64"/>
      <c r="BH207" s="66"/>
      <c r="BI207" s="63"/>
      <c r="BJ207" s="64"/>
      <c r="BK207" s="66"/>
      <c r="BL207" s="48"/>
      <c r="BM207" s="64"/>
      <c r="BN207" s="65"/>
      <c r="BO207" s="76"/>
      <c r="BP207" s="37">
        <f t="shared" si="15"/>
        <v>0</v>
      </c>
    </row>
    <row r="208" spans="1:68" ht="25.5" customHeight="1" thickTop="1" thickBot="1" x14ac:dyDescent="0.2">
      <c r="A208" s="17">
        <f t="shared" si="16"/>
        <v>193</v>
      </c>
      <c r="B208" s="1044"/>
      <c r="C208" s="1045"/>
      <c r="D208" s="38"/>
      <c r="E208" s="954"/>
      <c r="F208" s="53"/>
      <c r="G208" s="39"/>
      <c r="H208" s="1050"/>
      <c r="I208" s="684" t="str">
        <f t="shared" ref="I208:I271" si="18">LEFT(H208,4)</f>
        <v/>
      </c>
      <c r="J208" s="754">
        <f t="shared" ref="J208:J271" si="19">G208-BP208</f>
        <v>0</v>
      </c>
      <c r="K208" s="1249"/>
      <c r="L208" s="1250"/>
      <c r="M208" s="1250"/>
      <c r="N208" s="773" t="str">
        <f t="shared" si="17"/>
        <v/>
      </c>
      <c r="O208" s="774" t="str">
        <f>IF('Set up ~ Config'!$G$32=6,IF(OR($N208=7,$N208=8,$N208=9),1,IF(OR($N208=10,$N208=11,$N208=12),2,IF(OR($N208=1,$N208=2,$N208=3),3,IF(OR($N208=4,$N208=5,$N208=6),4,"")))),IF(OR($N208=9,$N208=10,$N208=11),1,IF(OR($N208=12,$N208=1,$N208=2),2,IF(OR($N208=3,$N208=4,$N208=5),3,IF(OR($N208=6,$N208=7,$N208=8),4,"")))))</f>
        <v/>
      </c>
      <c r="P208" s="40"/>
      <c r="Q208" s="63"/>
      <c r="R208" s="64"/>
      <c r="S208" s="755">
        <f t="shared" ref="S208:S271" si="20">SUM(T208:W208)</f>
        <v>0</v>
      </c>
      <c r="T208" s="64"/>
      <c r="U208" s="64"/>
      <c r="V208" s="64"/>
      <c r="W208" s="64"/>
      <c r="X208" s="64"/>
      <c r="Y208" s="64"/>
      <c r="Z208" s="64"/>
      <c r="AA208" s="64"/>
      <c r="AB208" s="65"/>
      <c r="AC208" s="70"/>
      <c r="AD208" s="71"/>
      <c r="AE208" s="64"/>
      <c r="AF208" s="64"/>
      <c r="AG208" s="64"/>
      <c r="AH208" s="64"/>
      <c r="AI208" s="65"/>
      <c r="AJ208" s="65"/>
      <c r="AK208" s="64"/>
      <c r="AL208" s="74"/>
      <c r="AM208" s="48"/>
      <c r="AN208" s="64"/>
      <c r="AO208" s="64"/>
      <c r="AP208" s="64"/>
      <c r="AQ208" s="64"/>
      <c r="AR208" s="64"/>
      <c r="AS208" s="64"/>
      <c r="AT208" s="64"/>
      <c r="AU208" s="66"/>
      <c r="AV208" s="75"/>
      <c r="AW208" s="65"/>
      <c r="AX208" s="65"/>
      <c r="AY208" s="65"/>
      <c r="AZ208" s="65"/>
      <c r="BA208" s="65"/>
      <c r="BB208" s="65"/>
      <c r="BC208" s="65"/>
      <c r="BD208" s="66"/>
      <c r="BE208" s="48"/>
      <c r="BF208" s="64"/>
      <c r="BG208" s="64"/>
      <c r="BH208" s="66"/>
      <c r="BI208" s="63"/>
      <c r="BJ208" s="64"/>
      <c r="BK208" s="66"/>
      <c r="BL208" s="48"/>
      <c r="BM208" s="64"/>
      <c r="BN208" s="65"/>
      <c r="BO208" s="76"/>
      <c r="BP208" s="37">
        <f t="shared" ref="BP208:BP271" si="21">SUM(Q208:R208,T208:BO208)</f>
        <v>0</v>
      </c>
    </row>
    <row r="209" spans="1:68" ht="25.5" customHeight="1" thickTop="1" thickBot="1" x14ac:dyDescent="0.2">
      <c r="A209" s="17">
        <f t="shared" ref="A209:A272" si="22">$A208+1</f>
        <v>194</v>
      </c>
      <c r="B209" s="1044"/>
      <c r="C209" s="1045"/>
      <c r="D209" s="38"/>
      <c r="E209" s="954"/>
      <c r="F209" s="53"/>
      <c r="G209" s="39"/>
      <c r="H209" s="1050"/>
      <c r="I209" s="684" t="str">
        <f t="shared" si="18"/>
        <v/>
      </c>
      <c r="J209" s="754">
        <f t="shared" si="19"/>
        <v>0</v>
      </c>
      <c r="K209" s="1249"/>
      <c r="L209" s="1250"/>
      <c r="M209" s="1250"/>
      <c r="N209" s="773" t="str">
        <f t="shared" ref="N209:N272" si="23">IF($E209="","",MONTH($E209))</f>
        <v/>
      </c>
      <c r="O209" s="774" t="str">
        <f>IF('Set up ~ Config'!$G$32=6,IF(OR($N209=7,$N209=8,$N209=9),1,IF(OR($N209=10,$N209=11,$N209=12),2,IF(OR($N209=1,$N209=2,$N209=3),3,IF(OR($N209=4,$N209=5,$N209=6),4,"")))),IF(OR($N209=9,$N209=10,$N209=11),1,IF(OR($N209=12,$N209=1,$N209=2),2,IF(OR($N209=3,$N209=4,$N209=5),3,IF(OR($N209=6,$N209=7,$N209=8),4,"")))))</f>
        <v/>
      </c>
      <c r="P209" s="40"/>
      <c r="Q209" s="63"/>
      <c r="R209" s="64"/>
      <c r="S209" s="755">
        <f t="shared" si="20"/>
        <v>0</v>
      </c>
      <c r="T209" s="64"/>
      <c r="U209" s="64"/>
      <c r="V209" s="64"/>
      <c r="W209" s="64"/>
      <c r="X209" s="64"/>
      <c r="Y209" s="64"/>
      <c r="Z209" s="64"/>
      <c r="AA209" s="64"/>
      <c r="AB209" s="65"/>
      <c r="AC209" s="70"/>
      <c r="AD209" s="71"/>
      <c r="AE209" s="64"/>
      <c r="AF209" s="64"/>
      <c r="AG209" s="64"/>
      <c r="AH209" s="64"/>
      <c r="AI209" s="65"/>
      <c r="AJ209" s="65"/>
      <c r="AK209" s="64"/>
      <c r="AL209" s="74"/>
      <c r="AM209" s="48"/>
      <c r="AN209" s="64"/>
      <c r="AO209" s="64"/>
      <c r="AP209" s="64"/>
      <c r="AQ209" s="64"/>
      <c r="AR209" s="64"/>
      <c r="AS209" s="64"/>
      <c r="AT209" s="64"/>
      <c r="AU209" s="66"/>
      <c r="AV209" s="75"/>
      <c r="AW209" s="65"/>
      <c r="AX209" s="65"/>
      <c r="AY209" s="65"/>
      <c r="AZ209" s="65"/>
      <c r="BA209" s="65"/>
      <c r="BB209" s="65"/>
      <c r="BC209" s="65"/>
      <c r="BD209" s="66"/>
      <c r="BE209" s="48"/>
      <c r="BF209" s="64"/>
      <c r="BG209" s="64"/>
      <c r="BH209" s="66"/>
      <c r="BI209" s="63"/>
      <c r="BJ209" s="64"/>
      <c r="BK209" s="66"/>
      <c r="BL209" s="48"/>
      <c r="BM209" s="64"/>
      <c r="BN209" s="65"/>
      <c r="BO209" s="76"/>
      <c r="BP209" s="37">
        <f t="shared" si="21"/>
        <v>0</v>
      </c>
    </row>
    <row r="210" spans="1:68" ht="25.5" customHeight="1" thickTop="1" thickBot="1" x14ac:dyDescent="0.2">
      <c r="A210" s="17">
        <f t="shared" si="22"/>
        <v>195</v>
      </c>
      <c r="B210" s="1044"/>
      <c r="C210" s="1045"/>
      <c r="D210" s="38"/>
      <c r="E210" s="954"/>
      <c r="F210" s="53"/>
      <c r="G210" s="39"/>
      <c r="H210" s="1050"/>
      <c r="I210" s="684" t="str">
        <f t="shared" si="18"/>
        <v/>
      </c>
      <c r="J210" s="754">
        <f t="shared" si="19"/>
        <v>0</v>
      </c>
      <c r="K210" s="1249"/>
      <c r="L210" s="1250"/>
      <c r="M210" s="1250"/>
      <c r="N210" s="773" t="str">
        <f t="shared" si="23"/>
        <v/>
      </c>
      <c r="O210" s="774" t="str">
        <f>IF('Set up ~ Config'!$G$32=6,IF(OR($N210=7,$N210=8,$N210=9),1,IF(OR($N210=10,$N210=11,$N210=12),2,IF(OR($N210=1,$N210=2,$N210=3),3,IF(OR($N210=4,$N210=5,$N210=6),4,"")))),IF(OR($N210=9,$N210=10,$N210=11),1,IF(OR($N210=12,$N210=1,$N210=2),2,IF(OR($N210=3,$N210=4,$N210=5),3,IF(OR($N210=6,$N210=7,$N210=8),4,"")))))</f>
        <v/>
      </c>
      <c r="P210" s="40"/>
      <c r="Q210" s="63"/>
      <c r="R210" s="64"/>
      <c r="S210" s="755">
        <f t="shared" si="20"/>
        <v>0</v>
      </c>
      <c r="T210" s="64"/>
      <c r="U210" s="64"/>
      <c r="V210" s="64"/>
      <c r="W210" s="64"/>
      <c r="X210" s="64"/>
      <c r="Y210" s="64"/>
      <c r="Z210" s="64"/>
      <c r="AA210" s="64"/>
      <c r="AB210" s="65"/>
      <c r="AC210" s="70"/>
      <c r="AD210" s="71"/>
      <c r="AE210" s="64"/>
      <c r="AF210" s="64"/>
      <c r="AG210" s="64"/>
      <c r="AH210" s="64"/>
      <c r="AI210" s="65"/>
      <c r="AJ210" s="65"/>
      <c r="AK210" s="64"/>
      <c r="AL210" s="74"/>
      <c r="AM210" s="48"/>
      <c r="AN210" s="64"/>
      <c r="AO210" s="64"/>
      <c r="AP210" s="64"/>
      <c r="AQ210" s="64"/>
      <c r="AR210" s="64"/>
      <c r="AS210" s="64"/>
      <c r="AT210" s="64"/>
      <c r="AU210" s="66"/>
      <c r="AV210" s="75"/>
      <c r="AW210" s="65"/>
      <c r="AX210" s="65"/>
      <c r="AY210" s="65"/>
      <c r="AZ210" s="65"/>
      <c r="BA210" s="65"/>
      <c r="BB210" s="65"/>
      <c r="BC210" s="65"/>
      <c r="BD210" s="66"/>
      <c r="BE210" s="48"/>
      <c r="BF210" s="64"/>
      <c r="BG210" s="64"/>
      <c r="BH210" s="66"/>
      <c r="BI210" s="63"/>
      <c r="BJ210" s="64"/>
      <c r="BK210" s="66"/>
      <c r="BL210" s="48"/>
      <c r="BM210" s="64"/>
      <c r="BN210" s="65"/>
      <c r="BO210" s="76"/>
      <c r="BP210" s="37">
        <f t="shared" si="21"/>
        <v>0</v>
      </c>
    </row>
    <row r="211" spans="1:68" ht="25.5" customHeight="1" thickTop="1" thickBot="1" x14ac:dyDescent="0.2">
      <c r="A211" s="17">
        <f t="shared" si="22"/>
        <v>196</v>
      </c>
      <c r="B211" s="1044"/>
      <c r="C211" s="1045"/>
      <c r="D211" s="38"/>
      <c r="E211" s="954"/>
      <c r="F211" s="53"/>
      <c r="G211" s="39"/>
      <c r="H211" s="1050"/>
      <c r="I211" s="684" t="str">
        <f t="shared" si="18"/>
        <v/>
      </c>
      <c r="J211" s="754">
        <f t="shared" si="19"/>
        <v>0</v>
      </c>
      <c r="K211" s="1249"/>
      <c r="L211" s="1250"/>
      <c r="M211" s="1250"/>
      <c r="N211" s="773" t="str">
        <f t="shared" si="23"/>
        <v/>
      </c>
      <c r="O211" s="774" t="str">
        <f>IF('Set up ~ Config'!$G$32=6,IF(OR($N211=7,$N211=8,$N211=9),1,IF(OR($N211=10,$N211=11,$N211=12),2,IF(OR($N211=1,$N211=2,$N211=3),3,IF(OR($N211=4,$N211=5,$N211=6),4,"")))),IF(OR($N211=9,$N211=10,$N211=11),1,IF(OR($N211=12,$N211=1,$N211=2),2,IF(OR($N211=3,$N211=4,$N211=5),3,IF(OR($N211=6,$N211=7,$N211=8),4,"")))))</f>
        <v/>
      </c>
      <c r="P211" s="40"/>
      <c r="Q211" s="63"/>
      <c r="R211" s="64"/>
      <c r="S211" s="755">
        <f t="shared" si="20"/>
        <v>0</v>
      </c>
      <c r="T211" s="64"/>
      <c r="U211" s="64"/>
      <c r="V211" s="64"/>
      <c r="W211" s="64"/>
      <c r="X211" s="64"/>
      <c r="Y211" s="64"/>
      <c r="Z211" s="64"/>
      <c r="AA211" s="64"/>
      <c r="AB211" s="65"/>
      <c r="AC211" s="70"/>
      <c r="AD211" s="71"/>
      <c r="AE211" s="64"/>
      <c r="AF211" s="64"/>
      <c r="AG211" s="64"/>
      <c r="AH211" s="64"/>
      <c r="AI211" s="65"/>
      <c r="AJ211" s="65"/>
      <c r="AK211" s="64"/>
      <c r="AL211" s="74"/>
      <c r="AM211" s="48"/>
      <c r="AN211" s="64"/>
      <c r="AO211" s="64"/>
      <c r="AP211" s="64"/>
      <c r="AQ211" s="64"/>
      <c r="AR211" s="64"/>
      <c r="AS211" s="64"/>
      <c r="AT211" s="64"/>
      <c r="AU211" s="66"/>
      <c r="AV211" s="75"/>
      <c r="AW211" s="65"/>
      <c r="AX211" s="65"/>
      <c r="AY211" s="65"/>
      <c r="AZ211" s="65"/>
      <c r="BA211" s="65"/>
      <c r="BB211" s="65"/>
      <c r="BC211" s="65"/>
      <c r="BD211" s="66"/>
      <c r="BE211" s="48"/>
      <c r="BF211" s="64"/>
      <c r="BG211" s="64"/>
      <c r="BH211" s="66"/>
      <c r="BI211" s="63"/>
      <c r="BJ211" s="64"/>
      <c r="BK211" s="66"/>
      <c r="BL211" s="48"/>
      <c r="BM211" s="64"/>
      <c r="BN211" s="65"/>
      <c r="BO211" s="76"/>
      <c r="BP211" s="37">
        <f t="shared" si="21"/>
        <v>0</v>
      </c>
    </row>
    <row r="212" spans="1:68" ht="25.5" customHeight="1" thickTop="1" thickBot="1" x14ac:dyDescent="0.2">
      <c r="A212" s="17">
        <f t="shared" si="22"/>
        <v>197</v>
      </c>
      <c r="B212" s="1044"/>
      <c r="C212" s="1045"/>
      <c r="D212" s="38"/>
      <c r="E212" s="954"/>
      <c r="F212" s="53"/>
      <c r="G212" s="39"/>
      <c r="H212" s="1050"/>
      <c r="I212" s="684" t="str">
        <f t="shared" si="18"/>
        <v/>
      </c>
      <c r="J212" s="754">
        <f t="shared" si="19"/>
        <v>0</v>
      </c>
      <c r="K212" s="1249"/>
      <c r="L212" s="1250"/>
      <c r="M212" s="1250"/>
      <c r="N212" s="773" t="str">
        <f t="shared" si="23"/>
        <v/>
      </c>
      <c r="O212" s="774" t="str">
        <f>IF('Set up ~ Config'!$G$32=6,IF(OR($N212=7,$N212=8,$N212=9),1,IF(OR($N212=10,$N212=11,$N212=12),2,IF(OR($N212=1,$N212=2,$N212=3),3,IF(OR($N212=4,$N212=5,$N212=6),4,"")))),IF(OR($N212=9,$N212=10,$N212=11),1,IF(OR($N212=12,$N212=1,$N212=2),2,IF(OR($N212=3,$N212=4,$N212=5),3,IF(OR($N212=6,$N212=7,$N212=8),4,"")))))</f>
        <v/>
      </c>
      <c r="P212" s="40"/>
      <c r="Q212" s="63"/>
      <c r="R212" s="64"/>
      <c r="S212" s="755">
        <f t="shared" si="20"/>
        <v>0</v>
      </c>
      <c r="T212" s="64"/>
      <c r="U212" s="64"/>
      <c r="V212" s="64"/>
      <c r="W212" s="64"/>
      <c r="X212" s="64"/>
      <c r="Y212" s="64"/>
      <c r="Z212" s="64"/>
      <c r="AA212" s="64"/>
      <c r="AB212" s="65"/>
      <c r="AC212" s="70"/>
      <c r="AD212" s="71"/>
      <c r="AE212" s="64"/>
      <c r="AF212" s="64"/>
      <c r="AG212" s="64"/>
      <c r="AH212" s="64"/>
      <c r="AI212" s="65"/>
      <c r="AJ212" s="65"/>
      <c r="AK212" s="64"/>
      <c r="AL212" s="74"/>
      <c r="AM212" s="48"/>
      <c r="AN212" s="64"/>
      <c r="AO212" s="64"/>
      <c r="AP212" s="64"/>
      <c r="AQ212" s="64"/>
      <c r="AR212" s="64"/>
      <c r="AS212" s="64"/>
      <c r="AT212" s="64"/>
      <c r="AU212" s="66"/>
      <c r="AV212" s="75"/>
      <c r="AW212" s="65"/>
      <c r="AX212" s="65"/>
      <c r="AY212" s="65"/>
      <c r="AZ212" s="65"/>
      <c r="BA212" s="65"/>
      <c r="BB212" s="65"/>
      <c r="BC212" s="65"/>
      <c r="BD212" s="66"/>
      <c r="BE212" s="48"/>
      <c r="BF212" s="64"/>
      <c r="BG212" s="64"/>
      <c r="BH212" s="66"/>
      <c r="BI212" s="63"/>
      <c r="BJ212" s="64"/>
      <c r="BK212" s="66"/>
      <c r="BL212" s="48"/>
      <c r="BM212" s="64"/>
      <c r="BN212" s="65"/>
      <c r="BO212" s="76"/>
      <c r="BP212" s="37">
        <f t="shared" si="21"/>
        <v>0</v>
      </c>
    </row>
    <row r="213" spans="1:68" ht="25.5" customHeight="1" thickTop="1" thickBot="1" x14ac:dyDescent="0.2">
      <c r="A213" s="17">
        <f t="shared" si="22"/>
        <v>198</v>
      </c>
      <c r="B213" s="1044"/>
      <c r="C213" s="1045"/>
      <c r="D213" s="38"/>
      <c r="E213" s="954"/>
      <c r="F213" s="53"/>
      <c r="G213" s="39"/>
      <c r="H213" s="1050"/>
      <c r="I213" s="684" t="str">
        <f t="shared" si="18"/>
        <v/>
      </c>
      <c r="J213" s="754">
        <f t="shared" si="19"/>
        <v>0</v>
      </c>
      <c r="K213" s="1249"/>
      <c r="L213" s="1250"/>
      <c r="M213" s="1250"/>
      <c r="N213" s="773" t="str">
        <f t="shared" si="23"/>
        <v/>
      </c>
      <c r="O213" s="774" t="str">
        <f>IF('Set up ~ Config'!$G$32=6,IF(OR($N213=7,$N213=8,$N213=9),1,IF(OR($N213=10,$N213=11,$N213=12),2,IF(OR($N213=1,$N213=2,$N213=3),3,IF(OR($N213=4,$N213=5,$N213=6),4,"")))),IF(OR($N213=9,$N213=10,$N213=11),1,IF(OR($N213=12,$N213=1,$N213=2),2,IF(OR($N213=3,$N213=4,$N213=5),3,IF(OR($N213=6,$N213=7,$N213=8),4,"")))))</f>
        <v/>
      </c>
      <c r="P213" s="40"/>
      <c r="Q213" s="63"/>
      <c r="R213" s="64"/>
      <c r="S213" s="755">
        <f t="shared" si="20"/>
        <v>0</v>
      </c>
      <c r="T213" s="64"/>
      <c r="U213" s="64"/>
      <c r="V213" s="64"/>
      <c r="W213" s="64"/>
      <c r="X213" s="64"/>
      <c r="Y213" s="64"/>
      <c r="Z213" s="64"/>
      <c r="AA213" s="64"/>
      <c r="AB213" s="65"/>
      <c r="AC213" s="70"/>
      <c r="AD213" s="71"/>
      <c r="AE213" s="64"/>
      <c r="AF213" s="64"/>
      <c r="AG213" s="64"/>
      <c r="AH213" s="64"/>
      <c r="AI213" s="65"/>
      <c r="AJ213" s="65"/>
      <c r="AK213" s="64"/>
      <c r="AL213" s="74"/>
      <c r="AM213" s="48"/>
      <c r="AN213" s="64"/>
      <c r="AO213" s="64"/>
      <c r="AP213" s="64"/>
      <c r="AQ213" s="64"/>
      <c r="AR213" s="64"/>
      <c r="AS213" s="64"/>
      <c r="AT213" s="64"/>
      <c r="AU213" s="66"/>
      <c r="AV213" s="75"/>
      <c r="AW213" s="65"/>
      <c r="AX213" s="65"/>
      <c r="AY213" s="65"/>
      <c r="AZ213" s="65"/>
      <c r="BA213" s="65"/>
      <c r="BB213" s="65"/>
      <c r="BC213" s="65"/>
      <c r="BD213" s="66"/>
      <c r="BE213" s="48"/>
      <c r="BF213" s="64"/>
      <c r="BG213" s="64"/>
      <c r="BH213" s="66"/>
      <c r="BI213" s="63"/>
      <c r="BJ213" s="64"/>
      <c r="BK213" s="66"/>
      <c r="BL213" s="48"/>
      <c r="BM213" s="64"/>
      <c r="BN213" s="65"/>
      <c r="BO213" s="76"/>
      <c r="BP213" s="37">
        <f t="shared" si="21"/>
        <v>0</v>
      </c>
    </row>
    <row r="214" spans="1:68" ht="25.5" customHeight="1" thickTop="1" thickBot="1" x14ac:dyDescent="0.2">
      <c r="A214" s="17">
        <f t="shared" si="22"/>
        <v>199</v>
      </c>
      <c r="B214" s="1044"/>
      <c r="C214" s="1045"/>
      <c r="D214" s="38"/>
      <c r="E214" s="954"/>
      <c r="F214" s="53"/>
      <c r="G214" s="39"/>
      <c r="H214" s="1050"/>
      <c r="I214" s="684" t="str">
        <f t="shared" si="18"/>
        <v/>
      </c>
      <c r="J214" s="754">
        <f t="shared" si="19"/>
        <v>0</v>
      </c>
      <c r="K214" s="1249"/>
      <c r="L214" s="1250"/>
      <c r="M214" s="1250"/>
      <c r="N214" s="773" t="str">
        <f t="shared" si="23"/>
        <v/>
      </c>
      <c r="O214" s="774" t="str">
        <f>IF('Set up ~ Config'!$G$32=6,IF(OR($N214=7,$N214=8,$N214=9),1,IF(OR($N214=10,$N214=11,$N214=12),2,IF(OR($N214=1,$N214=2,$N214=3),3,IF(OR($N214=4,$N214=5,$N214=6),4,"")))),IF(OR($N214=9,$N214=10,$N214=11),1,IF(OR($N214=12,$N214=1,$N214=2),2,IF(OR($N214=3,$N214=4,$N214=5),3,IF(OR($N214=6,$N214=7,$N214=8),4,"")))))</f>
        <v/>
      </c>
      <c r="P214" s="40"/>
      <c r="Q214" s="63"/>
      <c r="R214" s="64"/>
      <c r="S214" s="755">
        <f t="shared" si="20"/>
        <v>0</v>
      </c>
      <c r="T214" s="64"/>
      <c r="U214" s="64"/>
      <c r="V214" s="64"/>
      <c r="W214" s="64"/>
      <c r="X214" s="64"/>
      <c r="Y214" s="64"/>
      <c r="Z214" s="64"/>
      <c r="AA214" s="64"/>
      <c r="AB214" s="65"/>
      <c r="AC214" s="70"/>
      <c r="AD214" s="71"/>
      <c r="AE214" s="64"/>
      <c r="AF214" s="64"/>
      <c r="AG214" s="64"/>
      <c r="AH214" s="64"/>
      <c r="AI214" s="65"/>
      <c r="AJ214" s="65"/>
      <c r="AK214" s="64"/>
      <c r="AL214" s="74"/>
      <c r="AM214" s="48"/>
      <c r="AN214" s="64"/>
      <c r="AO214" s="64"/>
      <c r="AP214" s="64"/>
      <c r="AQ214" s="64"/>
      <c r="AR214" s="64"/>
      <c r="AS214" s="64"/>
      <c r="AT214" s="64"/>
      <c r="AU214" s="66"/>
      <c r="AV214" s="75"/>
      <c r="AW214" s="65"/>
      <c r="AX214" s="65"/>
      <c r="AY214" s="65"/>
      <c r="AZ214" s="65"/>
      <c r="BA214" s="65"/>
      <c r="BB214" s="65"/>
      <c r="BC214" s="65"/>
      <c r="BD214" s="66"/>
      <c r="BE214" s="48"/>
      <c r="BF214" s="64"/>
      <c r="BG214" s="64"/>
      <c r="BH214" s="66"/>
      <c r="BI214" s="63"/>
      <c r="BJ214" s="64"/>
      <c r="BK214" s="66"/>
      <c r="BL214" s="48"/>
      <c r="BM214" s="64"/>
      <c r="BN214" s="65"/>
      <c r="BO214" s="76"/>
      <c r="BP214" s="37">
        <f t="shared" si="21"/>
        <v>0</v>
      </c>
    </row>
    <row r="215" spans="1:68" ht="25.5" customHeight="1" thickTop="1" thickBot="1" x14ac:dyDescent="0.2">
      <c r="A215" s="17">
        <f t="shared" si="22"/>
        <v>200</v>
      </c>
      <c r="B215" s="1044"/>
      <c r="C215" s="1045"/>
      <c r="D215" s="38"/>
      <c r="E215" s="954"/>
      <c r="F215" s="53"/>
      <c r="G215" s="39"/>
      <c r="H215" s="1050"/>
      <c r="I215" s="684" t="str">
        <f t="shared" si="18"/>
        <v/>
      </c>
      <c r="J215" s="754">
        <f t="shared" si="19"/>
        <v>0</v>
      </c>
      <c r="K215" s="1254"/>
      <c r="L215" s="1253"/>
      <c r="M215" s="1253"/>
      <c r="N215" s="773" t="str">
        <f t="shared" si="23"/>
        <v/>
      </c>
      <c r="O215" s="774" t="str">
        <f>IF('Set up ~ Config'!$G$32=6,IF(OR($N215=7,$N215=8,$N215=9),1,IF(OR($N215=10,$N215=11,$N215=12),2,IF(OR($N215=1,$N215=2,$N215=3),3,IF(OR($N215=4,$N215=5,$N215=6),4,"")))),IF(OR($N215=9,$N215=10,$N215=11),1,IF(OR($N215=12,$N215=1,$N215=2),2,IF(OR($N215=3,$N215=4,$N215=5),3,IF(OR($N215=6,$N215=7,$N215=8),4,"")))))</f>
        <v/>
      </c>
      <c r="P215" s="40"/>
      <c r="Q215" s="67"/>
      <c r="R215" s="68"/>
      <c r="S215" s="755">
        <f t="shared" si="20"/>
        <v>0</v>
      </c>
      <c r="T215" s="68"/>
      <c r="U215" s="68"/>
      <c r="V215" s="68"/>
      <c r="W215" s="68"/>
      <c r="X215" s="68"/>
      <c r="Y215" s="68"/>
      <c r="Z215" s="68"/>
      <c r="AA215" s="68"/>
      <c r="AB215" s="69"/>
      <c r="AC215" s="70"/>
      <c r="AD215" s="71"/>
      <c r="AE215" s="68"/>
      <c r="AF215" s="68"/>
      <c r="AG215" s="68"/>
      <c r="AH215" s="68"/>
      <c r="AI215" s="69"/>
      <c r="AJ215" s="69"/>
      <c r="AK215" s="68"/>
      <c r="AL215" s="77"/>
      <c r="AM215" s="71"/>
      <c r="AN215" s="68"/>
      <c r="AO215" s="68"/>
      <c r="AP215" s="68"/>
      <c r="AQ215" s="68"/>
      <c r="AR215" s="68"/>
      <c r="AS215" s="68"/>
      <c r="AT215" s="68"/>
      <c r="AU215" s="70"/>
      <c r="AV215" s="72"/>
      <c r="AW215" s="69"/>
      <c r="AX215" s="69"/>
      <c r="AY215" s="69"/>
      <c r="AZ215" s="69"/>
      <c r="BA215" s="69"/>
      <c r="BB215" s="69"/>
      <c r="BC215" s="69"/>
      <c r="BD215" s="70"/>
      <c r="BE215" s="71"/>
      <c r="BF215" s="68"/>
      <c r="BG215" s="68"/>
      <c r="BH215" s="70"/>
      <c r="BI215" s="67"/>
      <c r="BJ215" s="68"/>
      <c r="BK215" s="70"/>
      <c r="BL215" s="71"/>
      <c r="BM215" s="68"/>
      <c r="BN215" s="69"/>
      <c r="BO215" s="78"/>
      <c r="BP215" s="37">
        <f t="shared" si="21"/>
        <v>0</v>
      </c>
    </row>
    <row r="216" spans="1:68" ht="25.5" customHeight="1" thickTop="1" thickBot="1" x14ac:dyDescent="0.2">
      <c r="A216" s="17">
        <f t="shared" si="22"/>
        <v>201</v>
      </c>
      <c r="B216" s="1044"/>
      <c r="C216" s="1045"/>
      <c r="D216" s="38"/>
      <c r="E216" s="954"/>
      <c r="F216" s="53"/>
      <c r="G216" s="39"/>
      <c r="H216" s="1050"/>
      <c r="I216" s="684" t="str">
        <f t="shared" si="18"/>
        <v/>
      </c>
      <c r="J216" s="754">
        <f t="shared" si="19"/>
        <v>0</v>
      </c>
      <c r="K216" s="1254"/>
      <c r="L216" s="1253"/>
      <c r="M216" s="1253"/>
      <c r="N216" s="773" t="str">
        <f t="shared" si="23"/>
        <v/>
      </c>
      <c r="O216" s="774" t="str">
        <f>IF('Set up ~ Config'!$G$32=6,IF(OR($N216=7,$N216=8,$N216=9),1,IF(OR($N216=10,$N216=11,$N216=12),2,IF(OR($N216=1,$N216=2,$N216=3),3,IF(OR($N216=4,$N216=5,$N216=6),4,"")))),IF(OR($N216=9,$N216=10,$N216=11),1,IF(OR($N216=12,$N216=1,$N216=2),2,IF(OR($N216=3,$N216=4,$N216=5),3,IF(OR($N216=6,$N216=7,$N216=8),4,"")))))</f>
        <v/>
      </c>
      <c r="P216" s="40"/>
      <c r="Q216" s="67"/>
      <c r="R216" s="68"/>
      <c r="S216" s="755">
        <f t="shared" si="20"/>
        <v>0</v>
      </c>
      <c r="T216" s="68"/>
      <c r="U216" s="68"/>
      <c r="V216" s="68"/>
      <c r="W216" s="68"/>
      <c r="X216" s="68"/>
      <c r="Y216" s="68"/>
      <c r="Z216" s="68"/>
      <c r="AA216" s="68"/>
      <c r="AB216" s="69"/>
      <c r="AC216" s="70"/>
      <c r="AD216" s="71"/>
      <c r="AE216" s="68"/>
      <c r="AF216" s="68"/>
      <c r="AG216" s="68"/>
      <c r="AH216" s="68"/>
      <c r="AI216" s="69"/>
      <c r="AJ216" s="69"/>
      <c r="AK216" s="68"/>
      <c r="AL216" s="77"/>
      <c r="AM216" s="71"/>
      <c r="AN216" s="68"/>
      <c r="AO216" s="68"/>
      <c r="AP216" s="68"/>
      <c r="AQ216" s="68"/>
      <c r="AR216" s="68"/>
      <c r="AS216" s="68"/>
      <c r="AT216" s="68"/>
      <c r="AU216" s="70"/>
      <c r="AV216" s="72"/>
      <c r="AW216" s="69"/>
      <c r="AX216" s="69"/>
      <c r="AY216" s="69"/>
      <c r="AZ216" s="69"/>
      <c r="BA216" s="69"/>
      <c r="BB216" s="69"/>
      <c r="BC216" s="69"/>
      <c r="BD216" s="70"/>
      <c r="BE216" s="71"/>
      <c r="BF216" s="68"/>
      <c r="BG216" s="68"/>
      <c r="BH216" s="70"/>
      <c r="BI216" s="67"/>
      <c r="BJ216" s="68"/>
      <c r="BK216" s="70"/>
      <c r="BL216" s="71"/>
      <c r="BM216" s="68"/>
      <c r="BN216" s="69"/>
      <c r="BO216" s="78"/>
      <c r="BP216" s="37">
        <f t="shared" si="21"/>
        <v>0</v>
      </c>
    </row>
    <row r="217" spans="1:68" ht="25.5" customHeight="1" thickTop="1" thickBot="1" x14ac:dyDescent="0.2">
      <c r="A217" s="17">
        <f t="shared" si="22"/>
        <v>202</v>
      </c>
      <c r="B217" s="1044"/>
      <c r="C217" s="1045"/>
      <c r="D217" s="38"/>
      <c r="E217" s="954"/>
      <c r="F217" s="53"/>
      <c r="G217" s="39"/>
      <c r="H217" s="1050"/>
      <c r="I217" s="684" t="str">
        <f t="shared" si="18"/>
        <v/>
      </c>
      <c r="J217" s="754">
        <f t="shared" si="19"/>
        <v>0</v>
      </c>
      <c r="K217" s="1254"/>
      <c r="L217" s="1253"/>
      <c r="M217" s="1253"/>
      <c r="N217" s="773" t="str">
        <f t="shared" si="23"/>
        <v/>
      </c>
      <c r="O217" s="774" t="str">
        <f>IF('Set up ~ Config'!$G$32=6,IF(OR($N217=7,$N217=8,$N217=9),1,IF(OR($N217=10,$N217=11,$N217=12),2,IF(OR($N217=1,$N217=2,$N217=3),3,IF(OR($N217=4,$N217=5,$N217=6),4,"")))),IF(OR($N217=9,$N217=10,$N217=11),1,IF(OR($N217=12,$N217=1,$N217=2),2,IF(OR($N217=3,$N217=4,$N217=5),3,IF(OR($N217=6,$N217=7,$N217=8),4,"")))))</f>
        <v/>
      </c>
      <c r="P217" s="40"/>
      <c r="Q217" s="67"/>
      <c r="R217" s="68"/>
      <c r="S217" s="755">
        <f t="shared" si="20"/>
        <v>0</v>
      </c>
      <c r="T217" s="68"/>
      <c r="U217" s="68"/>
      <c r="V217" s="68"/>
      <c r="W217" s="68"/>
      <c r="X217" s="68"/>
      <c r="Y217" s="68"/>
      <c r="Z217" s="68"/>
      <c r="AA217" s="68"/>
      <c r="AB217" s="69"/>
      <c r="AC217" s="70"/>
      <c r="AD217" s="71"/>
      <c r="AE217" s="68"/>
      <c r="AF217" s="68"/>
      <c r="AG217" s="68"/>
      <c r="AH217" s="68"/>
      <c r="AI217" s="69"/>
      <c r="AJ217" s="69"/>
      <c r="AK217" s="68"/>
      <c r="AL217" s="77"/>
      <c r="AM217" s="71"/>
      <c r="AN217" s="68"/>
      <c r="AO217" s="68"/>
      <c r="AP217" s="68"/>
      <c r="AQ217" s="68"/>
      <c r="AR217" s="68"/>
      <c r="AS217" s="68"/>
      <c r="AT217" s="68"/>
      <c r="AU217" s="70"/>
      <c r="AV217" s="72"/>
      <c r="AW217" s="69"/>
      <c r="AX217" s="69"/>
      <c r="AY217" s="69"/>
      <c r="AZ217" s="69"/>
      <c r="BA217" s="69"/>
      <c r="BB217" s="69"/>
      <c r="BC217" s="69"/>
      <c r="BD217" s="70"/>
      <c r="BE217" s="71"/>
      <c r="BF217" s="68"/>
      <c r="BG217" s="68"/>
      <c r="BH217" s="70"/>
      <c r="BI217" s="67"/>
      <c r="BJ217" s="68"/>
      <c r="BK217" s="70"/>
      <c r="BL217" s="71"/>
      <c r="BM217" s="68"/>
      <c r="BN217" s="69"/>
      <c r="BO217" s="78"/>
      <c r="BP217" s="37">
        <f t="shared" si="21"/>
        <v>0</v>
      </c>
    </row>
    <row r="218" spans="1:68" ht="25.5" customHeight="1" thickTop="1" thickBot="1" x14ac:dyDescent="0.2">
      <c r="A218" s="17">
        <f t="shared" si="22"/>
        <v>203</v>
      </c>
      <c r="B218" s="1044"/>
      <c r="C218" s="1045"/>
      <c r="D218" s="38"/>
      <c r="E218" s="954"/>
      <c r="F218" s="53"/>
      <c r="G218" s="39"/>
      <c r="H218" s="1050"/>
      <c r="I218" s="684" t="str">
        <f t="shared" si="18"/>
        <v/>
      </c>
      <c r="J218" s="754">
        <f t="shared" si="19"/>
        <v>0</v>
      </c>
      <c r="K218" s="1254"/>
      <c r="L218" s="1253"/>
      <c r="M218" s="1253"/>
      <c r="N218" s="773" t="str">
        <f t="shared" si="23"/>
        <v/>
      </c>
      <c r="O218" s="774" t="str">
        <f>IF('Set up ~ Config'!$G$32=6,IF(OR($N218=7,$N218=8,$N218=9),1,IF(OR($N218=10,$N218=11,$N218=12),2,IF(OR($N218=1,$N218=2,$N218=3),3,IF(OR($N218=4,$N218=5,$N218=6),4,"")))),IF(OR($N218=9,$N218=10,$N218=11),1,IF(OR($N218=12,$N218=1,$N218=2),2,IF(OR($N218=3,$N218=4,$N218=5),3,IF(OR($N218=6,$N218=7,$N218=8),4,"")))))</f>
        <v/>
      </c>
      <c r="P218" s="40"/>
      <c r="Q218" s="67"/>
      <c r="R218" s="68"/>
      <c r="S218" s="755">
        <f t="shared" si="20"/>
        <v>0</v>
      </c>
      <c r="T218" s="68"/>
      <c r="U218" s="68"/>
      <c r="V218" s="68"/>
      <c r="W218" s="68"/>
      <c r="X218" s="68"/>
      <c r="Y218" s="68"/>
      <c r="Z218" s="68"/>
      <c r="AA218" s="68"/>
      <c r="AB218" s="69"/>
      <c r="AC218" s="70"/>
      <c r="AD218" s="71"/>
      <c r="AE218" s="68"/>
      <c r="AF218" s="68"/>
      <c r="AG218" s="68"/>
      <c r="AH218" s="68"/>
      <c r="AI218" s="69"/>
      <c r="AJ218" s="69"/>
      <c r="AK218" s="68"/>
      <c r="AL218" s="77"/>
      <c r="AM218" s="71"/>
      <c r="AN218" s="68"/>
      <c r="AO218" s="68"/>
      <c r="AP218" s="68"/>
      <c r="AQ218" s="68"/>
      <c r="AR218" s="68"/>
      <c r="AS218" s="68"/>
      <c r="AT218" s="68"/>
      <c r="AU218" s="70"/>
      <c r="AV218" s="72"/>
      <c r="AW218" s="69"/>
      <c r="AX218" s="69"/>
      <c r="AY218" s="69"/>
      <c r="AZ218" s="69"/>
      <c r="BA218" s="69"/>
      <c r="BB218" s="69"/>
      <c r="BC218" s="69"/>
      <c r="BD218" s="70"/>
      <c r="BE218" s="71"/>
      <c r="BF218" s="68"/>
      <c r="BG218" s="68"/>
      <c r="BH218" s="70"/>
      <c r="BI218" s="67"/>
      <c r="BJ218" s="68"/>
      <c r="BK218" s="70"/>
      <c r="BL218" s="71"/>
      <c r="BM218" s="68"/>
      <c r="BN218" s="69"/>
      <c r="BO218" s="78"/>
      <c r="BP218" s="37">
        <f t="shared" si="21"/>
        <v>0</v>
      </c>
    </row>
    <row r="219" spans="1:68" ht="25.5" customHeight="1" thickTop="1" thickBot="1" x14ac:dyDescent="0.2">
      <c r="A219" s="17">
        <f t="shared" si="22"/>
        <v>204</v>
      </c>
      <c r="B219" s="1044"/>
      <c r="C219" s="1045"/>
      <c r="D219" s="38"/>
      <c r="E219" s="954"/>
      <c r="F219" s="53"/>
      <c r="G219" s="39"/>
      <c r="H219" s="1050"/>
      <c r="I219" s="684" t="str">
        <f t="shared" si="18"/>
        <v/>
      </c>
      <c r="J219" s="754">
        <f t="shared" si="19"/>
        <v>0</v>
      </c>
      <c r="K219" s="1254"/>
      <c r="L219" s="1253"/>
      <c r="M219" s="1253"/>
      <c r="N219" s="773" t="str">
        <f t="shared" si="23"/>
        <v/>
      </c>
      <c r="O219" s="774" t="str">
        <f>IF('Set up ~ Config'!$G$32=6,IF(OR($N219=7,$N219=8,$N219=9),1,IF(OR($N219=10,$N219=11,$N219=12),2,IF(OR($N219=1,$N219=2,$N219=3),3,IF(OR($N219=4,$N219=5,$N219=6),4,"")))),IF(OR($N219=9,$N219=10,$N219=11),1,IF(OR($N219=12,$N219=1,$N219=2),2,IF(OR($N219=3,$N219=4,$N219=5),3,IF(OR($N219=6,$N219=7,$N219=8),4,"")))))</f>
        <v/>
      </c>
      <c r="P219" s="40"/>
      <c r="Q219" s="67"/>
      <c r="R219" s="68"/>
      <c r="S219" s="755">
        <f t="shared" si="20"/>
        <v>0</v>
      </c>
      <c r="T219" s="68"/>
      <c r="U219" s="68"/>
      <c r="V219" s="68"/>
      <c r="W219" s="68"/>
      <c r="X219" s="68"/>
      <c r="Y219" s="68"/>
      <c r="Z219" s="68"/>
      <c r="AA219" s="68"/>
      <c r="AB219" s="69"/>
      <c r="AC219" s="70"/>
      <c r="AD219" s="71"/>
      <c r="AE219" s="68"/>
      <c r="AF219" s="68"/>
      <c r="AG219" s="68"/>
      <c r="AH219" s="68"/>
      <c r="AI219" s="69"/>
      <c r="AJ219" s="69"/>
      <c r="AK219" s="68"/>
      <c r="AL219" s="77"/>
      <c r="AM219" s="71"/>
      <c r="AN219" s="68"/>
      <c r="AO219" s="68"/>
      <c r="AP219" s="68"/>
      <c r="AQ219" s="68"/>
      <c r="AR219" s="68"/>
      <c r="AS219" s="68"/>
      <c r="AT219" s="68"/>
      <c r="AU219" s="70"/>
      <c r="AV219" s="72"/>
      <c r="AW219" s="69"/>
      <c r="AX219" s="69"/>
      <c r="AY219" s="69"/>
      <c r="AZ219" s="69"/>
      <c r="BA219" s="69"/>
      <c r="BB219" s="69"/>
      <c r="BC219" s="69"/>
      <c r="BD219" s="70"/>
      <c r="BE219" s="71"/>
      <c r="BF219" s="68"/>
      <c r="BG219" s="68"/>
      <c r="BH219" s="70"/>
      <c r="BI219" s="67"/>
      <c r="BJ219" s="68"/>
      <c r="BK219" s="70"/>
      <c r="BL219" s="71"/>
      <c r="BM219" s="68"/>
      <c r="BN219" s="69"/>
      <c r="BO219" s="78"/>
      <c r="BP219" s="37">
        <f t="shared" si="21"/>
        <v>0</v>
      </c>
    </row>
    <row r="220" spans="1:68" ht="25.5" customHeight="1" thickTop="1" thickBot="1" x14ac:dyDescent="0.2">
      <c r="A220" s="17">
        <f t="shared" si="22"/>
        <v>205</v>
      </c>
      <c r="B220" s="1044"/>
      <c r="C220" s="1045"/>
      <c r="D220" s="38"/>
      <c r="E220" s="954"/>
      <c r="F220" s="53"/>
      <c r="G220" s="39"/>
      <c r="H220" s="1050"/>
      <c r="I220" s="684" t="str">
        <f t="shared" si="18"/>
        <v/>
      </c>
      <c r="J220" s="754">
        <f t="shared" si="19"/>
        <v>0</v>
      </c>
      <c r="K220" s="1254"/>
      <c r="L220" s="1253"/>
      <c r="M220" s="1253"/>
      <c r="N220" s="773" t="str">
        <f t="shared" si="23"/>
        <v/>
      </c>
      <c r="O220" s="774" t="str">
        <f>IF('Set up ~ Config'!$G$32=6,IF(OR($N220=7,$N220=8,$N220=9),1,IF(OR($N220=10,$N220=11,$N220=12),2,IF(OR($N220=1,$N220=2,$N220=3),3,IF(OR($N220=4,$N220=5,$N220=6),4,"")))),IF(OR($N220=9,$N220=10,$N220=11),1,IF(OR($N220=12,$N220=1,$N220=2),2,IF(OR($N220=3,$N220=4,$N220=5),3,IF(OR($N220=6,$N220=7,$N220=8),4,"")))))</f>
        <v/>
      </c>
      <c r="P220" s="40"/>
      <c r="Q220" s="67"/>
      <c r="R220" s="68"/>
      <c r="S220" s="755">
        <f t="shared" si="20"/>
        <v>0</v>
      </c>
      <c r="T220" s="68"/>
      <c r="U220" s="68"/>
      <c r="V220" s="68"/>
      <c r="W220" s="68"/>
      <c r="X220" s="68"/>
      <c r="Y220" s="68"/>
      <c r="Z220" s="68"/>
      <c r="AA220" s="68"/>
      <c r="AB220" s="69"/>
      <c r="AC220" s="70"/>
      <c r="AD220" s="71"/>
      <c r="AE220" s="68"/>
      <c r="AF220" s="68"/>
      <c r="AG220" s="68"/>
      <c r="AH220" s="68"/>
      <c r="AI220" s="69"/>
      <c r="AJ220" s="69"/>
      <c r="AK220" s="68"/>
      <c r="AL220" s="77"/>
      <c r="AM220" s="71"/>
      <c r="AN220" s="68"/>
      <c r="AO220" s="68"/>
      <c r="AP220" s="68"/>
      <c r="AQ220" s="68"/>
      <c r="AR220" s="68"/>
      <c r="AS220" s="68"/>
      <c r="AT220" s="68"/>
      <c r="AU220" s="70"/>
      <c r="AV220" s="72"/>
      <c r="AW220" s="69"/>
      <c r="AX220" s="69"/>
      <c r="AY220" s="69"/>
      <c r="AZ220" s="69"/>
      <c r="BA220" s="69"/>
      <c r="BB220" s="69"/>
      <c r="BC220" s="69"/>
      <c r="BD220" s="70"/>
      <c r="BE220" s="71"/>
      <c r="BF220" s="68"/>
      <c r="BG220" s="68"/>
      <c r="BH220" s="70"/>
      <c r="BI220" s="67"/>
      <c r="BJ220" s="68"/>
      <c r="BK220" s="70"/>
      <c r="BL220" s="71"/>
      <c r="BM220" s="68"/>
      <c r="BN220" s="69"/>
      <c r="BO220" s="78"/>
      <c r="BP220" s="37">
        <f t="shared" si="21"/>
        <v>0</v>
      </c>
    </row>
    <row r="221" spans="1:68" ht="25.5" customHeight="1" thickTop="1" thickBot="1" x14ac:dyDescent="0.2">
      <c r="A221" s="17">
        <f t="shared" si="22"/>
        <v>206</v>
      </c>
      <c r="B221" s="1044"/>
      <c r="C221" s="1045"/>
      <c r="D221" s="38"/>
      <c r="E221" s="954"/>
      <c r="F221" s="53"/>
      <c r="G221" s="39"/>
      <c r="H221" s="1050"/>
      <c r="I221" s="684" t="str">
        <f t="shared" si="18"/>
        <v/>
      </c>
      <c r="J221" s="754">
        <f t="shared" si="19"/>
        <v>0</v>
      </c>
      <c r="K221" s="1254"/>
      <c r="L221" s="1253"/>
      <c r="M221" s="1253"/>
      <c r="N221" s="773" t="str">
        <f t="shared" si="23"/>
        <v/>
      </c>
      <c r="O221" s="774" t="str">
        <f>IF('Set up ~ Config'!$G$32=6,IF(OR($N221=7,$N221=8,$N221=9),1,IF(OR($N221=10,$N221=11,$N221=12),2,IF(OR($N221=1,$N221=2,$N221=3),3,IF(OR($N221=4,$N221=5,$N221=6),4,"")))),IF(OR($N221=9,$N221=10,$N221=11),1,IF(OR($N221=12,$N221=1,$N221=2),2,IF(OR($N221=3,$N221=4,$N221=5),3,IF(OR($N221=6,$N221=7,$N221=8),4,"")))))</f>
        <v/>
      </c>
      <c r="P221" s="40"/>
      <c r="Q221" s="67"/>
      <c r="R221" s="68"/>
      <c r="S221" s="755">
        <f t="shared" si="20"/>
        <v>0</v>
      </c>
      <c r="T221" s="68"/>
      <c r="U221" s="68"/>
      <c r="V221" s="68"/>
      <c r="W221" s="68"/>
      <c r="X221" s="68"/>
      <c r="Y221" s="68"/>
      <c r="Z221" s="68"/>
      <c r="AA221" s="68"/>
      <c r="AB221" s="69"/>
      <c r="AC221" s="70"/>
      <c r="AD221" s="71"/>
      <c r="AE221" s="68"/>
      <c r="AF221" s="68"/>
      <c r="AG221" s="68"/>
      <c r="AH221" s="68"/>
      <c r="AI221" s="69"/>
      <c r="AJ221" s="69"/>
      <c r="AK221" s="68"/>
      <c r="AL221" s="77"/>
      <c r="AM221" s="71"/>
      <c r="AN221" s="68"/>
      <c r="AO221" s="68"/>
      <c r="AP221" s="68"/>
      <c r="AQ221" s="68"/>
      <c r="AR221" s="68"/>
      <c r="AS221" s="68"/>
      <c r="AT221" s="68"/>
      <c r="AU221" s="70"/>
      <c r="AV221" s="72"/>
      <c r="AW221" s="69"/>
      <c r="AX221" s="69"/>
      <c r="AY221" s="69"/>
      <c r="AZ221" s="69"/>
      <c r="BA221" s="69"/>
      <c r="BB221" s="69"/>
      <c r="BC221" s="69"/>
      <c r="BD221" s="70"/>
      <c r="BE221" s="71"/>
      <c r="BF221" s="68"/>
      <c r="BG221" s="68"/>
      <c r="BH221" s="70"/>
      <c r="BI221" s="67"/>
      <c r="BJ221" s="68"/>
      <c r="BK221" s="70"/>
      <c r="BL221" s="71"/>
      <c r="BM221" s="68"/>
      <c r="BN221" s="69"/>
      <c r="BO221" s="78"/>
      <c r="BP221" s="37">
        <f t="shared" si="21"/>
        <v>0</v>
      </c>
    </row>
    <row r="222" spans="1:68" ht="25.5" customHeight="1" thickTop="1" thickBot="1" x14ac:dyDescent="0.2">
      <c r="A222" s="17">
        <f t="shared" si="22"/>
        <v>207</v>
      </c>
      <c r="B222" s="1044"/>
      <c r="C222" s="1045"/>
      <c r="D222" s="38"/>
      <c r="E222" s="954"/>
      <c r="F222" s="53"/>
      <c r="G222" s="39"/>
      <c r="H222" s="1050"/>
      <c r="I222" s="684" t="str">
        <f t="shared" si="18"/>
        <v/>
      </c>
      <c r="J222" s="754">
        <f t="shared" si="19"/>
        <v>0</v>
      </c>
      <c r="K222" s="1254"/>
      <c r="L222" s="1253"/>
      <c r="M222" s="1253"/>
      <c r="N222" s="773" t="str">
        <f t="shared" si="23"/>
        <v/>
      </c>
      <c r="O222" s="774" t="str">
        <f>IF('Set up ~ Config'!$G$32=6,IF(OR($N222=7,$N222=8,$N222=9),1,IF(OR($N222=10,$N222=11,$N222=12),2,IF(OR($N222=1,$N222=2,$N222=3),3,IF(OR($N222=4,$N222=5,$N222=6),4,"")))),IF(OR($N222=9,$N222=10,$N222=11),1,IF(OR($N222=12,$N222=1,$N222=2),2,IF(OR($N222=3,$N222=4,$N222=5),3,IF(OR($N222=6,$N222=7,$N222=8),4,"")))))</f>
        <v/>
      </c>
      <c r="P222" s="40"/>
      <c r="Q222" s="67"/>
      <c r="R222" s="68"/>
      <c r="S222" s="755">
        <f t="shared" si="20"/>
        <v>0</v>
      </c>
      <c r="T222" s="68"/>
      <c r="U222" s="68"/>
      <c r="V222" s="68"/>
      <c r="W222" s="68"/>
      <c r="X222" s="68"/>
      <c r="Y222" s="68"/>
      <c r="Z222" s="68"/>
      <c r="AA222" s="68"/>
      <c r="AB222" s="69"/>
      <c r="AC222" s="70"/>
      <c r="AD222" s="71"/>
      <c r="AE222" s="68"/>
      <c r="AF222" s="68"/>
      <c r="AG222" s="68"/>
      <c r="AH222" s="68"/>
      <c r="AI222" s="69"/>
      <c r="AJ222" s="69"/>
      <c r="AK222" s="68"/>
      <c r="AL222" s="77"/>
      <c r="AM222" s="71"/>
      <c r="AN222" s="68"/>
      <c r="AO222" s="68"/>
      <c r="AP222" s="68"/>
      <c r="AQ222" s="68"/>
      <c r="AR222" s="68"/>
      <c r="AS222" s="68"/>
      <c r="AT222" s="68"/>
      <c r="AU222" s="70"/>
      <c r="AV222" s="72"/>
      <c r="AW222" s="69"/>
      <c r="AX222" s="69"/>
      <c r="AY222" s="69"/>
      <c r="AZ222" s="69"/>
      <c r="BA222" s="69"/>
      <c r="BB222" s="69"/>
      <c r="BC222" s="69"/>
      <c r="BD222" s="70"/>
      <c r="BE222" s="71"/>
      <c r="BF222" s="68"/>
      <c r="BG222" s="68"/>
      <c r="BH222" s="70"/>
      <c r="BI222" s="67"/>
      <c r="BJ222" s="68"/>
      <c r="BK222" s="70"/>
      <c r="BL222" s="71"/>
      <c r="BM222" s="68"/>
      <c r="BN222" s="69"/>
      <c r="BO222" s="78"/>
      <c r="BP222" s="37">
        <f t="shared" si="21"/>
        <v>0</v>
      </c>
    </row>
    <row r="223" spans="1:68" ht="25.5" customHeight="1" thickTop="1" thickBot="1" x14ac:dyDescent="0.2">
      <c r="A223" s="17">
        <f t="shared" si="22"/>
        <v>208</v>
      </c>
      <c r="B223" s="1044"/>
      <c r="C223" s="1045"/>
      <c r="D223" s="38"/>
      <c r="E223" s="954"/>
      <c r="F223" s="53"/>
      <c r="G223" s="39"/>
      <c r="H223" s="1050"/>
      <c r="I223" s="684" t="str">
        <f t="shared" si="18"/>
        <v/>
      </c>
      <c r="J223" s="754">
        <f t="shared" si="19"/>
        <v>0</v>
      </c>
      <c r="K223" s="1254"/>
      <c r="L223" s="1253"/>
      <c r="M223" s="1253"/>
      <c r="N223" s="773" t="str">
        <f t="shared" si="23"/>
        <v/>
      </c>
      <c r="O223" s="774" t="str">
        <f>IF('Set up ~ Config'!$G$32=6,IF(OR($N223=7,$N223=8,$N223=9),1,IF(OR($N223=10,$N223=11,$N223=12),2,IF(OR($N223=1,$N223=2,$N223=3),3,IF(OR($N223=4,$N223=5,$N223=6),4,"")))),IF(OR($N223=9,$N223=10,$N223=11),1,IF(OR($N223=12,$N223=1,$N223=2),2,IF(OR($N223=3,$N223=4,$N223=5),3,IF(OR($N223=6,$N223=7,$N223=8),4,"")))))</f>
        <v/>
      </c>
      <c r="P223" s="40"/>
      <c r="Q223" s="67"/>
      <c r="R223" s="68"/>
      <c r="S223" s="755">
        <f t="shared" si="20"/>
        <v>0</v>
      </c>
      <c r="T223" s="68"/>
      <c r="U223" s="68"/>
      <c r="V223" s="68"/>
      <c r="W223" s="68"/>
      <c r="X223" s="68"/>
      <c r="Y223" s="68"/>
      <c r="Z223" s="68"/>
      <c r="AA223" s="68"/>
      <c r="AB223" s="69"/>
      <c r="AC223" s="70"/>
      <c r="AD223" s="71"/>
      <c r="AE223" s="68"/>
      <c r="AF223" s="68"/>
      <c r="AG223" s="68"/>
      <c r="AH223" s="68"/>
      <c r="AI223" s="69"/>
      <c r="AJ223" s="69"/>
      <c r="AK223" s="68"/>
      <c r="AL223" s="77"/>
      <c r="AM223" s="71"/>
      <c r="AN223" s="68"/>
      <c r="AO223" s="68"/>
      <c r="AP223" s="68"/>
      <c r="AQ223" s="68"/>
      <c r="AR223" s="68"/>
      <c r="AS223" s="68"/>
      <c r="AT223" s="68"/>
      <c r="AU223" s="70"/>
      <c r="AV223" s="72"/>
      <c r="AW223" s="69"/>
      <c r="AX223" s="69"/>
      <c r="AY223" s="69"/>
      <c r="AZ223" s="69"/>
      <c r="BA223" s="69"/>
      <c r="BB223" s="69"/>
      <c r="BC223" s="69"/>
      <c r="BD223" s="70"/>
      <c r="BE223" s="71"/>
      <c r="BF223" s="68"/>
      <c r="BG223" s="68"/>
      <c r="BH223" s="70"/>
      <c r="BI223" s="67"/>
      <c r="BJ223" s="68"/>
      <c r="BK223" s="70"/>
      <c r="BL223" s="71"/>
      <c r="BM223" s="68"/>
      <c r="BN223" s="69"/>
      <c r="BO223" s="78"/>
      <c r="BP223" s="37">
        <f t="shared" si="21"/>
        <v>0</v>
      </c>
    </row>
    <row r="224" spans="1:68" ht="25.5" customHeight="1" thickTop="1" thickBot="1" x14ac:dyDescent="0.2">
      <c r="A224" s="17">
        <f t="shared" si="22"/>
        <v>209</v>
      </c>
      <c r="B224" s="1044"/>
      <c r="C224" s="1045"/>
      <c r="D224" s="38"/>
      <c r="E224" s="954"/>
      <c r="F224" s="53"/>
      <c r="G224" s="39"/>
      <c r="H224" s="1050"/>
      <c r="I224" s="684" t="str">
        <f t="shared" si="18"/>
        <v/>
      </c>
      <c r="J224" s="754">
        <f t="shared" si="19"/>
        <v>0</v>
      </c>
      <c r="K224" s="1254"/>
      <c r="L224" s="1253"/>
      <c r="M224" s="1253"/>
      <c r="N224" s="773" t="str">
        <f t="shared" si="23"/>
        <v/>
      </c>
      <c r="O224" s="774" t="str">
        <f>IF('Set up ~ Config'!$G$32=6,IF(OR($N224=7,$N224=8,$N224=9),1,IF(OR($N224=10,$N224=11,$N224=12),2,IF(OR($N224=1,$N224=2,$N224=3),3,IF(OR($N224=4,$N224=5,$N224=6),4,"")))),IF(OR($N224=9,$N224=10,$N224=11),1,IF(OR($N224=12,$N224=1,$N224=2),2,IF(OR($N224=3,$N224=4,$N224=5),3,IF(OR($N224=6,$N224=7,$N224=8),4,"")))))</f>
        <v/>
      </c>
      <c r="P224" s="40"/>
      <c r="Q224" s="67"/>
      <c r="R224" s="68"/>
      <c r="S224" s="755">
        <f t="shared" si="20"/>
        <v>0</v>
      </c>
      <c r="T224" s="68"/>
      <c r="U224" s="68"/>
      <c r="V224" s="68"/>
      <c r="W224" s="68"/>
      <c r="X224" s="68"/>
      <c r="Y224" s="68"/>
      <c r="Z224" s="68"/>
      <c r="AA224" s="68"/>
      <c r="AB224" s="69"/>
      <c r="AC224" s="70"/>
      <c r="AD224" s="71"/>
      <c r="AE224" s="68"/>
      <c r="AF224" s="68"/>
      <c r="AG224" s="68"/>
      <c r="AH224" s="68"/>
      <c r="AI224" s="69"/>
      <c r="AJ224" s="69"/>
      <c r="AK224" s="68"/>
      <c r="AL224" s="77"/>
      <c r="AM224" s="71"/>
      <c r="AN224" s="68"/>
      <c r="AO224" s="68"/>
      <c r="AP224" s="68"/>
      <c r="AQ224" s="68"/>
      <c r="AR224" s="68"/>
      <c r="AS224" s="68"/>
      <c r="AT224" s="68"/>
      <c r="AU224" s="70"/>
      <c r="AV224" s="72"/>
      <c r="AW224" s="69"/>
      <c r="AX224" s="69"/>
      <c r="AY224" s="69"/>
      <c r="AZ224" s="69"/>
      <c r="BA224" s="69"/>
      <c r="BB224" s="69"/>
      <c r="BC224" s="69"/>
      <c r="BD224" s="70"/>
      <c r="BE224" s="71"/>
      <c r="BF224" s="68"/>
      <c r="BG224" s="68"/>
      <c r="BH224" s="70"/>
      <c r="BI224" s="67"/>
      <c r="BJ224" s="68"/>
      <c r="BK224" s="70"/>
      <c r="BL224" s="71"/>
      <c r="BM224" s="68"/>
      <c r="BN224" s="69"/>
      <c r="BO224" s="78"/>
      <c r="BP224" s="37">
        <f t="shared" si="21"/>
        <v>0</v>
      </c>
    </row>
    <row r="225" spans="1:68" ht="25.5" customHeight="1" thickTop="1" thickBot="1" x14ac:dyDescent="0.2">
      <c r="A225" s="17">
        <f t="shared" si="22"/>
        <v>210</v>
      </c>
      <c r="B225" s="1044"/>
      <c r="C225" s="1045"/>
      <c r="D225" s="38"/>
      <c r="E225" s="954"/>
      <c r="F225" s="53"/>
      <c r="G225" s="39"/>
      <c r="H225" s="1050"/>
      <c r="I225" s="684" t="str">
        <f t="shared" si="18"/>
        <v/>
      </c>
      <c r="J225" s="754">
        <f t="shared" si="19"/>
        <v>0</v>
      </c>
      <c r="K225" s="1254"/>
      <c r="L225" s="1253"/>
      <c r="M225" s="1253"/>
      <c r="N225" s="773" t="str">
        <f t="shared" si="23"/>
        <v/>
      </c>
      <c r="O225" s="774" t="str">
        <f>IF('Set up ~ Config'!$G$32=6,IF(OR($N225=7,$N225=8,$N225=9),1,IF(OR($N225=10,$N225=11,$N225=12),2,IF(OR($N225=1,$N225=2,$N225=3),3,IF(OR($N225=4,$N225=5,$N225=6),4,"")))),IF(OR($N225=9,$N225=10,$N225=11),1,IF(OR($N225=12,$N225=1,$N225=2),2,IF(OR($N225=3,$N225=4,$N225=5),3,IF(OR($N225=6,$N225=7,$N225=8),4,"")))))</f>
        <v/>
      </c>
      <c r="P225" s="40"/>
      <c r="Q225" s="67"/>
      <c r="R225" s="68"/>
      <c r="S225" s="755">
        <f t="shared" si="20"/>
        <v>0</v>
      </c>
      <c r="T225" s="68"/>
      <c r="U225" s="68"/>
      <c r="V225" s="68"/>
      <c r="W225" s="68"/>
      <c r="X225" s="68"/>
      <c r="Y225" s="68"/>
      <c r="Z225" s="68"/>
      <c r="AA225" s="68"/>
      <c r="AB225" s="69"/>
      <c r="AC225" s="70"/>
      <c r="AD225" s="71"/>
      <c r="AE225" s="68"/>
      <c r="AF225" s="68"/>
      <c r="AG225" s="68"/>
      <c r="AH225" s="68"/>
      <c r="AI225" s="69"/>
      <c r="AJ225" s="69"/>
      <c r="AK225" s="68"/>
      <c r="AL225" s="77"/>
      <c r="AM225" s="71"/>
      <c r="AN225" s="68"/>
      <c r="AO225" s="68"/>
      <c r="AP225" s="68"/>
      <c r="AQ225" s="68"/>
      <c r="AR225" s="68"/>
      <c r="AS225" s="68"/>
      <c r="AT225" s="68"/>
      <c r="AU225" s="70"/>
      <c r="AV225" s="72"/>
      <c r="AW225" s="69"/>
      <c r="AX225" s="69"/>
      <c r="AY225" s="69"/>
      <c r="AZ225" s="69"/>
      <c r="BA225" s="69"/>
      <c r="BB225" s="69"/>
      <c r="BC225" s="69"/>
      <c r="BD225" s="70"/>
      <c r="BE225" s="71"/>
      <c r="BF225" s="68"/>
      <c r="BG225" s="68"/>
      <c r="BH225" s="70"/>
      <c r="BI225" s="67"/>
      <c r="BJ225" s="68"/>
      <c r="BK225" s="70"/>
      <c r="BL225" s="71"/>
      <c r="BM225" s="68"/>
      <c r="BN225" s="69"/>
      <c r="BO225" s="78"/>
      <c r="BP225" s="37">
        <f t="shared" si="21"/>
        <v>0</v>
      </c>
    </row>
    <row r="226" spans="1:68" ht="25.5" customHeight="1" thickTop="1" thickBot="1" x14ac:dyDescent="0.2">
      <c r="A226" s="17">
        <f t="shared" si="22"/>
        <v>211</v>
      </c>
      <c r="B226" s="1044"/>
      <c r="C226" s="1045"/>
      <c r="D226" s="38"/>
      <c r="E226" s="954"/>
      <c r="F226" s="53"/>
      <c r="G226" s="39"/>
      <c r="H226" s="1050"/>
      <c r="I226" s="684" t="str">
        <f t="shared" si="18"/>
        <v/>
      </c>
      <c r="J226" s="754">
        <f t="shared" si="19"/>
        <v>0</v>
      </c>
      <c r="K226" s="1254"/>
      <c r="L226" s="1253"/>
      <c r="M226" s="1253"/>
      <c r="N226" s="773" t="str">
        <f t="shared" si="23"/>
        <v/>
      </c>
      <c r="O226" s="774" t="str">
        <f>IF('Set up ~ Config'!$G$32=6,IF(OR($N226=7,$N226=8,$N226=9),1,IF(OR($N226=10,$N226=11,$N226=12),2,IF(OR($N226=1,$N226=2,$N226=3),3,IF(OR($N226=4,$N226=5,$N226=6),4,"")))),IF(OR($N226=9,$N226=10,$N226=11),1,IF(OR($N226=12,$N226=1,$N226=2),2,IF(OR($N226=3,$N226=4,$N226=5),3,IF(OR($N226=6,$N226=7,$N226=8),4,"")))))</f>
        <v/>
      </c>
      <c r="P226" s="40"/>
      <c r="Q226" s="67"/>
      <c r="R226" s="68"/>
      <c r="S226" s="755">
        <f t="shared" si="20"/>
        <v>0</v>
      </c>
      <c r="T226" s="68"/>
      <c r="U226" s="68"/>
      <c r="V226" s="68"/>
      <c r="W226" s="68"/>
      <c r="X226" s="68"/>
      <c r="Y226" s="68"/>
      <c r="Z226" s="68"/>
      <c r="AA226" s="68"/>
      <c r="AB226" s="69"/>
      <c r="AC226" s="70"/>
      <c r="AD226" s="71"/>
      <c r="AE226" s="68"/>
      <c r="AF226" s="68"/>
      <c r="AG226" s="68"/>
      <c r="AH226" s="68"/>
      <c r="AI226" s="69"/>
      <c r="AJ226" s="69"/>
      <c r="AK226" s="68"/>
      <c r="AL226" s="77"/>
      <c r="AM226" s="71"/>
      <c r="AN226" s="68"/>
      <c r="AO226" s="68"/>
      <c r="AP226" s="68"/>
      <c r="AQ226" s="68"/>
      <c r="AR226" s="68"/>
      <c r="AS226" s="68"/>
      <c r="AT226" s="68"/>
      <c r="AU226" s="70"/>
      <c r="AV226" s="72"/>
      <c r="AW226" s="69"/>
      <c r="AX226" s="69"/>
      <c r="AY226" s="69"/>
      <c r="AZ226" s="69"/>
      <c r="BA226" s="69"/>
      <c r="BB226" s="69"/>
      <c r="BC226" s="69"/>
      <c r="BD226" s="70"/>
      <c r="BE226" s="71"/>
      <c r="BF226" s="68"/>
      <c r="BG226" s="68"/>
      <c r="BH226" s="70"/>
      <c r="BI226" s="67"/>
      <c r="BJ226" s="68"/>
      <c r="BK226" s="70"/>
      <c r="BL226" s="71"/>
      <c r="BM226" s="68"/>
      <c r="BN226" s="69"/>
      <c r="BO226" s="78"/>
      <c r="BP226" s="37">
        <f t="shared" si="21"/>
        <v>0</v>
      </c>
    </row>
    <row r="227" spans="1:68" ht="25.5" customHeight="1" thickTop="1" thickBot="1" x14ac:dyDescent="0.2">
      <c r="A227" s="17">
        <f t="shared" si="22"/>
        <v>212</v>
      </c>
      <c r="B227" s="1044"/>
      <c r="C227" s="1045"/>
      <c r="D227" s="38"/>
      <c r="E227" s="954"/>
      <c r="F227" s="53"/>
      <c r="G227" s="39"/>
      <c r="H227" s="1050"/>
      <c r="I227" s="684" t="str">
        <f t="shared" si="18"/>
        <v/>
      </c>
      <c r="J227" s="754">
        <f t="shared" si="19"/>
        <v>0</v>
      </c>
      <c r="K227" s="1254"/>
      <c r="L227" s="1253"/>
      <c r="M227" s="1253"/>
      <c r="N227" s="773" t="str">
        <f t="shared" si="23"/>
        <v/>
      </c>
      <c r="O227" s="774" t="str">
        <f>IF('Set up ~ Config'!$G$32=6,IF(OR($N227=7,$N227=8,$N227=9),1,IF(OR($N227=10,$N227=11,$N227=12),2,IF(OR($N227=1,$N227=2,$N227=3),3,IF(OR($N227=4,$N227=5,$N227=6),4,"")))),IF(OR($N227=9,$N227=10,$N227=11),1,IF(OR($N227=12,$N227=1,$N227=2),2,IF(OR($N227=3,$N227=4,$N227=5),3,IF(OR($N227=6,$N227=7,$N227=8),4,"")))))</f>
        <v/>
      </c>
      <c r="P227" s="40"/>
      <c r="Q227" s="67"/>
      <c r="R227" s="68"/>
      <c r="S227" s="755">
        <f t="shared" si="20"/>
        <v>0</v>
      </c>
      <c r="T227" s="68"/>
      <c r="U227" s="68"/>
      <c r="V227" s="68"/>
      <c r="W227" s="68"/>
      <c r="X227" s="68"/>
      <c r="Y227" s="68"/>
      <c r="Z227" s="68"/>
      <c r="AA227" s="68"/>
      <c r="AB227" s="69"/>
      <c r="AC227" s="70"/>
      <c r="AD227" s="71"/>
      <c r="AE227" s="68"/>
      <c r="AF227" s="68"/>
      <c r="AG227" s="68"/>
      <c r="AH227" s="68"/>
      <c r="AI227" s="69"/>
      <c r="AJ227" s="69"/>
      <c r="AK227" s="68"/>
      <c r="AL227" s="77"/>
      <c r="AM227" s="71"/>
      <c r="AN227" s="68"/>
      <c r="AO227" s="68"/>
      <c r="AP227" s="68"/>
      <c r="AQ227" s="68"/>
      <c r="AR227" s="68"/>
      <c r="AS227" s="68"/>
      <c r="AT227" s="68"/>
      <c r="AU227" s="70"/>
      <c r="AV227" s="72"/>
      <c r="AW227" s="69"/>
      <c r="AX227" s="69"/>
      <c r="AY227" s="69"/>
      <c r="AZ227" s="69"/>
      <c r="BA227" s="69"/>
      <c r="BB227" s="69"/>
      <c r="BC227" s="69"/>
      <c r="BD227" s="70"/>
      <c r="BE227" s="71"/>
      <c r="BF227" s="68"/>
      <c r="BG227" s="68"/>
      <c r="BH227" s="70"/>
      <c r="BI227" s="67"/>
      <c r="BJ227" s="68"/>
      <c r="BK227" s="70"/>
      <c r="BL227" s="71"/>
      <c r="BM227" s="68"/>
      <c r="BN227" s="69"/>
      <c r="BO227" s="78"/>
      <c r="BP227" s="37">
        <f t="shared" si="21"/>
        <v>0</v>
      </c>
    </row>
    <row r="228" spans="1:68" ht="25.5" customHeight="1" thickTop="1" thickBot="1" x14ac:dyDescent="0.2">
      <c r="A228" s="17">
        <f t="shared" si="22"/>
        <v>213</v>
      </c>
      <c r="B228" s="1044"/>
      <c r="C228" s="1045"/>
      <c r="D228" s="38"/>
      <c r="E228" s="954"/>
      <c r="F228" s="53"/>
      <c r="G228" s="39"/>
      <c r="H228" s="1050"/>
      <c r="I228" s="684" t="str">
        <f t="shared" si="18"/>
        <v/>
      </c>
      <c r="J228" s="754">
        <f t="shared" si="19"/>
        <v>0</v>
      </c>
      <c r="K228" s="1254"/>
      <c r="L228" s="1253"/>
      <c r="M228" s="1253"/>
      <c r="N228" s="773" t="str">
        <f t="shared" si="23"/>
        <v/>
      </c>
      <c r="O228" s="774" t="str">
        <f>IF('Set up ~ Config'!$G$32=6,IF(OR($N228=7,$N228=8,$N228=9),1,IF(OR($N228=10,$N228=11,$N228=12),2,IF(OR($N228=1,$N228=2,$N228=3),3,IF(OR($N228=4,$N228=5,$N228=6),4,"")))),IF(OR($N228=9,$N228=10,$N228=11),1,IF(OR($N228=12,$N228=1,$N228=2),2,IF(OR($N228=3,$N228=4,$N228=5),3,IF(OR($N228=6,$N228=7,$N228=8),4,"")))))</f>
        <v/>
      </c>
      <c r="P228" s="40"/>
      <c r="Q228" s="67"/>
      <c r="R228" s="68"/>
      <c r="S228" s="755">
        <f t="shared" si="20"/>
        <v>0</v>
      </c>
      <c r="T228" s="68"/>
      <c r="U228" s="68"/>
      <c r="V228" s="68"/>
      <c r="W228" s="68"/>
      <c r="X228" s="68"/>
      <c r="Y228" s="68"/>
      <c r="Z228" s="68"/>
      <c r="AA228" s="68"/>
      <c r="AB228" s="69"/>
      <c r="AC228" s="70"/>
      <c r="AD228" s="71"/>
      <c r="AE228" s="68"/>
      <c r="AF228" s="68"/>
      <c r="AG228" s="68"/>
      <c r="AH228" s="68"/>
      <c r="AI228" s="69"/>
      <c r="AJ228" s="69"/>
      <c r="AK228" s="68"/>
      <c r="AL228" s="77"/>
      <c r="AM228" s="71"/>
      <c r="AN228" s="68"/>
      <c r="AO228" s="68"/>
      <c r="AP228" s="68"/>
      <c r="AQ228" s="68"/>
      <c r="AR228" s="68"/>
      <c r="AS228" s="68"/>
      <c r="AT228" s="68"/>
      <c r="AU228" s="70"/>
      <c r="AV228" s="72"/>
      <c r="AW228" s="69"/>
      <c r="AX228" s="69"/>
      <c r="AY228" s="69"/>
      <c r="AZ228" s="69"/>
      <c r="BA228" s="69"/>
      <c r="BB228" s="69"/>
      <c r="BC228" s="69"/>
      <c r="BD228" s="70"/>
      <c r="BE228" s="71"/>
      <c r="BF228" s="68"/>
      <c r="BG228" s="68"/>
      <c r="BH228" s="70"/>
      <c r="BI228" s="67"/>
      <c r="BJ228" s="68"/>
      <c r="BK228" s="70"/>
      <c r="BL228" s="71"/>
      <c r="BM228" s="68"/>
      <c r="BN228" s="69"/>
      <c r="BO228" s="78"/>
      <c r="BP228" s="37">
        <f t="shared" si="21"/>
        <v>0</v>
      </c>
    </row>
    <row r="229" spans="1:68" ht="25.5" customHeight="1" thickTop="1" thickBot="1" x14ac:dyDescent="0.2">
      <c r="A229" s="17">
        <f t="shared" si="22"/>
        <v>214</v>
      </c>
      <c r="B229" s="1044"/>
      <c r="C229" s="1045"/>
      <c r="D229" s="38"/>
      <c r="E229" s="954"/>
      <c r="F229" s="53"/>
      <c r="G229" s="39"/>
      <c r="H229" s="1050"/>
      <c r="I229" s="684" t="str">
        <f t="shared" si="18"/>
        <v/>
      </c>
      <c r="J229" s="754">
        <f t="shared" si="19"/>
        <v>0</v>
      </c>
      <c r="K229" s="1254"/>
      <c r="L229" s="1253"/>
      <c r="M229" s="1253"/>
      <c r="N229" s="773" t="str">
        <f t="shared" si="23"/>
        <v/>
      </c>
      <c r="O229" s="774" t="str">
        <f>IF('Set up ~ Config'!$G$32=6,IF(OR($N229=7,$N229=8,$N229=9),1,IF(OR($N229=10,$N229=11,$N229=12),2,IF(OR($N229=1,$N229=2,$N229=3),3,IF(OR($N229=4,$N229=5,$N229=6),4,"")))),IF(OR($N229=9,$N229=10,$N229=11),1,IF(OR($N229=12,$N229=1,$N229=2),2,IF(OR($N229=3,$N229=4,$N229=5),3,IF(OR($N229=6,$N229=7,$N229=8),4,"")))))</f>
        <v/>
      </c>
      <c r="P229" s="40"/>
      <c r="Q229" s="67"/>
      <c r="R229" s="68"/>
      <c r="S229" s="755">
        <f t="shared" si="20"/>
        <v>0</v>
      </c>
      <c r="T229" s="68"/>
      <c r="U229" s="68"/>
      <c r="V229" s="68"/>
      <c r="W229" s="68"/>
      <c r="X229" s="68"/>
      <c r="Y229" s="68"/>
      <c r="Z229" s="68"/>
      <c r="AA229" s="68"/>
      <c r="AB229" s="69"/>
      <c r="AC229" s="70"/>
      <c r="AD229" s="71"/>
      <c r="AE229" s="68"/>
      <c r="AF229" s="68"/>
      <c r="AG229" s="68"/>
      <c r="AH229" s="68"/>
      <c r="AI229" s="69"/>
      <c r="AJ229" s="69"/>
      <c r="AK229" s="68"/>
      <c r="AL229" s="77"/>
      <c r="AM229" s="71"/>
      <c r="AN229" s="68"/>
      <c r="AO229" s="68"/>
      <c r="AP229" s="68"/>
      <c r="AQ229" s="68"/>
      <c r="AR229" s="68"/>
      <c r="AS229" s="68"/>
      <c r="AT229" s="68"/>
      <c r="AU229" s="70"/>
      <c r="AV229" s="72"/>
      <c r="AW229" s="69"/>
      <c r="AX229" s="69"/>
      <c r="AY229" s="69"/>
      <c r="AZ229" s="69"/>
      <c r="BA229" s="69"/>
      <c r="BB229" s="69"/>
      <c r="BC229" s="69"/>
      <c r="BD229" s="70"/>
      <c r="BE229" s="71"/>
      <c r="BF229" s="68"/>
      <c r="BG229" s="68"/>
      <c r="BH229" s="70"/>
      <c r="BI229" s="67"/>
      <c r="BJ229" s="68"/>
      <c r="BK229" s="70"/>
      <c r="BL229" s="71"/>
      <c r="BM229" s="68"/>
      <c r="BN229" s="69"/>
      <c r="BO229" s="78"/>
      <c r="BP229" s="37">
        <f t="shared" si="21"/>
        <v>0</v>
      </c>
    </row>
    <row r="230" spans="1:68" ht="25.5" customHeight="1" thickTop="1" thickBot="1" x14ac:dyDescent="0.2">
      <c r="A230" s="17">
        <f t="shared" si="22"/>
        <v>215</v>
      </c>
      <c r="B230" s="1044"/>
      <c r="C230" s="1045"/>
      <c r="D230" s="38"/>
      <c r="E230" s="954"/>
      <c r="F230" s="53"/>
      <c r="G230" s="39"/>
      <c r="H230" s="1050"/>
      <c r="I230" s="684" t="str">
        <f t="shared" si="18"/>
        <v/>
      </c>
      <c r="J230" s="754">
        <f t="shared" si="19"/>
        <v>0</v>
      </c>
      <c r="K230" s="1254"/>
      <c r="L230" s="1253"/>
      <c r="M230" s="1253"/>
      <c r="N230" s="773" t="str">
        <f t="shared" si="23"/>
        <v/>
      </c>
      <c r="O230" s="774" t="str">
        <f>IF('Set up ~ Config'!$G$32=6,IF(OR($N230=7,$N230=8,$N230=9),1,IF(OR($N230=10,$N230=11,$N230=12),2,IF(OR($N230=1,$N230=2,$N230=3),3,IF(OR($N230=4,$N230=5,$N230=6),4,"")))),IF(OR($N230=9,$N230=10,$N230=11),1,IF(OR($N230=12,$N230=1,$N230=2),2,IF(OR($N230=3,$N230=4,$N230=5),3,IF(OR($N230=6,$N230=7,$N230=8),4,"")))))</f>
        <v/>
      </c>
      <c r="P230" s="40"/>
      <c r="Q230" s="67"/>
      <c r="R230" s="68"/>
      <c r="S230" s="755">
        <f t="shared" si="20"/>
        <v>0</v>
      </c>
      <c r="T230" s="68"/>
      <c r="U230" s="68"/>
      <c r="V230" s="68"/>
      <c r="W230" s="68"/>
      <c r="X230" s="68"/>
      <c r="Y230" s="68"/>
      <c r="Z230" s="68"/>
      <c r="AA230" s="68"/>
      <c r="AB230" s="69"/>
      <c r="AC230" s="70"/>
      <c r="AD230" s="71"/>
      <c r="AE230" s="68"/>
      <c r="AF230" s="68"/>
      <c r="AG230" s="68"/>
      <c r="AH230" s="68"/>
      <c r="AI230" s="69"/>
      <c r="AJ230" s="69"/>
      <c r="AK230" s="68"/>
      <c r="AL230" s="77"/>
      <c r="AM230" s="71"/>
      <c r="AN230" s="68"/>
      <c r="AO230" s="68"/>
      <c r="AP230" s="68"/>
      <c r="AQ230" s="68"/>
      <c r="AR230" s="68"/>
      <c r="AS230" s="68"/>
      <c r="AT230" s="68"/>
      <c r="AU230" s="70"/>
      <c r="AV230" s="72"/>
      <c r="AW230" s="69"/>
      <c r="AX230" s="69"/>
      <c r="AY230" s="69"/>
      <c r="AZ230" s="69"/>
      <c r="BA230" s="69"/>
      <c r="BB230" s="69"/>
      <c r="BC230" s="69"/>
      <c r="BD230" s="70"/>
      <c r="BE230" s="71"/>
      <c r="BF230" s="68"/>
      <c r="BG230" s="68"/>
      <c r="BH230" s="70"/>
      <c r="BI230" s="67"/>
      <c r="BJ230" s="68"/>
      <c r="BK230" s="70"/>
      <c r="BL230" s="71"/>
      <c r="BM230" s="68"/>
      <c r="BN230" s="69"/>
      <c r="BO230" s="78"/>
      <c r="BP230" s="37">
        <f t="shared" si="21"/>
        <v>0</v>
      </c>
    </row>
    <row r="231" spans="1:68" ht="25.5" customHeight="1" thickTop="1" thickBot="1" x14ac:dyDescent="0.2">
      <c r="A231" s="17">
        <f t="shared" si="22"/>
        <v>216</v>
      </c>
      <c r="B231" s="1044"/>
      <c r="C231" s="1045"/>
      <c r="D231" s="38"/>
      <c r="E231" s="954"/>
      <c r="F231" s="53"/>
      <c r="G231" s="39"/>
      <c r="H231" s="1050"/>
      <c r="I231" s="684" t="str">
        <f t="shared" si="18"/>
        <v/>
      </c>
      <c r="J231" s="754">
        <f t="shared" si="19"/>
        <v>0</v>
      </c>
      <c r="K231" s="1254"/>
      <c r="L231" s="1253"/>
      <c r="M231" s="1253"/>
      <c r="N231" s="773" t="str">
        <f t="shared" si="23"/>
        <v/>
      </c>
      <c r="O231" s="774" t="str">
        <f>IF('Set up ~ Config'!$G$32=6,IF(OR($N231=7,$N231=8,$N231=9),1,IF(OR($N231=10,$N231=11,$N231=12),2,IF(OR($N231=1,$N231=2,$N231=3),3,IF(OR($N231=4,$N231=5,$N231=6),4,"")))),IF(OR($N231=9,$N231=10,$N231=11),1,IF(OR($N231=12,$N231=1,$N231=2),2,IF(OR($N231=3,$N231=4,$N231=5),3,IF(OR($N231=6,$N231=7,$N231=8),4,"")))))</f>
        <v/>
      </c>
      <c r="P231" s="40"/>
      <c r="Q231" s="67"/>
      <c r="R231" s="68"/>
      <c r="S231" s="755">
        <f t="shared" si="20"/>
        <v>0</v>
      </c>
      <c r="T231" s="68"/>
      <c r="U231" s="68"/>
      <c r="V231" s="68"/>
      <c r="W231" s="68"/>
      <c r="X231" s="68"/>
      <c r="Y231" s="68"/>
      <c r="Z231" s="68"/>
      <c r="AA231" s="68"/>
      <c r="AB231" s="69"/>
      <c r="AC231" s="70"/>
      <c r="AD231" s="71"/>
      <c r="AE231" s="68"/>
      <c r="AF231" s="68"/>
      <c r="AG231" s="68"/>
      <c r="AH231" s="68"/>
      <c r="AI231" s="69"/>
      <c r="AJ231" s="69"/>
      <c r="AK231" s="68"/>
      <c r="AL231" s="77"/>
      <c r="AM231" s="71"/>
      <c r="AN231" s="68"/>
      <c r="AO231" s="68"/>
      <c r="AP231" s="68"/>
      <c r="AQ231" s="68"/>
      <c r="AR231" s="68"/>
      <c r="AS231" s="68"/>
      <c r="AT231" s="68"/>
      <c r="AU231" s="70"/>
      <c r="AV231" s="72"/>
      <c r="AW231" s="69"/>
      <c r="AX231" s="69"/>
      <c r="AY231" s="69"/>
      <c r="AZ231" s="69"/>
      <c r="BA231" s="69"/>
      <c r="BB231" s="69"/>
      <c r="BC231" s="69"/>
      <c r="BD231" s="70"/>
      <c r="BE231" s="71"/>
      <c r="BF231" s="68"/>
      <c r="BG231" s="68"/>
      <c r="BH231" s="70"/>
      <c r="BI231" s="67"/>
      <c r="BJ231" s="68"/>
      <c r="BK231" s="70"/>
      <c r="BL231" s="71"/>
      <c r="BM231" s="68"/>
      <c r="BN231" s="69"/>
      <c r="BO231" s="78"/>
      <c r="BP231" s="37">
        <f t="shared" si="21"/>
        <v>0</v>
      </c>
    </row>
    <row r="232" spans="1:68" ht="25.5" customHeight="1" thickTop="1" thickBot="1" x14ac:dyDescent="0.2">
      <c r="A232" s="17">
        <f t="shared" si="22"/>
        <v>217</v>
      </c>
      <c r="B232" s="1044"/>
      <c r="C232" s="1045"/>
      <c r="D232" s="38"/>
      <c r="E232" s="954"/>
      <c r="F232" s="53"/>
      <c r="G232" s="39"/>
      <c r="H232" s="1050"/>
      <c r="I232" s="684" t="str">
        <f t="shared" si="18"/>
        <v/>
      </c>
      <c r="J232" s="754">
        <f t="shared" si="19"/>
        <v>0</v>
      </c>
      <c r="K232" s="1254"/>
      <c r="L232" s="1253"/>
      <c r="M232" s="1253"/>
      <c r="N232" s="773" t="str">
        <f t="shared" si="23"/>
        <v/>
      </c>
      <c r="O232" s="774" t="str">
        <f>IF('Set up ~ Config'!$G$32=6,IF(OR($N232=7,$N232=8,$N232=9),1,IF(OR($N232=10,$N232=11,$N232=12),2,IF(OR($N232=1,$N232=2,$N232=3),3,IF(OR($N232=4,$N232=5,$N232=6),4,"")))),IF(OR($N232=9,$N232=10,$N232=11),1,IF(OR($N232=12,$N232=1,$N232=2),2,IF(OR($N232=3,$N232=4,$N232=5),3,IF(OR($N232=6,$N232=7,$N232=8),4,"")))))</f>
        <v/>
      </c>
      <c r="P232" s="40"/>
      <c r="Q232" s="67"/>
      <c r="R232" s="68"/>
      <c r="S232" s="755">
        <f t="shared" si="20"/>
        <v>0</v>
      </c>
      <c r="T232" s="68"/>
      <c r="U232" s="68"/>
      <c r="V232" s="68"/>
      <c r="W232" s="68"/>
      <c r="X232" s="68"/>
      <c r="Y232" s="68"/>
      <c r="Z232" s="68"/>
      <c r="AA232" s="68"/>
      <c r="AB232" s="69"/>
      <c r="AC232" s="70"/>
      <c r="AD232" s="71"/>
      <c r="AE232" s="68"/>
      <c r="AF232" s="68"/>
      <c r="AG232" s="68"/>
      <c r="AH232" s="68"/>
      <c r="AI232" s="69"/>
      <c r="AJ232" s="69"/>
      <c r="AK232" s="68"/>
      <c r="AL232" s="77"/>
      <c r="AM232" s="71"/>
      <c r="AN232" s="68"/>
      <c r="AO232" s="68"/>
      <c r="AP232" s="68"/>
      <c r="AQ232" s="68"/>
      <c r="AR232" s="68"/>
      <c r="AS232" s="68"/>
      <c r="AT232" s="68"/>
      <c r="AU232" s="70"/>
      <c r="AV232" s="72"/>
      <c r="AW232" s="69"/>
      <c r="AX232" s="69"/>
      <c r="AY232" s="69"/>
      <c r="AZ232" s="69"/>
      <c r="BA232" s="69"/>
      <c r="BB232" s="69"/>
      <c r="BC232" s="69"/>
      <c r="BD232" s="70"/>
      <c r="BE232" s="71"/>
      <c r="BF232" s="68"/>
      <c r="BG232" s="68"/>
      <c r="BH232" s="70"/>
      <c r="BI232" s="67"/>
      <c r="BJ232" s="68"/>
      <c r="BK232" s="70"/>
      <c r="BL232" s="71"/>
      <c r="BM232" s="68"/>
      <c r="BN232" s="69"/>
      <c r="BO232" s="78"/>
      <c r="BP232" s="37">
        <f t="shared" si="21"/>
        <v>0</v>
      </c>
    </row>
    <row r="233" spans="1:68" ht="25.5" customHeight="1" thickTop="1" thickBot="1" x14ac:dyDescent="0.2">
      <c r="A233" s="17">
        <f t="shared" si="22"/>
        <v>218</v>
      </c>
      <c r="B233" s="1044"/>
      <c r="C233" s="1045"/>
      <c r="D233" s="38"/>
      <c r="E233" s="954"/>
      <c r="F233" s="53"/>
      <c r="G233" s="39"/>
      <c r="H233" s="1050"/>
      <c r="I233" s="684" t="str">
        <f t="shared" si="18"/>
        <v/>
      </c>
      <c r="J233" s="754">
        <f t="shared" si="19"/>
        <v>0</v>
      </c>
      <c r="K233" s="1254"/>
      <c r="L233" s="1253"/>
      <c r="M233" s="1253"/>
      <c r="N233" s="773" t="str">
        <f t="shared" si="23"/>
        <v/>
      </c>
      <c r="O233" s="774" t="str">
        <f>IF('Set up ~ Config'!$G$32=6,IF(OR($N233=7,$N233=8,$N233=9),1,IF(OR($N233=10,$N233=11,$N233=12),2,IF(OR($N233=1,$N233=2,$N233=3),3,IF(OR($N233=4,$N233=5,$N233=6),4,"")))),IF(OR($N233=9,$N233=10,$N233=11),1,IF(OR($N233=12,$N233=1,$N233=2),2,IF(OR($N233=3,$N233=4,$N233=5),3,IF(OR($N233=6,$N233=7,$N233=8),4,"")))))</f>
        <v/>
      </c>
      <c r="P233" s="40"/>
      <c r="Q233" s="67"/>
      <c r="R233" s="68"/>
      <c r="S233" s="755">
        <f t="shared" si="20"/>
        <v>0</v>
      </c>
      <c r="T233" s="68"/>
      <c r="U233" s="68"/>
      <c r="V233" s="68"/>
      <c r="W233" s="68"/>
      <c r="X233" s="68"/>
      <c r="Y233" s="68"/>
      <c r="Z233" s="68"/>
      <c r="AA233" s="68"/>
      <c r="AB233" s="69"/>
      <c r="AC233" s="70"/>
      <c r="AD233" s="71"/>
      <c r="AE233" s="68"/>
      <c r="AF233" s="68"/>
      <c r="AG233" s="68"/>
      <c r="AH233" s="68"/>
      <c r="AI233" s="69"/>
      <c r="AJ233" s="69"/>
      <c r="AK233" s="68"/>
      <c r="AL233" s="77"/>
      <c r="AM233" s="71"/>
      <c r="AN233" s="68"/>
      <c r="AO233" s="68"/>
      <c r="AP233" s="68"/>
      <c r="AQ233" s="68"/>
      <c r="AR233" s="68"/>
      <c r="AS233" s="68"/>
      <c r="AT233" s="68"/>
      <c r="AU233" s="70"/>
      <c r="AV233" s="72"/>
      <c r="AW233" s="69"/>
      <c r="AX233" s="69"/>
      <c r="AY233" s="69"/>
      <c r="AZ233" s="69"/>
      <c r="BA233" s="69"/>
      <c r="BB233" s="69"/>
      <c r="BC233" s="69"/>
      <c r="BD233" s="70"/>
      <c r="BE233" s="71"/>
      <c r="BF233" s="68"/>
      <c r="BG233" s="68"/>
      <c r="BH233" s="70"/>
      <c r="BI233" s="67"/>
      <c r="BJ233" s="68"/>
      <c r="BK233" s="70"/>
      <c r="BL233" s="71"/>
      <c r="BM233" s="68"/>
      <c r="BN233" s="69"/>
      <c r="BO233" s="78"/>
      <c r="BP233" s="37">
        <f t="shared" si="21"/>
        <v>0</v>
      </c>
    </row>
    <row r="234" spans="1:68" ht="25.5" customHeight="1" thickTop="1" thickBot="1" x14ac:dyDescent="0.2">
      <c r="A234" s="17">
        <f t="shared" si="22"/>
        <v>219</v>
      </c>
      <c r="B234" s="1044"/>
      <c r="C234" s="1045"/>
      <c r="D234" s="38"/>
      <c r="E234" s="954"/>
      <c r="F234" s="53"/>
      <c r="G234" s="39"/>
      <c r="H234" s="1050"/>
      <c r="I234" s="684" t="str">
        <f t="shared" si="18"/>
        <v/>
      </c>
      <c r="J234" s="754">
        <f t="shared" si="19"/>
        <v>0</v>
      </c>
      <c r="K234" s="1254"/>
      <c r="L234" s="1253"/>
      <c r="M234" s="1253"/>
      <c r="N234" s="773" t="str">
        <f t="shared" si="23"/>
        <v/>
      </c>
      <c r="O234" s="774" t="str">
        <f>IF('Set up ~ Config'!$G$32=6,IF(OR($N234=7,$N234=8,$N234=9),1,IF(OR($N234=10,$N234=11,$N234=12),2,IF(OR($N234=1,$N234=2,$N234=3),3,IF(OR($N234=4,$N234=5,$N234=6),4,"")))),IF(OR($N234=9,$N234=10,$N234=11),1,IF(OR($N234=12,$N234=1,$N234=2),2,IF(OR($N234=3,$N234=4,$N234=5),3,IF(OR($N234=6,$N234=7,$N234=8),4,"")))))</f>
        <v/>
      </c>
      <c r="P234" s="40"/>
      <c r="Q234" s="67"/>
      <c r="R234" s="68"/>
      <c r="S234" s="755">
        <f t="shared" si="20"/>
        <v>0</v>
      </c>
      <c r="T234" s="68"/>
      <c r="U234" s="68"/>
      <c r="V234" s="68"/>
      <c r="W234" s="68"/>
      <c r="X234" s="68"/>
      <c r="Y234" s="68"/>
      <c r="Z234" s="68"/>
      <c r="AA234" s="68"/>
      <c r="AB234" s="69"/>
      <c r="AC234" s="70"/>
      <c r="AD234" s="71"/>
      <c r="AE234" s="68"/>
      <c r="AF234" s="68"/>
      <c r="AG234" s="68"/>
      <c r="AH234" s="68"/>
      <c r="AI234" s="69"/>
      <c r="AJ234" s="69"/>
      <c r="AK234" s="68"/>
      <c r="AL234" s="77"/>
      <c r="AM234" s="71"/>
      <c r="AN234" s="68"/>
      <c r="AO234" s="68"/>
      <c r="AP234" s="68"/>
      <c r="AQ234" s="68"/>
      <c r="AR234" s="68"/>
      <c r="AS234" s="68"/>
      <c r="AT234" s="68"/>
      <c r="AU234" s="70"/>
      <c r="AV234" s="72"/>
      <c r="AW234" s="69"/>
      <c r="AX234" s="69"/>
      <c r="AY234" s="69"/>
      <c r="AZ234" s="69"/>
      <c r="BA234" s="69"/>
      <c r="BB234" s="69"/>
      <c r="BC234" s="69"/>
      <c r="BD234" s="70"/>
      <c r="BE234" s="71"/>
      <c r="BF234" s="68"/>
      <c r="BG234" s="68"/>
      <c r="BH234" s="70"/>
      <c r="BI234" s="67"/>
      <c r="BJ234" s="68"/>
      <c r="BK234" s="70"/>
      <c r="BL234" s="71"/>
      <c r="BM234" s="68"/>
      <c r="BN234" s="69"/>
      <c r="BO234" s="78"/>
      <c r="BP234" s="37">
        <f t="shared" si="21"/>
        <v>0</v>
      </c>
    </row>
    <row r="235" spans="1:68" ht="25.5" customHeight="1" thickTop="1" thickBot="1" x14ac:dyDescent="0.2">
      <c r="A235" s="17">
        <f t="shared" si="22"/>
        <v>220</v>
      </c>
      <c r="B235" s="1044"/>
      <c r="C235" s="1045"/>
      <c r="D235" s="38"/>
      <c r="E235" s="954"/>
      <c r="F235" s="53"/>
      <c r="G235" s="39"/>
      <c r="H235" s="1050"/>
      <c r="I235" s="684" t="str">
        <f t="shared" si="18"/>
        <v/>
      </c>
      <c r="J235" s="754">
        <f t="shared" si="19"/>
        <v>0</v>
      </c>
      <c r="K235" s="1254"/>
      <c r="L235" s="1253"/>
      <c r="M235" s="1253"/>
      <c r="N235" s="773" t="str">
        <f t="shared" si="23"/>
        <v/>
      </c>
      <c r="O235" s="774" t="str">
        <f>IF('Set up ~ Config'!$G$32=6,IF(OR($N235=7,$N235=8,$N235=9),1,IF(OR($N235=10,$N235=11,$N235=12),2,IF(OR($N235=1,$N235=2,$N235=3),3,IF(OR($N235=4,$N235=5,$N235=6),4,"")))),IF(OR($N235=9,$N235=10,$N235=11),1,IF(OR($N235=12,$N235=1,$N235=2),2,IF(OR($N235=3,$N235=4,$N235=5),3,IF(OR($N235=6,$N235=7,$N235=8),4,"")))))</f>
        <v/>
      </c>
      <c r="P235" s="40"/>
      <c r="Q235" s="67"/>
      <c r="R235" s="68"/>
      <c r="S235" s="755">
        <f t="shared" si="20"/>
        <v>0</v>
      </c>
      <c r="T235" s="68"/>
      <c r="U235" s="68"/>
      <c r="V235" s="68"/>
      <c r="W235" s="68"/>
      <c r="X235" s="68"/>
      <c r="Y235" s="68"/>
      <c r="Z235" s="68"/>
      <c r="AA235" s="68"/>
      <c r="AB235" s="69"/>
      <c r="AC235" s="70"/>
      <c r="AD235" s="71"/>
      <c r="AE235" s="68"/>
      <c r="AF235" s="68"/>
      <c r="AG235" s="68"/>
      <c r="AH235" s="68"/>
      <c r="AI235" s="69"/>
      <c r="AJ235" s="69"/>
      <c r="AK235" s="68"/>
      <c r="AL235" s="77"/>
      <c r="AM235" s="71"/>
      <c r="AN235" s="68"/>
      <c r="AO235" s="68"/>
      <c r="AP235" s="68"/>
      <c r="AQ235" s="68"/>
      <c r="AR235" s="68"/>
      <c r="AS235" s="68"/>
      <c r="AT235" s="68"/>
      <c r="AU235" s="70"/>
      <c r="AV235" s="72"/>
      <c r="AW235" s="69"/>
      <c r="AX235" s="69"/>
      <c r="AY235" s="69"/>
      <c r="AZ235" s="69"/>
      <c r="BA235" s="69"/>
      <c r="BB235" s="69"/>
      <c r="BC235" s="69"/>
      <c r="BD235" s="70"/>
      <c r="BE235" s="71"/>
      <c r="BF235" s="68"/>
      <c r="BG235" s="68"/>
      <c r="BH235" s="70"/>
      <c r="BI235" s="67"/>
      <c r="BJ235" s="68"/>
      <c r="BK235" s="70"/>
      <c r="BL235" s="71"/>
      <c r="BM235" s="68"/>
      <c r="BN235" s="69"/>
      <c r="BO235" s="78"/>
      <c r="BP235" s="37">
        <f t="shared" si="21"/>
        <v>0</v>
      </c>
    </row>
    <row r="236" spans="1:68" ht="25.5" customHeight="1" thickTop="1" thickBot="1" x14ac:dyDescent="0.2">
      <c r="A236" s="17">
        <f t="shared" si="22"/>
        <v>221</v>
      </c>
      <c r="B236" s="1044"/>
      <c r="C236" s="1045"/>
      <c r="D236" s="38"/>
      <c r="E236" s="954"/>
      <c r="F236" s="53"/>
      <c r="G236" s="39"/>
      <c r="H236" s="1050"/>
      <c r="I236" s="684" t="str">
        <f t="shared" si="18"/>
        <v/>
      </c>
      <c r="J236" s="754">
        <f t="shared" si="19"/>
        <v>0</v>
      </c>
      <c r="K236" s="1254"/>
      <c r="L236" s="1253"/>
      <c r="M236" s="1253"/>
      <c r="N236" s="773" t="str">
        <f t="shared" si="23"/>
        <v/>
      </c>
      <c r="O236" s="774" t="str">
        <f>IF('Set up ~ Config'!$G$32=6,IF(OR($N236=7,$N236=8,$N236=9),1,IF(OR($N236=10,$N236=11,$N236=12),2,IF(OR($N236=1,$N236=2,$N236=3),3,IF(OR($N236=4,$N236=5,$N236=6),4,"")))),IF(OR($N236=9,$N236=10,$N236=11),1,IF(OR($N236=12,$N236=1,$N236=2),2,IF(OR($N236=3,$N236=4,$N236=5),3,IF(OR($N236=6,$N236=7,$N236=8),4,"")))))</f>
        <v/>
      </c>
      <c r="P236" s="40"/>
      <c r="Q236" s="67"/>
      <c r="R236" s="68"/>
      <c r="S236" s="755">
        <f t="shared" si="20"/>
        <v>0</v>
      </c>
      <c r="T236" s="68"/>
      <c r="U236" s="68"/>
      <c r="V236" s="68"/>
      <c r="W236" s="68"/>
      <c r="X236" s="68"/>
      <c r="Y236" s="68"/>
      <c r="Z236" s="68"/>
      <c r="AA236" s="68"/>
      <c r="AB236" s="69"/>
      <c r="AC236" s="70"/>
      <c r="AD236" s="71"/>
      <c r="AE236" s="68"/>
      <c r="AF236" s="68"/>
      <c r="AG236" s="68"/>
      <c r="AH236" s="68"/>
      <c r="AI236" s="69"/>
      <c r="AJ236" s="69"/>
      <c r="AK236" s="68"/>
      <c r="AL236" s="77"/>
      <c r="AM236" s="71"/>
      <c r="AN236" s="68"/>
      <c r="AO236" s="68"/>
      <c r="AP236" s="68"/>
      <c r="AQ236" s="68"/>
      <c r="AR236" s="68"/>
      <c r="AS236" s="68"/>
      <c r="AT236" s="68"/>
      <c r="AU236" s="70"/>
      <c r="AV236" s="72"/>
      <c r="AW236" s="69"/>
      <c r="AX236" s="69"/>
      <c r="AY236" s="69"/>
      <c r="AZ236" s="69"/>
      <c r="BA236" s="69"/>
      <c r="BB236" s="69"/>
      <c r="BC236" s="69"/>
      <c r="BD236" s="70"/>
      <c r="BE236" s="71"/>
      <c r="BF236" s="68"/>
      <c r="BG236" s="68"/>
      <c r="BH236" s="70"/>
      <c r="BI236" s="67"/>
      <c r="BJ236" s="68"/>
      <c r="BK236" s="70"/>
      <c r="BL236" s="71"/>
      <c r="BM236" s="68"/>
      <c r="BN236" s="69"/>
      <c r="BO236" s="78"/>
      <c r="BP236" s="37">
        <f t="shared" si="21"/>
        <v>0</v>
      </c>
    </row>
    <row r="237" spans="1:68" ht="25.5" customHeight="1" thickTop="1" thickBot="1" x14ac:dyDescent="0.2">
      <c r="A237" s="17">
        <f t="shared" si="22"/>
        <v>222</v>
      </c>
      <c r="B237" s="1044"/>
      <c r="C237" s="1045"/>
      <c r="D237" s="38"/>
      <c r="E237" s="954"/>
      <c r="F237" s="53"/>
      <c r="G237" s="39"/>
      <c r="H237" s="1050"/>
      <c r="I237" s="684" t="str">
        <f t="shared" si="18"/>
        <v/>
      </c>
      <c r="J237" s="754">
        <f t="shared" si="19"/>
        <v>0</v>
      </c>
      <c r="K237" s="1254"/>
      <c r="L237" s="1253"/>
      <c r="M237" s="1253"/>
      <c r="N237" s="773" t="str">
        <f t="shared" si="23"/>
        <v/>
      </c>
      <c r="O237" s="774" t="str">
        <f>IF('Set up ~ Config'!$G$32=6,IF(OR($N237=7,$N237=8,$N237=9),1,IF(OR($N237=10,$N237=11,$N237=12),2,IF(OR($N237=1,$N237=2,$N237=3),3,IF(OR($N237=4,$N237=5,$N237=6),4,"")))),IF(OR($N237=9,$N237=10,$N237=11),1,IF(OR($N237=12,$N237=1,$N237=2),2,IF(OR($N237=3,$N237=4,$N237=5),3,IF(OR($N237=6,$N237=7,$N237=8),4,"")))))</f>
        <v/>
      </c>
      <c r="P237" s="40"/>
      <c r="Q237" s="67"/>
      <c r="R237" s="68"/>
      <c r="S237" s="755">
        <f t="shared" si="20"/>
        <v>0</v>
      </c>
      <c r="T237" s="68"/>
      <c r="U237" s="68"/>
      <c r="V237" s="68"/>
      <c r="W237" s="68"/>
      <c r="X237" s="68"/>
      <c r="Y237" s="68"/>
      <c r="Z237" s="68"/>
      <c r="AA237" s="68"/>
      <c r="AB237" s="69"/>
      <c r="AC237" s="70"/>
      <c r="AD237" s="71"/>
      <c r="AE237" s="68"/>
      <c r="AF237" s="68"/>
      <c r="AG237" s="68"/>
      <c r="AH237" s="68"/>
      <c r="AI237" s="69"/>
      <c r="AJ237" s="69"/>
      <c r="AK237" s="68"/>
      <c r="AL237" s="77"/>
      <c r="AM237" s="71"/>
      <c r="AN237" s="68"/>
      <c r="AO237" s="68"/>
      <c r="AP237" s="68"/>
      <c r="AQ237" s="68"/>
      <c r="AR237" s="68"/>
      <c r="AS237" s="68"/>
      <c r="AT237" s="68"/>
      <c r="AU237" s="70"/>
      <c r="AV237" s="72"/>
      <c r="AW237" s="69"/>
      <c r="AX237" s="69"/>
      <c r="AY237" s="69"/>
      <c r="AZ237" s="69"/>
      <c r="BA237" s="69"/>
      <c r="BB237" s="69"/>
      <c r="BC237" s="69"/>
      <c r="BD237" s="70"/>
      <c r="BE237" s="71"/>
      <c r="BF237" s="68"/>
      <c r="BG237" s="68"/>
      <c r="BH237" s="70"/>
      <c r="BI237" s="67"/>
      <c r="BJ237" s="68"/>
      <c r="BK237" s="70"/>
      <c r="BL237" s="71"/>
      <c r="BM237" s="68"/>
      <c r="BN237" s="69"/>
      <c r="BO237" s="78"/>
      <c r="BP237" s="37">
        <f t="shared" si="21"/>
        <v>0</v>
      </c>
    </row>
    <row r="238" spans="1:68" ht="25.5" customHeight="1" thickTop="1" thickBot="1" x14ac:dyDescent="0.2">
      <c r="A238" s="17">
        <f t="shared" si="22"/>
        <v>223</v>
      </c>
      <c r="B238" s="1044"/>
      <c r="C238" s="1045"/>
      <c r="D238" s="38"/>
      <c r="E238" s="954"/>
      <c r="F238" s="53"/>
      <c r="G238" s="39"/>
      <c r="H238" s="1050"/>
      <c r="I238" s="684" t="str">
        <f t="shared" si="18"/>
        <v/>
      </c>
      <c r="J238" s="754">
        <f t="shared" si="19"/>
        <v>0</v>
      </c>
      <c r="K238" s="1254"/>
      <c r="L238" s="1253"/>
      <c r="M238" s="1253"/>
      <c r="N238" s="773" t="str">
        <f t="shared" si="23"/>
        <v/>
      </c>
      <c r="O238" s="774" t="str">
        <f>IF('Set up ~ Config'!$G$32=6,IF(OR($N238=7,$N238=8,$N238=9),1,IF(OR($N238=10,$N238=11,$N238=12),2,IF(OR($N238=1,$N238=2,$N238=3),3,IF(OR($N238=4,$N238=5,$N238=6),4,"")))),IF(OR($N238=9,$N238=10,$N238=11),1,IF(OR($N238=12,$N238=1,$N238=2),2,IF(OR($N238=3,$N238=4,$N238=5),3,IF(OR($N238=6,$N238=7,$N238=8),4,"")))))</f>
        <v/>
      </c>
      <c r="P238" s="40"/>
      <c r="Q238" s="67"/>
      <c r="R238" s="68"/>
      <c r="S238" s="755">
        <f t="shared" si="20"/>
        <v>0</v>
      </c>
      <c r="T238" s="68"/>
      <c r="U238" s="68"/>
      <c r="V238" s="68"/>
      <c r="W238" s="68"/>
      <c r="X238" s="68"/>
      <c r="Y238" s="68"/>
      <c r="Z238" s="68"/>
      <c r="AA238" s="68"/>
      <c r="AB238" s="69"/>
      <c r="AC238" s="70"/>
      <c r="AD238" s="71"/>
      <c r="AE238" s="68"/>
      <c r="AF238" s="68"/>
      <c r="AG238" s="68"/>
      <c r="AH238" s="68"/>
      <c r="AI238" s="69"/>
      <c r="AJ238" s="69"/>
      <c r="AK238" s="68"/>
      <c r="AL238" s="77"/>
      <c r="AM238" s="71"/>
      <c r="AN238" s="68"/>
      <c r="AO238" s="68"/>
      <c r="AP238" s="68"/>
      <c r="AQ238" s="68"/>
      <c r="AR238" s="68"/>
      <c r="AS238" s="68"/>
      <c r="AT238" s="68"/>
      <c r="AU238" s="70"/>
      <c r="AV238" s="72"/>
      <c r="AW238" s="69"/>
      <c r="AX238" s="69"/>
      <c r="AY238" s="69"/>
      <c r="AZ238" s="69"/>
      <c r="BA238" s="69"/>
      <c r="BB238" s="69"/>
      <c r="BC238" s="69"/>
      <c r="BD238" s="70"/>
      <c r="BE238" s="71"/>
      <c r="BF238" s="68"/>
      <c r="BG238" s="68"/>
      <c r="BH238" s="70"/>
      <c r="BI238" s="67"/>
      <c r="BJ238" s="68"/>
      <c r="BK238" s="70"/>
      <c r="BL238" s="71"/>
      <c r="BM238" s="68"/>
      <c r="BN238" s="69"/>
      <c r="BO238" s="78"/>
      <c r="BP238" s="37">
        <f t="shared" si="21"/>
        <v>0</v>
      </c>
    </row>
    <row r="239" spans="1:68" ht="25.5" customHeight="1" thickTop="1" thickBot="1" x14ac:dyDescent="0.2">
      <c r="A239" s="17">
        <f t="shared" si="22"/>
        <v>224</v>
      </c>
      <c r="B239" s="1044"/>
      <c r="C239" s="1045"/>
      <c r="D239" s="38"/>
      <c r="E239" s="954"/>
      <c r="F239" s="53"/>
      <c r="G239" s="39"/>
      <c r="H239" s="1050"/>
      <c r="I239" s="684" t="str">
        <f t="shared" si="18"/>
        <v/>
      </c>
      <c r="J239" s="754">
        <f t="shared" si="19"/>
        <v>0</v>
      </c>
      <c r="K239" s="1254"/>
      <c r="L239" s="1253"/>
      <c r="M239" s="1253"/>
      <c r="N239" s="773" t="str">
        <f t="shared" si="23"/>
        <v/>
      </c>
      <c r="O239" s="774" t="str">
        <f>IF('Set up ~ Config'!$G$32=6,IF(OR($N239=7,$N239=8,$N239=9),1,IF(OR($N239=10,$N239=11,$N239=12),2,IF(OR($N239=1,$N239=2,$N239=3),3,IF(OR($N239=4,$N239=5,$N239=6),4,"")))),IF(OR($N239=9,$N239=10,$N239=11),1,IF(OR($N239=12,$N239=1,$N239=2),2,IF(OR($N239=3,$N239=4,$N239=5),3,IF(OR($N239=6,$N239=7,$N239=8),4,"")))))</f>
        <v/>
      </c>
      <c r="P239" s="40"/>
      <c r="Q239" s="67"/>
      <c r="R239" s="68"/>
      <c r="S239" s="755">
        <f t="shared" si="20"/>
        <v>0</v>
      </c>
      <c r="T239" s="68"/>
      <c r="U239" s="68"/>
      <c r="V239" s="68"/>
      <c r="W239" s="68"/>
      <c r="X239" s="68"/>
      <c r="Y239" s="68"/>
      <c r="Z239" s="68"/>
      <c r="AA239" s="68"/>
      <c r="AB239" s="69"/>
      <c r="AC239" s="70"/>
      <c r="AD239" s="71"/>
      <c r="AE239" s="68"/>
      <c r="AF239" s="68"/>
      <c r="AG239" s="68"/>
      <c r="AH239" s="68"/>
      <c r="AI239" s="69"/>
      <c r="AJ239" s="69"/>
      <c r="AK239" s="68"/>
      <c r="AL239" s="77"/>
      <c r="AM239" s="71"/>
      <c r="AN239" s="68"/>
      <c r="AO239" s="68"/>
      <c r="AP239" s="68"/>
      <c r="AQ239" s="68"/>
      <c r="AR239" s="68"/>
      <c r="AS239" s="68"/>
      <c r="AT239" s="68"/>
      <c r="AU239" s="70"/>
      <c r="AV239" s="72"/>
      <c r="AW239" s="69"/>
      <c r="AX239" s="69"/>
      <c r="AY239" s="69"/>
      <c r="AZ239" s="69"/>
      <c r="BA239" s="69"/>
      <c r="BB239" s="69"/>
      <c r="BC239" s="69"/>
      <c r="BD239" s="70"/>
      <c r="BE239" s="71"/>
      <c r="BF239" s="68"/>
      <c r="BG239" s="68"/>
      <c r="BH239" s="70"/>
      <c r="BI239" s="67"/>
      <c r="BJ239" s="68"/>
      <c r="BK239" s="70"/>
      <c r="BL239" s="71"/>
      <c r="BM239" s="68"/>
      <c r="BN239" s="69"/>
      <c r="BO239" s="78"/>
      <c r="BP239" s="37">
        <f t="shared" si="21"/>
        <v>0</v>
      </c>
    </row>
    <row r="240" spans="1:68" ht="25.5" customHeight="1" thickTop="1" thickBot="1" x14ac:dyDescent="0.2">
      <c r="A240" s="17">
        <f t="shared" si="22"/>
        <v>225</v>
      </c>
      <c r="B240" s="1044"/>
      <c r="C240" s="1045"/>
      <c r="D240" s="38"/>
      <c r="E240" s="954"/>
      <c r="F240" s="53"/>
      <c r="G240" s="39"/>
      <c r="H240" s="1050"/>
      <c r="I240" s="684" t="str">
        <f t="shared" si="18"/>
        <v/>
      </c>
      <c r="J240" s="754">
        <f t="shared" si="19"/>
        <v>0</v>
      </c>
      <c r="K240" s="1254"/>
      <c r="L240" s="1253"/>
      <c r="M240" s="1253"/>
      <c r="N240" s="773" t="str">
        <f t="shared" si="23"/>
        <v/>
      </c>
      <c r="O240" s="774" t="str">
        <f>IF('Set up ~ Config'!$G$32=6,IF(OR($N240=7,$N240=8,$N240=9),1,IF(OR($N240=10,$N240=11,$N240=12),2,IF(OR($N240=1,$N240=2,$N240=3),3,IF(OR($N240=4,$N240=5,$N240=6),4,"")))),IF(OR($N240=9,$N240=10,$N240=11),1,IF(OR($N240=12,$N240=1,$N240=2),2,IF(OR($N240=3,$N240=4,$N240=5),3,IF(OR($N240=6,$N240=7,$N240=8),4,"")))))</f>
        <v/>
      </c>
      <c r="P240" s="40"/>
      <c r="Q240" s="67"/>
      <c r="R240" s="68"/>
      <c r="S240" s="755">
        <f t="shared" si="20"/>
        <v>0</v>
      </c>
      <c r="T240" s="68"/>
      <c r="U240" s="68"/>
      <c r="V240" s="68"/>
      <c r="W240" s="68"/>
      <c r="X240" s="68"/>
      <c r="Y240" s="68"/>
      <c r="Z240" s="68"/>
      <c r="AA240" s="68"/>
      <c r="AB240" s="69"/>
      <c r="AC240" s="70"/>
      <c r="AD240" s="71"/>
      <c r="AE240" s="68"/>
      <c r="AF240" s="68"/>
      <c r="AG240" s="68"/>
      <c r="AH240" s="68"/>
      <c r="AI240" s="69"/>
      <c r="AJ240" s="69"/>
      <c r="AK240" s="68"/>
      <c r="AL240" s="77"/>
      <c r="AM240" s="71"/>
      <c r="AN240" s="68"/>
      <c r="AO240" s="68"/>
      <c r="AP240" s="68"/>
      <c r="AQ240" s="68"/>
      <c r="AR240" s="68"/>
      <c r="AS240" s="68"/>
      <c r="AT240" s="68"/>
      <c r="AU240" s="70"/>
      <c r="AV240" s="72"/>
      <c r="AW240" s="69"/>
      <c r="AX240" s="69"/>
      <c r="AY240" s="69"/>
      <c r="AZ240" s="69"/>
      <c r="BA240" s="69"/>
      <c r="BB240" s="69"/>
      <c r="BC240" s="69"/>
      <c r="BD240" s="70"/>
      <c r="BE240" s="71"/>
      <c r="BF240" s="68"/>
      <c r="BG240" s="68"/>
      <c r="BH240" s="70"/>
      <c r="BI240" s="67"/>
      <c r="BJ240" s="68"/>
      <c r="BK240" s="70"/>
      <c r="BL240" s="71"/>
      <c r="BM240" s="68"/>
      <c r="BN240" s="69"/>
      <c r="BO240" s="78"/>
      <c r="BP240" s="37">
        <f t="shared" si="21"/>
        <v>0</v>
      </c>
    </row>
    <row r="241" spans="1:68" ht="25.5" customHeight="1" thickTop="1" thickBot="1" x14ac:dyDescent="0.2">
      <c r="A241" s="17">
        <f t="shared" si="22"/>
        <v>226</v>
      </c>
      <c r="B241" s="1044"/>
      <c r="C241" s="1045"/>
      <c r="D241" s="38"/>
      <c r="E241" s="954"/>
      <c r="F241" s="53"/>
      <c r="G241" s="39"/>
      <c r="H241" s="1050"/>
      <c r="I241" s="684" t="str">
        <f t="shared" si="18"/>
        <v/>
      </c>
      <c r="J241" s="754">
        <f t="shared" si="19"/>
        <v>0</v>
      </c>
      <c r="K241" s="1254"/>
      <c r="L241" s="1253"/>
      <c r="M241" s="1253"/>
      <c r="N241" s="773" t="str">
        <f t="shared" si="23"/>
        <v/>
      </c>
      <c r="O241" s="774" t="str">
        <f>IF('Set up ~ Config'!$G$32=6,IF(OR($N241=7,$N241=8,$N241=9),1,IF(OR($N241=10,$N241=11,$N241=12),2,IF(OR($N241=1,$N241=2,$N241=3),3,IF(OR($N241=4,$N241=5,$N241=6),4,"")))),IF(OR($N241=9,$N241=10,$N241=11),1,IF(OR($N241=12,$N241=1,$N241=2),2,IF(OR($N241=3,$N241=4,$N241=5),3,IF(OR($N241=6,$N241=7,$N241=8),4,"")))))</f>
        <v/>
      </c>
      <c r="P241" s="40"/>
      <c r="Q241" s="67"/>
      <c r="R241" s="68"/>
      <c r="S241" s="755">
        <f t="shared" si="20"/>
        <v>0</v>
      </c>
      <c r="T241" s="68"/>
      <c r="U241" s="68"/>
      <c r="V241" s="68"/>
      <c r="W241" s="68"/>
      <c r="X241" s="68"/>
      <c r="Y241" s="68"/>
      <c r="Z241" s="68"/>
      <c r="AA241" s="68"/>
      <c r="AB241" s="69"/>
      <c r="AC241" s="70"/>
      <c r="AD241" s="71"/>
      <c r="AE241" s="68"/>
      <c r="AF241" s="68"/>
      <c r="AG241" s="68"/>
      <c r="AH241" s="68"/>
      <c r="AI241" s="69"/>
      <c r="AJ241" s="69"/>
      <c r="AK241" s="68"/>
      <c r="AL241" s="77"/>
      <c r="AM241" s="71"/>
      <c r="AN241" s="68"/>
      <c r="AO241" s="68"/>
      <c r="AP241" s="68"/>
      <c r="AQ241" s="68"/>
      <c r="AR241" s="68"/>
      <c r="AS241" s="68"/>
      <c r="AT241" s="68"/>
      <c r="AU241" s="70"/>
      <c r="AV241" s="72"/>
      <c r="AW241" s="69"/>
      <c r="AX241" s="69"/>
      <c r="AY241" s="69"/>
      <c r="AZ241" s="69"/>
      <c r="BA241" s="69"/>
      <c r="BB241" s="69"/>
      <c r="BC241" s="69"/>
      <c r="BD241" s="70"/>
      <c r="BE241" s="71"/>
      <c r="BF241" s="68"/>
      <c r="BG241" s="68"/>
      <c r="BH241" s="70"/>
      <c r="BI241" s="67"/>
      <c r="BJ241" s="68"/>
      <c r="BK241" s="70"/>
      <c r="BL241" s="71"/>
      <c r="BM241" s="68"/>
      <c r="BN241" s="69"/>
      <c r="BO241" s="78"/>
      <c r="BP241" s="37">
        <f t="shared" si="21"/>
        <v>0</v>
      </c>
    </row>
    <row r="242" spans="1:68" ht="25.5" customHeight="1" thickTop="1" thickBot="1" x14ac:dyDescent="0.2">
      <c r="A242" s="17">
        <f t="shared" si="22"/>
        <v>227</v>
      </c>
      <c r="B242" s="1044"/>
      <c r="C242" s="1045"/>
      <c r="D242" s="38"/>
      <c r="E242" s="954"/>
      <c r="F242" s="53"/>
      <c r="G242" s="39"/>
      <c r="H242" s="1050"/>
      <c r="I242" s="684" t="str">
        <f t="shared" si="18"/>
        <v/>
      </c>
      <c r="J242" s="754">
        <f t="shared" si="19"/>
        <v>0</v>
      </c>
      <c r="K242" s="1254"/>
      <c r="L242" s="1253"/>
      <c r="M242" s="1253"/>
      <c r="N242" s="773" t="str">
        <f t="shared" si="23"/>
        <v/>
      </c>
      <c r="O242" s="774" t="str">
        <f>IF('Set up ~ Config'!$G$32=6,IF(OR($N242=7,$N242=8,$N242=9),1,IF(OR($N242=10,$N242=11,$N242=12),2,IF(OR($N242=1,$N242=2,$N242=3),3,IF(OR($N242=4,$N242=5,$N242=6),4,"")))),IF(OR($N242=9,$N242=10,$N242=11),1,IF(OR($N242=12,$N242=1,$N242=2),2,IF(OR($N242=3,$N242=4,$N242=5),3,IF(OR($N242=6,$N242=7,$N242=8),4,"")))))</f>
        <v/>
      </c>
      <c r="P242" s="40"/>
      <c r="Q242" s="67"/>
      <c r="R242" s="68"/>
      <c r="S242" s="755">
        <f t="shared" si="20"/>
        <v>0</v>
      </c>
      <c r="T242" s="68"/>
      <c r="U242" s="68"/>
      <c r="V242" s="68"/>
      <c r="W242" s="68"/>
      <c r="X242" s="68"/>
      <c r="Y242" s="68"/>
      <c r="Z242" s="68"/>
      <c r="AA242" s="68"/>
      <c r="AB242" s="69"/>
      <c r="AC242" s="70"/>
      <c r="AD242" s="71"/>
      <c r="AE242" s="68"/>
      <c r="AF242" s="68"/>
      <c r="AG242" s="68"/>
      <c r="AH242" s="68"/>
      <c r="AI242" s="69"/>
      <c r="AJ242" s="69"/>
      <c r="AK242" s="68"/>
      <c r="AL242" s="77"/>
      <c r="AM242" s="71"/>
      <c r="AN242" s="68"/>
      <c r="AO242" s="68"/>
      <c r="AP242" s="68"/>
      <c r="AQ242" s="68"/>
      <c r="AR242" s="68"/>
      <c r="AS242" s="68"/>
      <c r="AT242" s="68"/>
      <c r="AU242" s="70"/>
      <c r="AV242" s="72"/>
      <c r="AW242" s="69"/>
      <c r="AX242" s="69"/>
      <c r="AY242" s="69"/>
      <c r="AZ242" s="69"/>
      <c r="BA242" s="69"/>
      <c r="BB242" s="69"/>
      <c r="BC242" s="69"/>
      <c r="BD242" s="70"/>
      <c r="BE242" s="71"/>
      <c r="BF242" s="68"/>
      <c r="BG242" s="68"/>
      <c r="BH242" s="70"/>
      <c r="BI242" s="67"/>
      <c r="BJ242" s="68"/>
      <c r="BK242" s="70"/>
      <c r="BL242" s="71"/>
      <c r="BM242" s="68"/>
      <c r="BN242" s="69"/>
      <c r="BO242" s="78"/>
      <c r="BP242" s="37">
        <f t="shared" si="21"/>
        <v>0</v>
      </c>
    </row>
    <row r="243" spans="1:68" ht="25.5" customHeight="1" thickTop="1" thickBot="1" x14ac:dyDescent="0.2">
      <c r="A243" s="17">
        <f t="shared" si="22"/>
        <v>228</v>
      </c>
      <c r="B243" s="1044"/>
      <c r="C243" s="1045"/>
      <c r="D243" s="38"/>
      <c r="E243" s="954"/>
      <c r="F243" s="53"/>
      <c r="G243" s="39"/>
      <c r="H243" s="1050"/>
      <c r="I243" s="684" t="str">
        <f t="shared" si="18"/>
        <v/>
      </c>
      <c r="J243" s="754">
        <f t="shared" si="19"/>
        <v>0</v>
      </c>
      <c r="K243" s="1254"/>
      <c r="L243" s="1253"/>
      <c r="M243" s="1253"/>
      <c r="N243" s="773" t="str">
        <f t="shared" si="23"/>
        <v/>
      </c>
      <c r="O243" s="774" t="str">
        <f>IF('Set up ~ Config'!$G$32=6,IF(OR($N243=7,$N243=8,$N243=9),1,IF(OR($N243=10,$N243=11,$N243=12),2,IF(OR($N243=1,$N243=2,$N243=3),3,IF(OR($N243=4,$N243=5,$N243=6),4,"")))),IF(OR($N243=9,$N243=10,$N243=11),1,IF(OR($N243=12,$N243=1,$N243=2),2,IF(OR($N243=3,$N243=4,$N243=5),3,IF(OR($N243=6,$N243=7,$N243=8),4,"")))))</f>
        <v/>
      </c>
      <c r="P243" s="40"/>
      <c r="Q243" s="67"/>
      <c r="R243" s="68"/>
      <c r="S243" s="755">
        <f t="shared" si="20"/>
        <v>0</v>
      </c>
      <c r="T243" s="68"/>
      <c r="U243" s="68"/>
      <c r="V243" s="68"/>
      <c r="W243" s="68"/>
      <c r="X243" s="68"/>
      <c r="Y243" s="68"/>
      <c r="Z243" s="68"/>
      <c r="AA243" s="68"/>
      <c r="AB243" s="69"/>
      <c r="AC243" s="70"/>
      <c r="AD243" s="71"/>
      <c r="AE243" s="68"/>
      <c r="AF243" s="68"/>
      <c r="AG243" s="68"/>
      <c r="AH243" s="68"/>
      <c r="AI243" s="69"/>
      <c r="AJ243" s="69"/>
      <c r="AK243" s="68"/>
      <c r="AL243" s="77"/>
      <c r="AM243" s="71"/>
      <c r="AN243" s="68"/>
      <c r="AO243" s="68"/>
      <c r="AP243" s="68"/>
      <c r="AQ243" s="68"/>
      <c r="AR243" s="68"/>
      <c r="AS243" s="68"/>
      <c r="AT243" s="68"/>
      <c r="AU243" s="70"/>
      <c r="AV243" s="72"/>
      <c r="AW243" s="69"/>
      <c r="AX243" s="69"/>
      <c r="AY243" s="69"/>
      <c r="AZ243" s="69"/>
      <c r="BA243" s="69"/>
      <c r="BB243" s="69"/>
      <c r="BC243" s="69"/>
      <c r="BD243" s="70"/>
      <c r="BE243" s="71"/>
      <c r="BF243" s="68"/>
      <c r="BG243" s="68"/>
      <c r="BH243" s="70"/>
      <c r="BI243" s="67"/>
      <c r="BJ243" s="68"/>
      <c r="BK243" s="70"/>
      <c r="BL243" s="71"/>
      <c r="BM243" s="68"/>
      <c r="BN243" s="69"/>
      <c r="BO243" s="78"/>
      <c r="BP243" s="37">
        <f t="shared" si="21"/>
        <v>0</v>
      </c>
    </row>
    <row r="244" spans="1:68" ht="25.5" customHeight="1" thickTop="1" thickBot="1" x14ac:dyDescent="0.2">
      <c r="A244" s="17">
        <f t="shared" si="22"/>
        <v>229</v>
      </c>
      <c r="B244" s="1044"/>
      <c r="C244" s="1045"/>
      <c r="D244" s="38"/>
      <c r="E244" s="954"/>
      <c r="F244" s="53"/>
      <c r="G244" s="39"/>
      <c r="H244" s="1050"/>
      <c r="I244" s="684" t="str">
        <f t="shared" si="18"/>
        <v/>
      </c>
      <c r="J244" s="754">
        <f t="shared" si="19"/>
        <v>0</v>
      </c>
      <c r="K244" s="1254"/>
      <c r="L244" s="1253"/>
      <c r="M244" s="1253"/>
      <c r="N244" s="773" t="str">
        <f t="shared" si="23"/>
        <v/>
      </c>
      <c r="O244" s="774" t="str">
        <f>IF('Set up ~ Config'!$G$32=6,IF(OR($N244=7,$N244=8,$N244=9),1,IF(OR($N244=10,$N244=11,$N244=12),2,IF(OR($N244=1,$N244=2,$N244=3),3,IF(OR($N244=4,$N244=5,$N244=6),4,"")))),IF(OR($N244=9,$N244=10,$N244=11),1,IF(OR($N244=12,$N244=1,$N244=2),2,IF(OR($N244=3,$N244=4,$N244=5),3,IF(OR($N244=6,$N244=7,$N244=8),4,"")))))</f>
        <v/>
      </c>
      <c r="P244" s="40"/>
      <c r="Q244" s="67"/>
      <c r="R244" s="68"/>
      <c r="S244" s="755">
        <f t="shared" si="20"/>
        <v>0</v>
      </c>
      <c r="T244" s="68"/>
      <c r="U244" s="68"/>
      <c r="V244" s="68"/>
      <c r="W244" s="68"/>
      <c r="X244" s="68"/>
      <c r="Y244" s="68"/>
      <c r="Z244" s="68"/>
      <c r="AA244" s="68"/>
      <c r="AB244" s="69"/>
      <c r="AC244" s="70"/>
      <c r="AD244" s="71"/>
      <c r="AE244" s="68"/>
      <c r="AF244" s="68"/>
      <c r="AG244" s="68"/>
      <c r="AH244" s="68"/>
      <c r="AI244" s="69"/>
      <c r="AJ244" s="69"/>
      <c r="AK244" s="68"/>
      <c r="AL244" s="77"/>
      <c r="AM244" s="71"/>
      <c r="AN244" s="68"/>
      <c r="AO244" s="68"/>
      <c r="AP244" s="68"/>
      <c r="AQ244" s="68"/>
      <c r="AR244" s="68"/>
      <c r="AS244" s="68"/>
      <c r="AT244" s="68"/>
      <c r="AU244" s="70"/>
      <c r="AV244" s="72"/>
      <c r="AW244" s="69"/>
      <c r="AX244" s="69"/>
      <c r="AY244" s="69"/>
      <c r="AZ244" s="69"/>
      <c r="BA244" s="69"/>
      <c r="BB244" s="69"/>
      <c r="BC244" s="69"/>
      <c r="BD244" s="70"/>
      <c r="BE244" s="71"/>
      <c r="BF244" s="68"/>
      <c r="BG244" s="68"/>
      <c r="BH244" s="70"/>
      <c r="BI244" s="67"/>
      <c r="BJ244" s="68"/>
      <c r="BK244" s="70"/>
      <c r="BL244" s="71"/>
      <c r="BM244" s="68"/>
      <c r="BN244" s="69"/>
      <c r="BO244" s="78"/>
      <c r="BP244" s="37">
        <f t="shared" si="21"/>
        <v>0</v>
      </c>
    </row>
    <row r="245" spans="1:68" ht="25.5" customHeight="1" thickTop="1" thickBot="1" x14ac:dyDescent="0.2">
      <c r="A245" s="17">
        <f t="shared" si="22"/>
        <v>230</v>
      </c>
      <c r="B245" s="1044"/>
      <c r="C245" s="1045"/>
      <c r="D245" s="38"/>
      <c r="E245" s="954"/>
      <c r="F245" s="53"/>
      <c r="G245" s="39"/>
      <c r="H245" s="1050"/>
      <c r="I245" s="684" t="str">
        <f t="shared" si="18"/>
        <v/>
      </c>
      <c r="J245" s="754">
        <f t="shared" si="19"/>
        <v>0</v>
      </c>
      <c r="K245" s="1254"/>
      <c r="L245" s="1253"/>
      <c r="M245" s="1253"/>
      <c r="N245" s="773" t="str">
        <f t="shared" si="23"/>
        <v/>
      </c>
      <c r="O245" s="774" t="str">
        <f>IF('Set up ~ Config'!$G$32=6,IF(OR($N245=7,$N245=8,$N245=9),1,IF(OR($N245=10,$N245=11,$N245=12),2,IF(OR($N245=1,$N245=2,$N245=3),3,IF(OR($N245=4,$N245=5,$N245=6),4,"")))),IF(OR($N245=9,$N245=10,$N245=11),1,IF(OR($N245=12,$N245=1,$N245=2),2,IF(OR($N245=3,$N245=4,$N245=5),3,IF(OR($N245=6,$N245=7,$N245=8),4,"")))))</f>
        <v/>
      </c>
      <c r="P245" s="40"/>
      <c r="Q245" s="67"/>
      <c r="R245" s="68"/>
      <c r="S245" s="755">
        <f t="shared" si="20"/>
        <v>0</v>
      </c>
      <c r="T245" s="68"/>
      <c r="U245" s="68"/>
      <c r="V245" s="68"/>
      <c r="W245" s="68"/>
      <c r="X245" s="68"/>
      <c r="Y245" s="68"/>
      <c r="Z245" s="68"/>
      <c r="AA245" s="68"/>
      <c r="AB245" s="69"/>
      <c r="AC245" s="70"/>
      <c r="AD245" s="71"/>
      <c r="AE245" s="68"/>
      <c r="AF245" s="68"/>
      <c r="AG245" s="68"/>
      <c r="AH245" s="68"/>
      <c r="AI245" s="69"/>
      <c r="AJ245" s="69"/>
      <c r="AK245" s="68"/>
      <c r="AL245" s="77"/>
      <c r="AM245" s="71"/>
      <c r="AN245" s="68"/>
      <c r="AO245" s="68"/>
      <c r="AP245" s="68"/>
      <c r="AQ245" s="68"/>
      <c r="AR245" s="68"/>
      <c r="AS245" s="68"/>
      <c r="AT245" s="68"/>
      <c r="AU245" s="70"/>
      <c r="AV245" s="72"/>
      <c r="AW245" s="69"/>
      <c r="AX245" s="69"/>
      <c r="AY245" s="69"/>
      <c r="AZ245" s="69"/>
      <c r="BA245" s="69"/>
      <c r="BB245" s="69"/>
      <c r="BC245" s="69"/>
      <c r="BD245" s="70"/>
      <c r="BE245" s="71"/>
      <c r="BF245" s="68"/>
      <c r="BG245" s="68"/>
      <c r="BH245" s="70"/>
      <c r="BI245" s="67"/>
      <c r="BJ245" s="68"/>
      <c r="BK245" s="70"/>
      <c r="BL245" s="71"/>
      <c r="BM245" s="68"/>
      <c r="BN245" s="69"/>
      <c r="BO245" s="78"/>
      <c r="BP245" s="37">
        <f t="shared" si="21"/>
        <v>0</v>
      </c>
    </row>
    <row r="246" spans="1:68" ht="25.5" customHeight="1" thickTop="1" thickBot="1" x14ac:dyDescent="0.2">
      <c r="A246" s="17">
        <f t="shared" si="22"/>
        <v>231</v>
      </c>
      <c r="B246" s="1044"/>
      <c r="C246" s="1045"/>
      <c r="D246" s="38"/>
      <c r="E246" s="954"/>
      <c r="F246" s="53"/>
      <c r="G246" s="39"/>
      <c r="H246" s="1050"/>
      <c r="I246" s="684" t="str">
        <f t="shared" si="18"/>
        <v/>
      </c>
      <c r="J246" s="754">
        <f t="shared" si="19"/>
        <v>0</v>
      </c>
      <c r="K246" s="1254"/>
      <c r="L246" s="1253"/>
      <c r="M246" s="1253"/>
      <c r="N246" s="773" t="str">
        <f t="shared" si="23"/>
        <v/>
      </c>
      <c r="O246" s="774" t="str">
        <f>IF('Set up ~ Config'!$G$32=6,IF(OR($N246=7,$N246=8,$N246=9),1,IF(OR($N246=10,$N246=11,$N246=12),2,IF(OR($N246=1,$N246=2,$N246=3),3,IF(OR($N246=4,$N246=5,$N246=6),4,"")))),IF(OR($N246=9,$N246=10,$N246=11),1,IF(OR($N246=12,$N246=1,$N246=2),2,IF(OR($N246=3,$N246=4,$N246=5),3,IF(OR($N246=6,$N246=7,$N246=8),4,"")))))</f>
        <v/>
      </c>
      <c r="P246" s="40"/>
      <c r="Q246" s="67"/>
      <c r="R246" s="68"/>
      <c r="S246" s="755">
        <f t="shared" si="20"/>
        <v>0</v>
      </c>
      <c r="T246" s="68"/>
      <c r="U246" s="68"/>
      <c r="V246" s="68"/>
      <c r="W246" s="68"/>
      <c r="X246" s="68"/>
      <c r="Y246" s="68"/>
      <c r="Z246" s="68"/>
      <c r="AA246" s="68"/>
      <c r="AB246" s="69"/>
      <c r="AC246" s="70"/>
      <c r="AD246" s="71"/>
      <c r="AE246" s="68"/>
      <c r="AF246" s="68"/>
      <c r="AG246" s="68"/>
      <c r="AH246" s="68"/>
      <c r="AI246" s="69"/>
      <c r="AJ246" s="69"/>
      <c r="AK246" s="68"/>
      <c r="AL246" s="77"/>
      <c r="AM246" s="71"/>
      <c r="AN246" s="68"/>
      <c r="AO246" s="68"/>
      <c r="AP246" s="68"/>
      <c r="AQ246" s="68"/>
      <c r="AR246" s="68"/>
      <c r="AS246" s="68"/>
      <c r="AT246" s="68"/>
      <c r="AU246" s="70"/>
      <c r="AV246" s="72"/>
      <c r="AW246" s="69"/>
      <c r="AX246" s="69"/>
      <c r="AY246" s="69"/>
      <c r="AZ246" s="69"/>
      <c r="BA246" s="69"/>
      <c r="BB246" s="69"/>
      <c r="BC246" s="69"/>
      <c r="BD246" s="70"/>
      <c r="BE246" s="71"/>
      <c r="BF246" s="68"/>
      <c r="BG246" s="68"/>
      <c r="BH246" s="70"/>
      <c r="BI246" s="67"/>
      <c r="BJ246" s="68"/>
      <c r="BK246" s="70"/>
      <c r="BL246" s="71"/>
      <c r="BM246" s="68"/>
      <c r="BN246" s="69"/>
      <c r="BO246" s="78"/>
      <c r="BP246" s="37">
        <f t="shared" si="21"/>
        <v>0</v>
      </c>
    </row>
    <row r="247" spans="1:68" ht="25.5" customHeight="1" thickTop="1" thickBot="1" x14ac:dyDescent="0.2">
      <c r="A247" s="17">
        <f t="shared" si="22"/>
        <v>232</v>
      </c>
      <c r="B247" s="1044"/>
      <c r="C247" s="1045"/>
      <c r="D247" s="38"/>
      <c r="E247" s="954"/>
      <c r="F247" s="53"/>
      <c r="G247" s="39"/>
      <c r="H247" s="1050"/>
      <c r="I247" s="684" t="str">
        <f t="shared" si="18"/>
        <v/>
      </c>
      <c r="J247" s="754">
        <f t="shared" si="19"/>
        <v>0</v>
      </c>
      <c r="K247" s="1254"/>
      <c r="L247" s="1253"/>
      <c r="M247" s="1253"/>
      <c r="N247" s="773" t="str">
        <f t="shared" si="23"/>
        <v/>
      </c>
      <c r="O247" s="774" t="str">
        <f>IF('Set up ~ Config'!$G$32=6,IF(OR($N247=7,$N247=8,$N247=9),1,IF(OR($N247=10,$N247=11,$N247=12),2,IF(OR($N247=1,$N247=2,$N247=3),3,IF(OR($N247=4,$N247=5,$N247=6),4,"")))),IF(OR($N247=9,$N247=10,$N247=11),1,IF(OR($N247=12,$N247=1,$N247=2),2,IF(OR($N247=3,$N247=4,$N247=5),3,IF(OR($N247=6,$N247=7,$N247=8),4,"")))))</f>
        <v/>
      </c>
      <c r="P247" s="40"/>
      <c r="Q247" s="67"/>
      <c r="R247" s="68"/>
      <c r="S247" s="755">
        <f t="shared" si="20"/>
        <v>0</v>
      </c>
      <c r="T247" s="68"/>
      <c r="U247" s="68"/>
      <c r="V247" s="68"/>
      <c r="W247" s="68"/>
      <c r="X247" s="68"/>
      <c r="Y247" s="68"/>
      <c r="Z247" s="68"/>
      <c r="AA247" s="68"/>
      <c r="AB247" s="69"/>
      <c r="AC247" s="70"/>
      <c r="AD247" s="71"/>
      <c r="AE247" s="68"/>
      <c r="AF247" s="68"/>
      <c r="AG247" s="68"/>
      <c r="AH247" s="68"/>
      <c r="AI247" s="69"/>
      <c r="AJ247" s="69"/>
      <c r="AK247" s="68"/>
      <c r="AL247" s="77"/>
      <c r="AM247" s="71"/>
      <c r="AN247" s="68"/>
      <c r="AO247" s="68"/>
      <c r="AP247" s="68"/>
      <c r="AQ247" s="68"/>
      <c r="AR247" s="68"/>
      <c r="AS247" s="68"/>
      <c r="AT247" s="68"/>
      <c r="AU247" s="70"/>
      <c r="AV247" s="72"/>
      <c r="AW247" s="69"/>
      <c r="AX247" s="69"/>
      <c r="AY247" s="69"/>
      <c r="AZ247" s="69"/>
      <c r="BA247" s="69"/>
      <c r="BB247" s="69"/>
      <c r="BC247" s="69"/>
      <c r="BD247" s="70"/>
      <c r="BE247" s="71"/>
      <c r="BF247" s="68"/>
      <c r="BG247" s="68"/>
      <c r="BH247" s="70"/>
      <c r="BI247" s="67"/>
      <c r="BJ247" s="68"/>
      <c r="BK247" s="70"/>
      <c r="BL247" s="71"/>
      <c r="BM247" s="68"/>
      <c r="BN247" s="69"/>
      <c r="BO247" s="78"/>
      <c r="BP247" s="37">
        <f t="shared" si="21"/>
        <v>0</v>
      </c>
    </row>
    <row r="248" spans="1:68" ht="25.5" customHeight="1" thickTop="1" thickBot="1" x14ac:dyDescent="0.2">
      <c r="A248" s="17">
        <f t="shared" si="22"/>
        <v>233</v>
      </c>
      <c r="B248" s="1044"/>
      <c r="C248" s="1045"/>
      <c r="D248" s="38"/>
      <c r="E248" s="954"/>
      <c r="F248" s="53"/>
      <c r="G248" s="39"/>
      <c r="H248" s="1050"/>
      <c r="I248" s="684" t="str">
        <f t="shared" si="18"/>
        <v/>
      </c>
      <c r="J248" s="754">
        <f t="shared" si="19"/>
        <v>0</v>
      </c>
      <c r="K248" s="1254"/>
      <c r="L248" s="1253"/>
      <c r="M248" s="1253"/>
      <c r="N248" s="773" t="str">
        <f t="shared" si="23"/>
        <v/>
      </c>
      <c r="O248" s="774" t="str">
        <f>IF('Set up ~ Config'!$G$32=6,IF(OR($N248=7,$N248=8,$N248=9),1,IF(OR($N248=10,$N248=11,$N248=12),2,IF(OR($N248=1,$N248=2,$N248=3),3,IF(OR($N248=4,$N248=5,$N248=6),4,"")))),IF(OR($N248=9,$N248=10,$N248=11),1,IF(OR($N248=12,$N248=1,$N248=2),2,IF(OR($N248=3,$N248=4,$N248=5),3,IF(OR($N248=6,$N248=7,$N248=8),4,"")))))</f>
        <v/>
      </c>
      <c r="P248" s="40"/>
      <c r="Q248" s="67"/>
      <c r="R248" s="68"/>
      <c r="S248" s="755">
        <f t="shared" si="20"/>
        <v>0</v>
      </c>
      <c r="T248" s="68"/>
      <c r="U248" s="68"/>
      <c r="V248" s="68"/>
      <c r="W248" s="68"/>
      <c r="X248" s="68"/>
      <c r="Y248" s="68"/>
      <c r="Z248" s="68"/>
      <c r="AA248" s="68"/>
      <c r="AB248" s="69"/>
      <c r="AC248" s="70"/>
      <c r="AD248" s="71"/>
      <c r="AE248" s="68"/>
      <c r="AF248" s="68"/>
      <c r="AG248" s="68"/>
      <c r="AH248" s="68"/>
      <c r="AI248" s="69"/>
      <c r="AJ248" s="69"/>
      <c r="AK248" s="68"/>
      <c r="AL248" s="77"/>
      <c r="AM248" s="71"/>
      <c r="AN248" s="68"/>
      <c r="AO248" s="68"/>
      <c r="AP248" s="68"/>
      <c r="AQ248" s="68"/>
      <c r="AR248" s="68"/>
      <c r="AS248" s="68"/>
      <c r="AT248" s="68"/>
      <c r="AU248" s="70"/>
      <c r="AV248" s="72"/>
      <c r="AW248" s="69"/>
      <c r="AX248" s="69"/>
      <c r="AY248" s="69"/>
      <c r="AZ248" s="69"/>
      <c r="BA248" s="69"/>
      <c r="BB248" s="69"/>
      <c r="BC248" s="69"/>
      <c r="BD248" s="70"/>
      <c r="BE248" s="71"/>
      <c r="BF248" s="68"/>
      <c r="BG248" s="68"/>
      <c r="BH248" s="70"/>
      <c r="BI248" s="67"/>
      <c r="BJ248" s="68"/>
      <c r="BK248" s="70"/>
      <c r="BL248" s="71"/>
      <c r="BM248" s="68"/>
      <c r="BN248" s="69"/>
      <c r="BO248" s="78"/>
      <c r="BP248" s="37">
        <f t="shared" si="21"/>
        <v>0</v>
      </c>
    </row>
    <row r="249" spans="1:68" ht="25.5" customHeight="1" thickTop="1" thickBot="1" x14ac:dyDescent="0.2">
      <c r="A249" s="17">
        <f t="shared" si="22"/>
        <v>234</v>
      </c>
      <c r="B249" s="1044"/>
      <c r="C249" s="1045"/>
      <c r="D249" s="38"/>
      <c r="E249" s="954"/>
      <c r="F249" s="53"/>
      <c r="G249" s="39"/>
      <c r="H249" s="1050"/>
      <c r="I249" s="684" t="str">
        <f t="shared" si="18"/>
        <v/>
      </c>
      <c r="J249" s="754">
        <f t="shared" si="19"/>
        <v>0</v>
      </c>
      <c r="K249" s="1254"/>
      <c r="L249" s="1253"/>
      <c r="M249" s="1253"/>
      <c r="N249" s="773" t="str">
        <f t="shared" si="23"/>
        <v/>
      </c>
      <c r="O249" s="774" t="str">
        <f>IF('Set up ~ Config'!$G$32=6,IF(OR($N249=7,$N249=8,$N249=9),1,IF(OR($N249=10,$N249=11,$N249=12),2,IF(OR($N249=1,$N249=2,$N249=3),3,IF(OR($N249=4,$N249=5,$N249=6),4,"")))),IF(OR($N249=9,$N249=10,$N249=11),1,IF(OR($N249=12,$N249=1,$N249=2),2,IF(OR($N249=3,$N249=4,$N249=5),3,IF(OR($N249=6,$N249=7,$N249=8),4,"")))))</f>
        <v/>
      </c>
      <c r="P249" s="40"/>
      <c r="Q249" s="67"/>
      <c r="R249" s="68"/>
      <c r="S249" s="755">
        <f t="shared" si="20"/>
        <v>0</v>
      </c>
      <c r="T249" s="68"/>
      <c r="U249" s="68"/>
      <c r="V249" s="68"/>
      <c r="W249" s="68"/>
      <c r="X249" s="68"/>
      <c r="Y249" s="68"/>
      <c r="Z249" s="68"/>
      <c r="AA249" s="68"/>
      <c r="AB249" s="69"/>
      <c r="AC249" s="70"/>
      <c r="AD249" s="71"/>
      <c r="AE249" s="68"/>
      <c r="AF249" s="68"/>
      <c r="AG249" s="68"/>
      <c r="AH249" s="68"/>
      <c r="AI249" s="69"/>
      <c r="AJ249" s="69"/>
      <c r="AK249" s="68"/>
      <c r="AL249" s="77"/>
      <c r="AM249" s="71"/>
      <c r="AN249" s="68"/>
      <c r="AO249" s="68"/>
      <c r="AP249" s="68"/>
      <c r="AQ249" s="68"/>
      <c r="AR249" s="68"/>
      <c r="AS249" s="68"/>
      <c r="AT249" s="68"/>
      <c r="AU249" s="70"/>
      <c r="AV249" s="72"/>
      <c r="AW249" s="69"/>
      <c r="AX249" s="69"/>
      <c r="AY249" s="69"/>
      <c r="AZ249" s="69"/>
      <c r="BA249" s="69"/>
      <c r="BB249" s="69"/>
      <c r="BC249" s="69"/>
      <c r="BD249" s="70"/>
      <c r="BE249" s="71"/>
      <c r="BF249" s="68"/>
      <c r="BG249" s="68"/>
      <c r="BH249" s="70"/>
      <c r="BI249" s="67"/>
      <c r="BJ249" s="68"/>
      <c r="BK249" s="70"/>
      <c r="BL249" s="71"/>
      <c r="BM249" s="68"/>
      <c r="BN249" s="69"/>
      <c r="BO249" s="78"/>
      <c r="BP249" s="37">
        <f t="shared" si="21"/>
        <v>0</v>
      </c>
    </row>
    <row r="250" spans="1:68" ht="25.5" customHeight="1" thickTop="1" thickBot="1" x14ac:dyDescent="0.2">
      <c r="A250" s="17">
        <f t="shared" si="22"/>
        <v>235</v>
      </c>
      <c r="B250" s="1044"/>
      <c r="C250" s="1045"/>
      <c r="D250" s="38"/>
      <c r="E250" s="954"/>
      <c r="F250" s="53"/>
      <c r="G250" s="39"/>
      <c r="H250" s="1050"/>
      <c r="I250" s="684" t="str">
        <f t="shared" si="18"/>
        <v/>
      </c>
      <c r="J250" s="754">
        <f t="shared" si="19"/>
        <v>0</v>
      </c>
      <c r="K250" s="1254"/>
      <c r="L250" s="1253"/>
      <c r="M250" s="1253"/>
      <c r="N250" s="773" t="str">
        <f t="shared" si="23"/>
        <v/>
      </c>
      <c r="O250" s="774" t="str">
        <f>IF('Set up ~ Config'!$G$32=6,IF(OR($N250=7,$N250=8,$N250=9),1,IF(OR($N250=10,$N250=11,$N250=12),2,IF(OR($N250=1,$N250=2,$N250=3),3,IF(OR($N250=4,$N250=5,$N250=6),4,"")))),IF(OR($N250=9,$N250=10,$N250=11),1,IF(OR($N250=12,$N250=1,$N250=2),2,IF(OR($N250=3,$N250=4,$N250=5),3,IF(OR($N250=6,$N250=7,$N250=8),4,"")))))</f>
        <v/>
      </c>
      <c r="P250" s="40"/>
      <c r="Q250" s="67"/>
      <c r="R250" s="68"/>
      <c r="S250" s="755">
        <f t="shared" si="20"/>
        <v>0</v>
      </c>
      <c r="T250" s="68"/>
      <c r="U250" s="68"/>
      <c r="V250" s="68"/>
      <c r="W250" s="68"/>
      <c r="X250" s="68"/>
      <c r="Y250" s="68"/>
      <c r="Z250" s="68"/>
      <c r="AA250" s="68"/>
      <c r="AB250" s="69"/>
      <c r="AC250" s="70"/>
      <c r="AD250" s="71"/>
      <c r="AE250" s="68"/>
      <c r="AF250" s="68"/>
      <c r="AG250" s="68"/>
      <c r="AH250" s="68"/>
      <c r="AI250" s="69"/>
      <c r="AJ250" s="69"/>
      <c r="AK250" s="68"/>
      <c r="AL250" s="77"/>
      <c r="AM250" s="71"/>
      <c r="AN250" s="68"/>
      <c r="AO250" s="68"/>
      <c r="AP250" s="68"/>
      <c r="AQ250" s="68"/>
      <c r="AR250" s="68"/>
      <c r="AS250" s="68"/>
      <c r="AT250" s="68"/>
      <c r="AU250" s="70"/>
      <c r="AV250" s="72"/>
      <c r="AW250" s="69"/>
      <c r="AX250" s="69"/>
      <c r="AY250" s="69"/>
      <c r="AZ250" s="69"/>
      <c r="BA250" s="69"/>
      <c r="BB250" s="69"/>
      <c r="BC250" s="69"/>
      <c r="BD250" s="70"/>
      <c r="BE250" s="71"/>
      <c r="BF250" s="68"/>
      <c r="BG250" s="68"/>
      <c r="BH250" s="70"/>
      <c r="BI250" s="67"/>
      <c r="BJ250" s="68"/>
      <c r="BK250" s="70"/>
      <c r="BL250" s="71"/>
      <c r="BM250" s="68"/>
      <c r="BN250" s="69"/>
      <c r="BO250" s="78"/>
      <c r="BP250" s="37">
        <f t="shared" si="21"/>
        <v>0</v>
      </c>
    </row>
    <row r="251" spans="1:68" ht="25.5" customHeight="1" thickTop="1" thickBot="1" x14ac:dyDescent="0.2">
      <c r="A251" s="17">
        <f t="shared" si="22"/>
        <v>236</v>
      </c>
      <c r="B251" s="1044"/>
      <c r="C251" s="1045"/>
      <c r="D251" s="38"/>
      <c r="E251" s="954"/>
      <c r="F251" s="53"/>
      <c r="G251" s="39"/>
      <c r="H251" s="1050"/>
      <c r="I251" s="684" t="str">
        <f t="shared" si="18"/>
        <v/>
      </c>
      <c r="J251" s="754">
        <f t="shared" si="19"/>
        <v>0</v>
      </c>
      <c r="K251" s="1254"/>
      <c r="L251" s="1253"/>
      <c r="M251" s="1253"/>
      <c r="N251" s="773" t="str">
        <f t="shared" si="23"/>
        <v/>
      </c>
      <c r="O251" s="774" t="str">
        <f>IF('Set up ~ Config'!$G$32=6,IF(OR($N251=7,$N251=8,$N251=9),1,IF(OR($N251=10,$N251=11,$N251=12),2,IF(OR($N251=1,$N251=2,$N251=3),3,IF(OR($N251=4,$N251=5,$N251=6),4,"")))),IF(OR($N251=9,$N251=10,$N251=11),1,IF(OR($N251=12,$N251=1,$N251=2),2,IF(OR($N251=3,$N251=4,$N251=5),3,IF(OR($N251=6,$N251=7,$N251=8),4,"")))))</f>
        <v/>
      </c>
      <c r="P251" s="40"/>
      <c r="Q251" s="67"/>
      <c r="R251" s="68"/>
      <c r="S251" s="755">
        <f t="shared" si="20"/>
        <v>0</v>
      </c>
      <c r="T251" s="68"/>
      <c r="U251" s="68"/>
      <c r="V251" s="68"/>
      <c r="W251" s="68"/>
      <c r="X251" s="68"/>
      <c r="Y251" s="68"/>
      <c r="Z251" s="68"/>
      <c r="AA251" s="68"/>
      <c r="AB251" s="69"/>
      <c r="AC251" s="70"/>
      <c r="AD251" s="71"/>
      <c r="AE251" s="68"/>
      <c r="AF251" s="68"/>
      <c r="AG251" s="68"/>
      <c r="AH251" s="68"/>
      <c r="AI251" s="69"/>
      <c r="AJ251" s="69"/>
      <c r="AK251" s="68"/>
      <c r="AL251" s="77"/>
      <c r="AM251" s="71"/>
      <c r="AN251" s="68"/>
      <c r="AO251" s="68"/>
      <c r="AP251" s="68"/>
      <c r="AQ251" s="68"/>
      <c r="AR251" s="68"/>
      <c r="AS251" s="68"/>
      <c r="AT251" s="68"/>
      <c r="AU251" s="70"/>
      <c r="AV251" s="72"/>
      <c r="AW251" s="69"/>
      <c r="AX251" s="69"/>
      <c r="AY251" s="69"/>
      <c r="AZ251" s="69"/>
      <c r="BA251" s="69"/>
      <c r="BB251" s="69"/>
      <c r="BC251" s="69"/>
      <c r="BD251" s="70"/>
      <c r="BE251" s="71"/>
      <c r="BF251" s="68"/>
      <c r="BG251" s="68"/>
      <c r="BH251" s="70"/>
      <c r="BI251" s="67"/>
      <c r="BJ251" s="68"/>
      <c r="BK251" s="70"/>
      <c r="BL251" s="71"/>
      <c r="BM251" s="68"/>
      <c r="BN251" s="69"/>
      <c r="BO251" s="78"/>
      <c r="BP251" s="37">
        <f t="shared" si="21"/>
        <v>0</v>
      </c>
    </row>
    <row r="252" spans="1:68" ht="25.5" customHeight="1" thickTop="1" thickBot="1" x14ac:dyDescent="0.2">
      <c r="A252" s="17">
        <f t="shared" si="22"/>
        <v>237</v>
      </c>
      <c r="B252" s="1044"/>
      <c r="C252" s="1045"/>
      <c r="D252" s="38"/>
      <c r="E252" s="954"/>
      <c r="F252" s="53"/>
      <c r="G252" s="39"/>
      <c r="H252" s="1050"/>
      <c r="I252" s="684" t="str">
        <f t="shared" si="18"/>
        <v/>
      </c>
      <c r="J252" s="754">
        <f t="shared" si="19"/>
        <v>0</v>
      </c>
      <c r="K252" s="1254"/>
      <c r="L252" s="1253"/>
      <c r="M252" s="1253"/>
      <c r="N252" s="773" t="str">
        <f t="shared" si="23"/>
        <v/>
      </c>
      <c r="O252" s="774" t="str">
        <f>IF('Set up ~ Config'!$G$32=6,IF(OR($N252=7,$N252=8,$N252=9),1,IF(OR($N252=10,$N252=11,$N252=12),2,IF(OR($N252=1,$N252=2,$N252=3),3,IF(OR($N252=4,$N252=5,$N252=6),4,"")))),IF(OR($N252=9,$N252=10,$N252=11),1,IF(OR($N252=12,$N252=1,$N252=2),2,IF(OR($N252=3,$N252=4,$N252=5),3,IF(OR($N252=6,$N252=7,$N252=8),4,"")))))</f>
        <v/>
      </c>
      <c r="P252" s="40"/>
      <c r="Q252" s="67"/>
      <c r="R252" s="68"/>
      <c r="S252" s="755">
        <f t="shared" si="20"/>
        <v>0</v>
      </c>
      <c r="T252" s="68"/>
      <c r="U252" s="68"/>
      <c r="V252" s="68"/>
      <c r="W252" s="68"/>
      <c r="X252" s="68"/>
      <c r="Y252" s="68"/>
      <c r="Z252" s="68"/>
      <c r="AA252" s="68"/>
      <c r="AB252" s="69"/>
      <c r="AC252" s="70"/>
      <c r="AD252" s="71"/>
      <c r="AE252" s="68"/>
      <c r="AF252" s="68"/>
      <c r="AG252" s="68"/>
      <c r="AH252" s="68"/>
      <c r="AI252" s="69"/>
      <c r="AJ252" s="69"/>
      <c r="AK252" s="68"/>
      <c r="AL252" s="77"/>
      <c r="AM252" s="71"/>
      <c r="AN252" s="68"/>
      <c r="AO252" s="68"/>
      <c r="AP252" s="68"/>
      <c r="AQ252" s="68"/>
      <c r="AR252" s="68"/>
      <c r="AS252" s="68"/>
      <c r="AT252" s="68"/>
      <c r="AU252" s="70"/>
      <c r="AV252" s="72"/>
      <c r="AW252" s="69"/>
      <c r="AX252" s="69"/>
      <c r="AY252" s="69"/>
      <c r="AZ252" s="69"/>
      <c r="BA252" s="69"/>
      <c r="BB252" s="69"/>
      <c r="BC252" s="69"/>
      <c r="BD252" s="70"/>
      <c r="BE252" s="71"/>
      <c r="BF252" s="68"/>
      <c r="BG252" s="68"/>
      <c r="BH252" s="70"/>
      <c r="BI252" s="67"/>
      <c r="BJ252" s="68"/>
      <c r="BK252" s="70"/>
      <c r="BL252" s="71"/>
      <c r="BM252" s="68"/>
      <c r="BN252" s="69"/>
      <c r="BO252" s="78"/>
      <c r="BP252" s="37">
        <f t="shared" si="21"/>
        <v>0</v>
      </c>
    </row>
    <row r="253" spans="1:68" ht="25.5" customHeight="1" thickTop="1" thickBot="1" x14ac:dyDescent="0.2">
      <c r="A253" s="17">
        <f t="shared" si="22"/>
        <v>238</v>
      </c>
      <c r="B253" s="1044"/>
      <c r="C253" s="1045"/>
      <c r="D253" s="38"/>
      <c r="E253" s="954"/>
      <c r="F253" s="53"/>
      <c r="G253" s="39"/>
      <c r="H253" s="1050"/>
      <c r="I253" s="684" t="str">
        <f t="shared" si="18"/>
        <v/>
      </c>
      <c r="J253" s="754">
        <f t="shared" si="19"/>
        <v>0</v>
      </c>
      <c r="K253" s="1254"/>
      <c r="L253" s="1253"/>
      <c r="M253" s="1253"/>
      <c r="N253" s="773" t="str">
        <f t="shared" si="23"/>
        <v/>
      </c>
      <c r="O253" s="774" t="str">
        <f>IF('Set up ~ Config'!$G$32=6,IF(OR($N253=7,$N253=8,$N253=9),1,IF(OR($N253=10,$N253=11,$N253=12),2,IF(OR($N253=1,$N253=2,$N253=3),3,IF(OR($N253=4,$N253=5,$N253=6),4,"")))),IF(OR($N253=9,$N253=10,$N253=11),1,IF(OR($N253=12,$N253=1,$N253=2),2,IF(OR($N253=3,$N253=4,$N253=5),3,IF(OR($N253=6,$N253=7,$N253=8),4,"")))))</f>
        <v/>
      </c>
      <c r="P253" s="40"/>
      <c r="Q253" s="67"/>
      <c r="R253" s="68"/>
      <c r="S253" s="755">
        <f t="shared" si="20"/>
        <v>0</v>
      </c>
      <c r="T253" s="68"/>
      <c r="U253" s="68"/>
      <c r="V253" s="68"/>
      <c r="W253" s="68"/>
      <c r="X253" s="68"/>
      <c r="Y253" s="68"/>
      <c r="Z253" s="68"/>
      <c r="AA253" s="68"/>
      <c r="AB253" s="69"/>
      <c r="AC253" s="70"/>
      <c r="AD253" s="71"/>
      <c r="AE253" s="68"/>
      <c r="AF253" s="68"/>
      <c r="AG253" s="68"/>
      <c r="AH253" s="68"/>
      <c r="AI253" s="69"/>
      <c r="AJ253" s="69"/>
      <c r="AK253" s="68"/>
      <c r="AL253" s="77"/>
      <c r="AM253" s="71"/>
      <c r="AN253" s="68"/>
      <c r="AO253" s="68"/>
      <c r="AP253" s="68"/>
      <c r="AQ253" s="68"/>
      <c r="AR253" s="68"/>
      <c r="AS253" s="68"/>
      <c r="AT253" s="68"/>
      <c r="AU253" s="70"/>
      <c r="AV253" s="72"/>
      <c r="AW253" s="69"/>
      <c r="AX253" s="69"/>
      <c r="AY253" s="69"/>
      <c r="AZ253" s="69"/>
      <c r="BA253" s="69"/>
      <c r="BB253" s="69"/>
      <c r="BC253" s="69"/>
      <c r="BD253" s="70"/>
      <c r="BE253" s="71"/>
      <c r="BF253" s="68"/>
      <c r="BG253" s="68"/>
      <c r="BH253" s="70"/>
      <c r="BI253" s="67"/>
      <c r="BJ253" s="68"/>
      <c r="BK253" s="70"/>
      <c r="BL253" s="71"/>
      <c r="BM253" s="68"/>
      <c r="BN253" s="69"/>
      <c r="BO253" s="78"/>
      <c r="BP253" s="37">
        <f t="shared" si="21"/>
        <v>0</v>
      </c>
    </row>
    <row r="254" spans="1:68" ht="25.5" customHeight="1" thickTop="1" thickBot="1" x14ac:dyDescent="0.2">
      <c r="A254" s="17">
        <f t="shared" si="22"/>
        <v>239</v>
      </c>
      <c r="B254" s="1044"/>
      <c r="C254" s="1045"/>
      <c r="D254" s="38"/>
      <c r="E254" s="954"/>
      <c r="F254" s="53"/>
      <c r="G254" s="39"/>
      <c r="H254" s="1050"/>
      <c r="I254" s="684" t="str">
        <f t="shared" si="18"/>
        <v/>
      </c>
      <c r="J254" s="754">
        <f t="shared" si="19"/>
        <v>0</v>
      </c>
      <c r="K254" s="1254"/>
      <c r="L254" s="1253"/>
      <c r="M254" s="1253"/>
      <c r="N254" s="773" t="str">
        <f t="shared" si="23"/>
        <v/>
      </c>
      <c r="O254" s="774" t="str">
        <f>IF('Set up ~ Config'!$G$32=6,IF(OR($N254=7,$N254=8,$N254=9),1,IF(OR($N254=10,$N254=11,$N254=12),2,IF(OR($N254=1,$N254=2,$N254=3),3,IF(OR($N254=4,$N254=5,$N254=6),4,"")))),IF(OR($N254=9,$N254=10,$N254=11),1,IF(OR($N254=12,$N254=1,$N254=2),2,IF(OR($N254=3,$N254=4,$N254=5),3,IF(OR($N254=6,$N254=7,$N254=8),4,"")))))</f>
        <v/>
      </c>
      <c r="P254" s="40"/>
      <c r="Q254" s="67"/>
      <c r="R254" s="68"/>
      <c r="S254" s="755">
        <f t="shared" si="20"/>
        <v>0</v>
      </c>
      <c r="T254" s="68"/>
      <c r="U254" s="68"/>
      <c r="V254" s="68"/>
      <c r="W254" s="68"/>
      <c r="X254" s="68"/>
      <c r="Y254" s="68"/>
      <c r="Z254" s="68"/>
      <c r="AA254" s="68"/>
      <c r="AB254" s="69"/>
      <c r="AC254" s="70"/>
      <c r="AD254" s="71"/>
      <c r="AE254" s="68"/>
      <c r="AF254" s="68"/>
      <c r="AG254" s="68"/>
      <c r="AH254" s="68"/>
      <c r="AI254" s="69"/>
      <c r="AJ254" s="69"/>
      <c r="AK254" s="68"/>
      <c r="AL254" s="77"/>
      <c r="AM254" s="71"/>
      <c r="AN254" s="68"/>
      <c r="AO254" s="68"/>
      <c r="AP254" s="68"/>
      <c r="AQ254" s="68"/>
      <c r="AR254" s="68"/>
      <c r="AS254" s="68"/>
      <c r="AT254" s="68"/>
      <c r="AU254" s="70"/>
      <c r="AV254" s="72"/>
      <c r="AW254" s="69"/>
      <c r="AX254" s="69"/>
      <c r="AY254" s="69"/>
      <c r="AZ254" s="69"/>
      <c r="BA254" s="69"/>
      <c r="BB254" s="69"/>
      <c r="BC254" s="69"/>
      <c r="BD254" s="70"/>
      <c r="BE254" s="71"/>
      <c r="BF254" s="68"/>
      <c r="BG254" s="68"/>
      <c r="BH254" s="70"/>
      <c r="BI254" s="67"/>
      <c r="BJ254" s="68"/>
      <c r="BK254" s="70"/>
      <c r="BL254" s="71"/>
      <c r="BM254" s="68"/>
      <c r="BN254" s="69"/>
      <c r="BO254" s="78"/>
      <c r="BP254" s="37">
        <f t="shared" si="21"/>
        <v>0</v>
      </c>
    </row>
    <row r="255" spans="1:68" ht="25.5" customHeight="1" thickTop="1" thickBot="1" x14ac:dyDescent="0.2">
      <c r="A255" s="17">
        <f t="shared" si="22"/>
        <v>240</v>
      </c>
      <c r="B255" s="1044"/>
      <c r="C255" s="1045"/>
      <c r="D255" s="38"/>
      <c r="E255" s="954"/>
      <c r="F255" s="53"/>
      <c r="G255" s="39"/>
      <c r="H255" s="1050"/>
      <c r="I255" s="684" t="str">
        <f t="shared" si="18"/>
        <v/>
      </c>
      <c r="J255" s="754">
        <f t="shared" si="19"/>
        <v>0</v>
      </c>
      <c r="K255" s="1254"/>
      <c r="L255" s="1253"/>
      <c r="M255" s="1253"/>
      <c r="N255" s="773" t="str">
        <f t="shared" si="23"/>
        <v/>
      </c>
      <c r="O255" s="774" t="str">
        <f>IF('Set up ~ Config'!$G$32=6,IF(OR($N255=7,$N255=8,$N255=9),1,IF(OR($N255=10,$N255=11,$N255=12),2,IF(OR($N255=1,$N255=2,$N255=3),3,IF(OR($N255=4,$N255=5,$N255=6),4,"")))),IF(OR($N255=9,$N255=10,$N255=11),1,IF(OR($N255=12,$N255=1,$N255=2),2,IF(OR($N255=3,$N255=4,$N255=5),3,IF(OR($N255=6,$N255=7,$N255=8),4,"")))))</f>
        <v/>
      </c>
      <c r="P255" s="40"/>
      <c r="Q255" s="67"/>
      <c r="R255" s="68"/>
      <c r="S255" s="755">
        <f t="shared" si="20"/>
        <v>0</v>
      </c>
      <c r="T255" s="68"/>
      <c r="U255" s="68"/>
      <c r="V255" s="68"/>
      <c r="W255" s="68"/>
      <c r="X255" s="68"/>
      <c r="Y255" s="68"/>
      <c r="Z255" s="68"/>
      <c r="AA255" s="68"/>
      <c r="AB255" s="69"/>
      <c r="AC255" s="70"/>
      <c r="AD255" s="71"/>
      <c r="AE255" s="68"/>
      <c r="AF255" s="68"/>
      <c r="AG255" s="68"/>
      <c r="AH255" s="68"/>
      <c r="AI255" s="69"/>
      <c r="AJ255" s="69"/>
      <c r="AK255" s="68"/>
      <c r="AL255" s="77"/>
      <c r="AM255" s="71"/>
      <c r="AN255" s="68"/>
      <c r="AO255" s="68"/>
      <c r="AP255" s="68"/>
      <c r="AQ255" s="68"/>
      <c r="AR255" s="68"/>
      <c r="AS255" s="68"/>
      <c r="AT255" s="68"/>
      <c r="AU255" s="70"/>
      <c r="AV255" s="72"/>
      <c r="AW255" s="69"/>
      <c r="AX255" s="69"/>
      <c r="AY255" s="69"/>
      <c r="AZ255" s="69"/>
      <c r="BA255" s="69"/>
      <c r="BB255" s="69"/>
      <c r="BC255" s="69"/>
      <c r="BD255" s="70"/>
      <c r="BE255" s="71"/>
      <c r="BF255" s="68"/>
      <c r="BG255" s="68"/>
      <c r="BH255" s="70"/>
      <c r="BI255" s="67"/>
      <c r="BJ255" s="68"/>
      <c r="BK255" s="70"/>
      <c r="BL255" s="71"/>
      <c r="BM255" s="68"/>
      <c r="BN255" s="69"/>
      <c r="BO255" s="78"/>
      <c r="BP255" s="37">
        <f t="shared" si="21"/>
        <v>0</v>
      </c>
    </row>
    <row r="256" spans="1:68" ht="25.5" customHeight="1" thickTop="1" thickBot="1" x14ac:dyDescent="0.2">
      <c r="A256" s="17">
        <f t="shared" si="22"/>
        <v>241</v>
      </c>
      <c r="B256" s="1044"/>
      <c r="C256" s="1045"/>
      <c r="D256" s="38"/>
      <c r="E256" s="954"/>
      <c r="F256" s="53"/>
      <c r="G256" s="39"/>
      <c r="H256" s="1050"/>
      <c r="I256" s="684" t="str">
        <f t="shared" si="18"/>
        <v/>
      </c>
      <c r="J256" s="754">
        <f t="shared" si="19"/>
        <v>0</v>
      </c>
      <c r="K256" s="1254"/>
      <c r="L256" s="1253"/>
      <c r="M256" s="1253"/>
      <c r="N256" s="773" t="str">
        <f t="shared" si="23"/>
        <v/>
      </c>
      <c r="O256" s="774" t="str">
        <f>IF('Set up ~ Config'!$G$32=6,IF(OR($N256=7,$N256=8,$N256=9),1,IF(OR($N256=10,$N256=11,$N256=12),2,IF(OR($N256=1,$N256=2,$N256=3),3,IF(OR($N256=4,$N256=5,$N256=6),4,"")))),IF(OR($N256=9,$N256=10,$N256=11),1,IF(OR($N256=12,$N256=1,$N256=2),2,IF(OR($N256=3,$N256=4,$N256=5),3,IF(OR($N256=6,$N256=7,$N256=8),4,"")))))</f>
        <v/>
      </c>
      <c r="P256" s="40"/>
      <c r="Q256" s="67"/>
      <c r="R256" s="68"/>
      <c r="S256" s="755">
        <f t="shared" si="20"/>
        <v>0</v>
      </c>
      <c r="T256" s="68"/>
      <c r="U256" s="68"/>
      <c r="V256" s="68"/>
      <c r="W256" s="68"/>
      <c r="X256" s="68"/>
      <c r="Y256" s="68"/>
      <c r="Z256" s="68"/>
      <c r="AA256" s="68"/>
      <c r="AB256" s="69"/>
      <c r="AC256" s="70"/>
      <c r="AD256" s="71"/>
      <c r="AE256" s="68"/>
      <c r="AF256" s="68"/>
      <c r="AG256" s="68"/>
      <c r="AH256" s="68"/>
      <c r="AI256" s="69"/>
      <c r="AJ256" s="69"/>
      <c r="AK256" s="68"/>
      <c r="AL256" s="77"/>
      <c r="AM256" s="71"/>
      <c r="AN256" s="68"/>
      <c r="AO256" s="68"/>
      <c r="AP256" s="68"/>
      <c r="AQ256" s="68"/>
      <c r="AR256" s="68"/>
      <c r="AS256" s="68"/>
      <c r="AT256" s="68"/>
      <c r="AU256" s="70"/>
      <c r="AV256" s="72"/>
      <c r="AW256" s="69"/>
      <c r="AX256" s="69"/>
      <c r="AY256" s="69"/>
      <c r="AZ256" s="69"/>
      <c r="BA256" s="69"/>
      <c r="BB256" s="69"/>
      <c r="BC256" s="69"/>
      <c r="BD256" s="70"/>
      <c r="BE256" s="71"/>
      <c r="BF256" s="68"/>
      <c r="BG256" s="68"/>
      <c r="BH256" s="70"/>
      <c r="BI256" s="67"/>
      <c r="BJ256" s="68"/>
      <c r="BK256" s="70"/>
      <c r="BL256" s="71"/>
      <c r="BM256" s="68"/>
      <c r="BN256" s="69"/>
      <c r="BO256" s="78"/>
      <c r="BP256" s="37">
        <f t="shared" si="21"/>
        <v>0</v>
      </c>
    </row>
    <row r="257" spans="1:68" ht="25.5" customHeight="1" thickTop="1" thickBot="1" x14ac:dyDescent="0.2">
      <c r="A257" s="17">
        <f t="shared" si="22"/>
        <v>242</v>
      </c>
      <c r="B257" s="1044"/>
      <c r="C257" s="1045"/>
      <c r="D257" s="38"/>
      <c r="E257" s="954"/>
      <c r="F257" s="53"/>
      <c r="G257" s="39"/>
      <c r="H257" s="1050"/>
      <c r="I257" s="684" t="str">
        <f t="shared" si="18"/>
        <v/>
      </c>
      <c r="J257" s="754">
        <f t="shared" si="19"/>
        <v>0</v>
      </c>
      <c r="K257" s="1254"/>
      <c r="L257" s="1253"/>
      <c r="M257" s="1253"/>
      <c r="N257" s="773" t="str">
        <f t="shared" si="23"/>
        <v/>
      </c>
      <c r="O257" s="774" t="str">
        <f>IF('Set up ~ Config'!$G$32=6,IF(OR($N257=7,$N257=8,$N257=9),1,IF(OR($N257=10,$N257=11,$N257=12),2,IF(OR($N257=1,$N257=2,$N257=3),3,IF(OR($N257=4,$N257=5,$N257=6),4,"")))),IF(OR($N257=9,$N257=10,$N257=11),1,IF(OR($N257=12,$N257=1,$N257=2),2,IF(OR($N257=3,$N257=4,$N257=5),3,IF(OR($N257=6,$N257=7,$N257=8),4,"")))))</f>
        <v/>
      </c>
      <c r="P257" s="40"/>
      <c r="Q257" s="67"/>
      <c r="R257" s="68"/>
      <c r="S257" s="755">
        <f t="shared" si="20"/>
        <v>0</v>
      </c>
      <c r="T257" s="68"/>
      <c r="U257" s="68"/>
      <c r="V257" s="68"/>
      <c r="W257" s="68"/>
      <c r="X257" s="68"/>
      <c r="Y257" s="68"/>
      <c r="Z257" s="68"/>
      <c r="AA257" s="68"/>
      <c r="AB257" s="69"/>
      <c r="AC257" s="70"/>
      <c r="AD257" s="71"/>
      <c r="AE257" s="68"/>
      <c r="AF257" s="68"/>
      <c r="AG257" s="68"/>
      <c r="AH257" s="68"/>
      <c r="AI257" s="69"/>
      <c r="AJ257" s="69"/>
      <c r="AK257" s="68"/>
      <c r="AL257" s="77"/>
      <c r="AM257" s="71"/>
      <c r="AN257" s="68"/>
      <c r="AO257" s="68"/>
      <c r="AP257" s="68"/>
      <c r="AQ257" s="68"/>
      <c r="AR257" s="68"/>
      <c r="AS257" s="68"/>
      <c r="AT257" s="68"/>
      <c r="AU257" s="70"/>
      <c r="AV257" s="72"/>
      <c r="AW257" s="69"/>
      <c r="AX257" s="69"/>
      <c r="AY257" s="69"/>
      <c r="AZ257" s="69"/>
      <c r="BA257" s="69"/>
      <c r="BB257" s="69"/>
      <c r="BC257" s="69"/>
      <c r="BD257" s="70"/>
      <c r="BE257" s="71"/>
      <c r="BF257" s="68"/>
      <c r="BG257" s="68"/>
      <c r="BH257" s="70"/>
      <c r="BI257" s="67"/>
      <c r="BJ257" s="68"/>
      <c r="BK257" s="70"/>
      <c r="BL257" s="71"/>
      <c r="BM257" s="68"/>
      <c r="BN257" s="69"/>
      <c r="BO257" s="78"/>
      <c r="BP257" s="37">
        <f t="shared" si="21"/>
        <v>0</v>
      </c>
    </row>
    <row r="258" spans="1:68" ht="25.5" customHeight="1" thickTop="1" thickBot="1" x14ac:dyDescent="0.2">
      <c r="A258" s="17">
        <f t="shared" si="22"/>
        <v>243</v>
      </c>
      <c r="B258" s="1044"/>
      <c r="C258" s="1045"/>
      <c r="D258" s="38"/>
      <c r="E258" s="954"/>
      <c r="F258" s="53"/>
      <c r="G258" s="39"/>
      <c r="H258" s="1050"/>
      <c r="I258" s="684" t="str">
        <f t="shared" si="18"/>
        <v/>
      </c>
      <c r="J258" s="754">
        <f t="shared" si="19"/>
        <v>0</v>
      </c>
      <c r="K258" s="1254"/>
      <c r="L258" s="1253"/>
      <c r="M258" s="1253"/>
      <c r="N258" s="773" t="str">
        <f t="shared" si="23"/>
        <v/>
      </c>
      <c r="O258" s="774" t="str">
        <f>IF('Set up ~ Config'!$G$32=6,IF(OR($N258=7,$N258=8,$N258=9),1,IF(OR($N258=10,$N258=11,$N258=12),2,IF(OR($N258=1,$N258=2,$N258=3),3,IF(OR($N258=4,$N258=5,$N258=6),4,"")))),IF(OR($N258=9,$N258=10,$N258=11),1,IF(OR($N258=12,$N258=1,$N258=2),2,IF(OR($N258=3,$N258=4,$N258=5),3,IF(OR($N258=6,$N258=7,$N258=8),4,"")))))</f>
        <v/>
      </c>
      <c r="P258" s="40"/>
      <c r="Q258" s="67"/>
      <c r="R258" s="68"/>
      <c r="S258" s="755">
        <f t="shared" si="20"/>
        <v>0</v>
      </c>
      <c r="T258" s="68"/>
      <c r="U258" s="68"/>
      <c r="V258" s="68"/>
      <c r="W258" s="68"/>
      <c r="X258" s="68"/>
      <c r="Y258" s="68"/>
      <c r="Z258" s="68"/>
      <c r="AA258" s="68"/>
      <c r="AB258" s="69"/>
      <c r="AC258" s="70"/>
      <c r="AD258" s="71"/>
      <c r="AE258" s="68"/>
      <c r="AF258" s="68"/>
      <c r="AG258" s="68"/>
      <c r="AH258" s="68"/>
      <c r="AI258" s="69"/>
      <c r="AJ258" s="69"/>
      <c r="AK258" s="68"/>
      <c r="AL258" s="77"/>
      <c r="AM258" s="71"/>
      <c r="AN258" s="68"/>
      <c r="AO258" s="68"/>
      <c r="AP258" s="68"/>
      <c r="AQ258" s="68"/>
      <c r="AR258" s="68"/>
      <c r="AS258" s="68"/>
      <c r="AT258" s="68"/>
      <c r="AU258" s="70"/>
      <c r="AV258" s="72"/>
      <c r="AW258" s="69"/>
      <c r="AX258" s="69"/>
      <c r="AY258" s="69"/>
      <c r="AZ258" s="69"/>
      <c r="BA258" s="69"/>
      <c r="BB258" s="69"/>
      <c r="BC258" s="69"/>
      <c r="BD258" s="70"/>
      <c r="BE258" s="71"/>
      <c r="BF258" s="68"/>
      <c r="BG258" s="68"/>
      <c r="BH258" s="70"/>
      <c r="BI258" s="67"/>
      <c r="BJ258" s="68"/>
      <c r="BK258" s="70"/>
      <c r="BL258" s="71"/>
      <c r="BM258" s="68"/>
      <c r="BN258" s="69"/>
      <c r="BO258" s="78"/>
      <c r="BP258" s="37">
        <f t="shared" si="21"/>
        <v>0</v>
      </c>
    </row>
    <row r="259" spans="1:68" ht="25.5" customHeight="1" thickTop="1" thickBot="1" x14ac:dyDescent="0.2">
      <c r="A259" s="17">
        <f t="shared" si="22"/>
        <v>244</v>
      </c>
      <c r="B259" s="1044"/>
      <c r="C259" s="1045"/>
      <c r="D259" s="38"/>
      <c r="E259" s="954"/>
      <c r="F259" s="53"/>
      <c r="G259" s="39"/>
      <c r="H259" s="1050"/>
      <c r="I259" s="684" t="str">
        <f t="shared" si="18"/>
        <v/>
      </c>
      <c r="J259" s="754">
        <f t="shared" si="19"/>
        <v>0</v>
      </c>
      <c r="K259" s="1254"/>
      <c r="L259" s="1253"/>
      <c r="M259" s="1253"/>
      <c r="N259" s="773" t="str">
        <f t="shared" si="23"/>
        <v/>
      </c>
      <c r="O259" s="774" t="str">
        <f>IF('Set up ~ Config'!$G$32=6,IF(OR($N259=7,$N259=8,$N259=9),1,IF(OR($N259=10,$N259=11,$N259=12),2,IF(OR($N259=1,$N259=2,$N259=3),3,IF(OR($N259=4,$N259=5,$N259=6),4,"")))),IF(OR($N259=9,$N259=10,$N259=11),1,IF(OR($N259=12,$N259=1,$N259=2),2,IF(OR($N259=3,$N259=4,$N259=5),3,IF(OR($N259=6,$N259=7,$N259=8),4,"")))))</f>
        <v/>
      </c>
      <c r="P259" s="40"/>
      <c r="Q259" s="67"/>
      <c r="R259" s="68"/>
      <c r="S259" s="755">
        <f t="shared" si="20"/>
        <v>0</v>
      </c>
      <c r="T259" s="68"/>
      <c r="U259" s="68"/>
      <c r="V259" s="68"/>
      <c r="W259" s="68"/>
      <c r="X259" s="68"/>
      <c r="Y259" s="68"/>
      <c r="Z259" s="68"/>
      <c r="AA259" s="68"/>
      <c r="AB259" s="69"/>
      <c r="AC259" s="70"/>
      <c r="AD259" s="71"/>
      <c r="AE259" s="68"/>
      <c r="AF259" s="68"/>
      <c r="AG259" s="68"/>
      <c r="AH259" s="68"/>
      <c r="AI259" s="69"/>
      <c r="AJ259" s="69"/>
      <c r="AK259" s="68"/>
      <c r="AL259" s="77"/>
      <c r="AM259" s="71"/>
      <c r="AN259" s="68"/>
      <c r="AO259" s="68"/>
      <c r="AP259" s="68"/>
      <c r="AQ259" s="68"/>
      <c r="AR259" s="68"/>
      <c r="AS259" s="68"/>
      <c r="AT259" s="68"/>
      <c r="AU259" s="70"/>
      <c r="AV259" s="72"/>
      <c r="AW259" s="69"/>
      <c r="AX259" s="69"/>
      <c r="AY259" s="69"/>
      <c r="AZ259" s="69"/>
      <c r="BA259" s="69"/>
      <c r="BB259" s="69"/>
      <c r="BC259" s="69"/>
      <c r="BD259" s="70"/>
      <c r="BE259" s="71"/>
      <c r="BF259" s="68"/>
      <c r="BG259" s="68"/>
      <c r="BH259" s="70"/>
      <c r="BI259" s="67"/>
      <c r="BJ259" s="68"/>
      <c r="BK259" s="70"/>
      <c r="BL259" s="71"/>
      <c r="BM259" s="68"/>
      <c r="BN259" s="69"/>
      <c r="BO259" s="78"/>
      <c r="BP259" s="37">
        <f t="shared" si="21"/>
        <v>0</v>
      </c>
    </row>
    <row r="260" spans="1:68" ht="25.5" customHeight="1" thickTop="1" thickBot="1" x14ac:dyDescent="0.2">
      <c r="A260" s="17">
        <f t="shared" si="22"/>
        <v>245</v>
      </c>
      <c r="B260" s="1044"/>
      <c r="C260" s="1045"/>
      <c r="D260" s="38"/>
      <c r="E260" s="954"/>
      <c r="F260" s="53"/>
      <c r="G260" s="39"/>
      <c r="H260" s="1050"/>
      <c r="I260" s="684" t="str">
        <f t="shared" si="18"/>
        <v/>
      </c>
      <c r="J260" s="754">
        <f t="shared" si="19"/>
        <v>0</v>
      </c>
      <c r="K260" s="1254"/>
      <c r="L260" s="1253"/>
      <c r="M260" s="1253"/>
      <c r="N260" s="773" t="str">
        <f t="shared" si="23"/>
        <v/>
      </c>
      <c r="O260" s="774" t="str">
        <f>IF('Set up ~ Config'!$G$32=6,IF(OR($N260=7,$N260=8,$N260=9),1,IF(OR($N260=10,$N260=11,$N260=12),2,IF(OR($N260=1,$N260=2,$N260=3),3,IF(OR($N260=4,$N260=5,$N260=6),4,"")))),IF(OR($N260=9,$N260=10,$N260=11),1,IF(OR($N260=12,$N260=1,$N260=2),2,IF(OR($N260=3,$N260=4,$N260=5),3,IF(OR($N260=6,$N260=7,$N260=8),4,"")))))</f>
        <v/>
      </c>
      <c r="P260" s="40"/>
      <c r="Q260" s="67"/>
      <c r="R260" s="68"/>
      <c r="S260" s="755">
        <f t="shared" si="20"/>
        <v>0</v>
      </c>
      <c r="T260" s="68"/>
      <c r="U260" s="68"/>
      <c r="V260" s="68"/>
      <c r="W260" s="68"/>
      <c r="X260" s="68"/>
      <c r="Y260" s="68"/>
      <c r="Z260" s="68"/>
      <c r="AA260" s="68"/>
      <c r="AB260" s="69"/>
      <c r="AC260" s="70"/>
      <c r="AD260" s="71"/>
      <c r="AE260" s="68"/>
      <c r="AF260" s="68"/>
      <c r="AG260" s="68"/>
      <c r="AH260" s="68"/>
      <c r="AI260" s="69"/>
      <c r="AJ260" s="69"/>
      <c r="AK260" s="68"/>
      <c r="AL260" s="77"/>
      <c r="AM260" s="71"/>
      <c r="AN260" s="68"/>
      <c r="AO260" s="68"/>
      <c r="AP260" s="68"/>
      <c r="AQ260" s="68"/>
      <c r="AR260" s="68"/>
      <c r="AS260" s="68"/>
      <c r="AT260" s="68"/>
      <c r="AU260" s="70"/>
      <c r="AV260" s="72"/>
      <c r="AW260" s="69"/>
      <c r="AX260" s="69"/>
      <c r="AY260" s="69"/>
      <c r="AZ260" s="69"/>
      <c r="BA260" s="69"/>
      <c r="BB260" s="69"/>
      <c r="BC260" s="69"/>
      <c r="BD260" s="70"/>
      <c r="BE260" s="71"/>
      <c r="BF260" s="68"/>
      <c r="BG260" s="68"/>
      <c r="BH260" s="70"/>
      <c r="BI260" s="67"/>
      <c r="BJ260" s="68"/>
      <c r="BK260" s="70"/>
      <c r="BL260" s="71"/>
      <c r="BM260" s="68"/>
      <c r="BN260" s="69"/>
      <c r="BO260" s="78"/>
      <c r="BP260" s="37">
        <f t="shared" si="21"/>
        <v>0</v>
      </c>
    </row>
    <row r="261" spans="1:68" ht="25.5" customHeight="1" thickTop="1" thickBot="1" x14ac:dyDescent="0.2">
      <c r="A261" s="17">
        <f t="shared" si="22"/>
        <v>246</v>
      </c>
      <c r="B261" s="1044"/>
      <c r="C261" s="1045"/>
      <c r="D261" s="38"/>
      <c r="E261" s="954"/>
      <c r="F261" s="53"/>
      <c r="G261" s="39"/>
      <c r="H261" s="1050"/>
      <c r="I261" s="684" t="str">
        <f t="shared" si="18"/>
        <v/>
      </c>
      <c r="J261" s="754">
        <f t="shared" si="19"/>
        <v>0</v>
      </c>
      <c r="K261" s="1254"/>
      <c r="L261" s="1253"/>
      <c r="M261" s="1253"/>
      <c r="N261" s="773" t="str">
        <f t="shared" si="23"/>
        <v/>
      </c>
      <c r="O261" s="774" t="str">
        <f>IF('Set up ~ Config'!$G$32=6,IF(OR($N261=7,$N261=8,$N261=9),1,IF(OR($N261=10,$N261=11,$N261=12),2,IF(OR($N261=1,$N261=2,$N261=3),3,IF(OR($N261=4,$N261=5,$N261=6),4,"")))),IF(OR($N261=9,$N261=10,$N261=11),1,IF(OR($N261=12,$N261=1,$N261=2),2,IF(OR($N261=3,$N261=4,$N261=5),3,IF(OR($N261=6,$N261=7,$N261=8),4,"")))))</f>
        <v/>
      </c>
      <c r="P261" s="40"/>
      <c r="Q261" s="67"/>
      <c r="R261" s="68"/>
      <c r="S261" s="755">
        <f t="shared" si="20"/>
        <v>0</v>
      </c>
      <c r="T261" s="68"/>
      <c r="U261" s="68"/>
      <c r="V261" s="68"/>
      <c r="W261" s="68"/>
      <c r="X261" s="68"/>
      <c r="Y261" s="68"/>
      <c r="Z261" s="68"/>
      <c r="AA261" s="68"/>
      <c r="AB261" s="69"/>
      <c r="AC261" s="70"/>
      <c r="AD261" s="71"/>
      <c r="AE261" s="68"/>
      <c r="AF261" s="68"/>
      <c r="AG261" s="68"/>
      <c r="AH261" s="68"/>
      <c r="AI261" s="69"/>
      <c r="AJ261" s="69"/>
      <c r="AK261" s="68"/>
      <c r="AL261" s="77"/>
      <c r="AM261" s="71"/>
      <c r="AN261" s="68"/>
      <c r="AO261" s="68"/>
      <c r="AP261" s="68"/>
      <c r="AQ261" s="68"/>
      <c r="AR261" s="68"/>
      <c r="AS261" s="68"/>
      <c r="AT261" s="68"/>
      <c r="AU261" s="70"/>
      <c r="AV261" s="72"/>
      <c r="AW261" s="69"/>
      <c r="AX261" s="69"/>
      <c r="AY261" s="69"/>
      <c r="AZ261" s="69"/>
      <c r="BA261" s="69"/>
      <c r="BB261" s="69"/>
      <c r="BC261" s="69"/>
      <c r="BD261" s="70"/>
      <c r="BE261" s="71"/>
      <c r="BF261" s="68"/>
      <c r="BG261" s="68"/>
      <c r="BH261" s="70"/>
      <c r="BI261" s="67"/>
      <c r="BJ261" s="68"/>
      <c r="BK261" s="70"/>
      <c r="BL261" s="71"/>
      <c r="BM261" s="68"/>
      <c r="BN261" s="69"/>
      <c r="BO261" s="78"/>
      <c r="BP261" s="37">
        <f t="shared" si="21"/>
        <v>0</v>
      </c>
    </row>
    <row r="262" spans="1:68" ht="25.5" customHeight="1" thickTop="1" thickBot="1" x14ac:dyDescent="0.2">
      <c r="A262" s="17">
        <f t="shared" si="22"/>
        <v>247</v>
      </c>
      <c r="B262" s="1044"/>
      <c r="C262" s="1045"/>
      <c r="D262" s="38"/>
      <c r="E262" s="954"/>
      <c r="F262" s="53"/>
      <c r="G262" s="39"/>
      <c r="H262" s="1050"/>
      <c r="I262" s="684" t="str">
        <f t="shared" si="18"/>
        <v/>
      </c>
      <c r="J262" s="754">
        <f t="shared" si="19"/>
        <v>0</v>
      </c>
      <c r="K262" s="1254"/>
      <c r="L262" s="1253"/>
      <c r="M262" s="1253"/>
      <c r="N262" s="773" t="str">
        <f t="shared" si="23"/>
        <v/>
      </c>
      <c r="O262" s="774" t="str">
        <f>IF('Set up ~ Config'!$G$32=6,IF(OR($N262=7,$N262=8,$N262=9),1,IF(OR($N262=10,$N262=11,$N262=12),2,IF(OR($N262=1,$N262=2,$N262=3),3,IF(OR($N262=4,$N262=5,$N262=6),4,"")))),IF(OR($N262=9,$N262=10,$N262=11),1,IF(OR($N262=12,$N262=1,$N262=2),2,IF(OR($N262=3,$N262=4,$N262=5),3,IF(OR($N262=6,$N262=7,$N262=8),4,"")))))</f>
        <v/>
      </c>
      <c r="P262" s="40"/>
      <c r="Q262" s="67"/>
      <c r="R262" s="68"/>
      <c r="S262" s="755">
        <f t="shared" si="20"/>
        <v>0</v>
      </c>
      <c r="T262" s="68"/>
      <c r="U262" s="68"/>
      <c r="V262" s="68"/>
      <c r="W262" s="68"/>
      <c r="X262" s="68"/>
      <c r="Y262" s="68"/>
      <c r="Z262" s="68"/>
      <c r="AA262" s="68"/>
      <c r="AB262" s="69"/>
      <c r="AC262" s="70"/>
      <c r="AD262" s="71"/>
      <c r="AE262" s="68"/>
      <c r="AF262" s="68"/>
      <c r="AG262" s="68"/>
      <c r="AH262" s="68"/>
      <c r="AI262" s="69"/>
      <c r="AJ262" s="69"/>
      <c r="AK262" s="68"/>
      <c r="AL262" s="77"/>
      <c r="AM262" s="71"/>
      <c r="AN262" s="68"/>
      <c r="AO262" s="68"/>
      <c r="AP262" s="68"/>
      <c r="AQ262" s="68"/>
      <c r="AR262" s="68"/>
      <c r="AS262" s="68"/>
      <c r="AT262" s="68"/>
      <c r="AU262" s="70"/>
      <c r="AV262" s="72"/>
      <c r="AW262" s="69"/>
      <c r="AX262" s="69"/>
      <c r="AY262" s="69"/>
      <c r="AZ262" s="69"/>
      <c r="BA262" s="69"/>
      <c r="BB262" s="69"/>
      <c r="BC262" s="69"/>
      <c r="BD262" s="70"/>
      <c r="BE262" s="71"/>
      <c r="BF262" s="68"/>
      <c r="BG262" s="68"/>
      <c r="BH262" s="70"/>
      <c r="BI262" s="67"/>
      <c r="BJ262" s="68"/>
      <c r="BK262" s="70"/>
      <c r="BL262" s="71"/>
      <c r="BM262" s="68"/>
      <c r="BN262" s="69"/>
      <c r="BO262" s="78"/>
      <c r="BP262" s="37">
        <f t="shared" si="21"/>
        <v>0</v>
      </c>
    </row>
    <row r="263" spans="1:68" ht="25.5" customHeight="1" thickTop="1" thickBot="1" x14ac:dyDescent="0.2">
      <c r="A263" s="17">
        <f t="shared" si="22"/>
        <v>248</v>
      </c>
      <c r="B263" s="1044"/>
      <c r="C263" s="1045"/>
      <c r="D263" s="38"/>
      <c r="E263" s="954"/>
      <c r="F263" s="53"/>
      <c r="G263" s="39"/>
      <c r="H263" s="1050"/>
      <c r="I263" s="684" t="str">
        <f t="shared" si="18"/>
        <v/>
      </c>
      <c r="J263" s="754">
        <f t="shared" si="19"/>
        <v>0</v>
      </c>
      <c r="K263" s="1254"/>
      <c r="L263" s="1253"/>
      <c r="M263" s="1253"/>
      <c r="N263" s="773" t="str">
        <f t="shared" si="23"/>
        <v/>
      </c>
      <c r="O263" s="774" t="str">
        <f>IF('Set up ~ Config'!$G$32=6,IF(OR($N263=7,$N263=8,$N263=9),1,IF(OR($N263=10,$N263=11,$N263=12),2,IF(OR($N263=1,$N263=2,$N263=3),3,IF(OR($N263=4,$N263=5,$N263=6),4,"")))),IF(OR($N263=9,$N263=10,$N263=11),1,IF(OR($N263=12,$N263=1,$N263=2),2,IF(OR($N263=3,$N263=4,$N263=5),3,IF(OR($N263=6,$N263=7,$N263=8),4,"")))))</f>
        <v/>
      </c>
      <c r="P263" s="40"/>
      <c r="Q263" s="67"/>
      <c r="R263" s="68"/>
      <c r="S263" s="755">
        <f t="shared" si="20"/>
        <v>0</v>
      </c>
      <c r="T263" s="68"/>
      <c r="U263" s="68"/>
      <c r="V263" s="68"/>
      <c r="W263" s="68"/>
      <c r="X263" s="68"/>
      <c r="Y263" s="68"/>
      <c r="Z263" s="68"/>
      <c r="AA263" s="68"/>
      <c r="AB263" s="69"/>
      <c r="AC263" s="70"/>
      <c r="AD263" s="71"/>
      <c r="AE263" s="68"/>
      <c r="AF263" s="68"/>
      <c r="AG263" s="68"/>
      <c r="AH263" s="68"/>
      <c r="AI263" s="69"/>
      <c r="AJ263" s="69"/>
      <c r="AK263" s="68"/>
      <c r="AL263" s="77"/>
      <c r="AM263" s="71"/>
      <c r="AN263" s="68"/>
      <c r="AO263" s="68"/>
      <c r="AP263" s="68"/>
      <c r="AQ263" s="68"/>
      <c r="AR263" s="68"/>
      <c r="AS263" s="68"/>
      <c r="AT263" s="68"/>
      <c r="AU263" s="70"/>
      <c r="AV263" s="72"/>
      <c r="AW263" s="69"/>
      <c r="AX263" s="69"/>
      <c r="AY263" s="69"/>
      <c r="AZ263" s="69"/>
      <c r="BA263" s="69"/>
      <c r="BB263" s="69"/>
      <c r="BC263" s="69"/>
      <c r="BD263" s="70"/>
      <c r="BE263" s="71"/>
      <c r="BF263" s="68"/>
      <c r="BG263" s="68"/>
      <c r="BH263" s="70"/>
      <c r="BI263" s="67"/>
      <c r="BJ263" s="68"/>
      <c r="BK263" s="70"/>
      <c r="BL263" s="71"/>
      <c r="BM263" s="68"/>
      <c r="BN263" s="69"/>
      <c r="BO263" s="78"/>
      <c r="BP263" s="37">
        <f t="shared" si="21"/>
        <v>0</v>
      </c>
    </row>
    <row r="264" spans="1:68" ht="25.5" customHeight="1" thickTop="1" thickBot="1" x14ac:dyDescent="0.2">
      <c r="A264" s="17">
        <f t="shared" si="22"/>
        <v>249</v>
      </c>
      <c r="B264" s="1044"/>
      <c r="C264" s="1045"/>
      <c r="D264" s="38"/>
      <c r="E264" s="954"/>
      <c r="F264" s="53"/>
      <c r="G264" s="39"/>
      <c r="H264" s="1050"/>
      <c r="I264" s="684" t="str">
        <f t="shared" si="18"/>
        <v/>
      </c>
      <c r="J264" s="754">
        <f t="shared" si="19"/>
        <v>0</v>
      </c>
      <c r="K264" s="1254"/>
      <c r="L264" s="1253"/>
      <c r="M264" s="1253"/>
      <c r="N264" s="773" t="str">
        <f t="shared" si="23"/>
        <v/>
      </c>
      <c r="O264" s="774" t="str">
        <f>IF('Set up ~ Config'!$G$32=6,IF(OR($N264=7,$N264=8,$N264=9),1,IF(OR($N264=10,$N264=11,$N264=12),2,IF(OR($N264=1,$N264=2,$N264=3),3,IF(OR($N264=4,$N264=5,$N264=6),4,"")))),IF(OR($N264=9,$N264=10,$N264=11),1,IF(OR($N264=12,$N264=1,$N264=2),2,IF(OR($N264=3,$N264=4,$N264=5),3,IF(OR($N264=6,$N264=7,$N264=8),4,"")))))</f>
        <v/>
      </c>
      <c r="P264" s="40"/>
      <c r="Q264" s="67"/>
      <c r="R264" s="68"/>
      <c r="S264" s="755">
        <f t="shared" si="20"/>
        <v>0</v>
      </c>
      <c r="T264" s="68"/>
      <c r="U264" s="68"/>
      <c r="V264" s="68"/>
      <c r="W264" s="68"/>
      <c r="X264" s="68"/>
      <c r="Y264" s="68"/>
      <c r="Z264" s="68"/>
      <c r="AA264" s="68"/>
      <c r="AB264" s="69"/>
      <c r="AC264" s="70"/>
      <c r="AD264" s="71"/>
      <c r="AE264" s="68"/>
      <c r="AF264" s="68"/>
      <c r="AG264" s="68"/>
      <c r="AH264" s="68"/>
      <c r="AI264" s="69"/>
      <c r="AJ264" s="69"/>
      <c r="AK264" s="68"/>
      <c r="AL264" s="77"/>
      <c r="AM264" s="71"/>
      <c r="AN264" s="68"/>
      <c r="AO264" s="68"/>
      <c r="AP264" s="68"/>
      <c r="AQ264" s="68"/>
      <c r="AR264" s="68"/>
      <c r="AS264" s="68"/>
      <c r="AT264" s="68"/>
      <c r="AU264" s="70"/>
      <c r="AV264" s="72"/>
      <c r="AW264" s="69"/>
      <c r="AX264" s="69"/>
      <c r="AY264" s="69"/>
      <c r="AZ264" s="69"/>
      <c r="BA264" s="69"/>
      <c r="BB264" s="69"/>
      <c r="BC264" s="69"/>
      <c r="BD264" s="70"/>
      <c r="BE264" s="71"/>
      <c r="BF264" s="68"/>
      <c r="BG264" s="68"/>
      <c r="BH264" s="70"/>
      <c r="BI264" s="67"/>
      <c r="BJ264" s="68"/>
      <c r="BK264" s="70"/>
      <c r="BL264" s="71"/>
      <c r="BM264" s="68"/>
      <c r="BN264" s="69"/>
      <c r="BO264" s="78"/>
      <c r="BP264" s="37">
        <f t="shared" si="21"/>
        <v>0</v>
      </c>
    </row>
    <row r="265" spans="1:68" ht="25.5" customHeight="1" thickTop="1" thickBot="1" x14ac:dyDescent="0.2">
      <c r="A265" s="17">
        <f t="shared" si="22"/>
        <v>250</v>
      </c>
      <c r="B265" s="1044"/>
      <c r="C265" s="1045"/>
      <c r="D265" s="38"/>
      <c r="E265" s="954"/>
      <c r="F265" s="53"/>
      <c r="G265" s="39"/>
      <c r="H265" s="1050"/>
      <c r="I265" s="684" t="str">
        <f t="shared" si="18"/>
        <v/>
      </c>
      <c r="J265" s="754">
        <f t="shared" si="19"/>
        <v>0</v>
      </c>
      <c r="K265" s="1254"/>
      <c r="L265" s="1253"/>
      <c r="M265" s="1253"/>
      <c r="N265" s="773" t="str">
        <f t="shared" si="23"/>
        <v/>
      </c>
      <c r="O265" s="774" t="str">
        <f>IF('Set up ~ Config'!$G$32=6,IF(OR($N265=7,$N265=8,$N265=9),1,IF(OR($N265=10,$N265=11,$N265=12),2,IF(OR($N265=1,$N265=2,$N265=3),3,IF(OR($N265=4,$N265=5,$N265=6),4,"")))),IF(OR($N265=9,$N265=10,$N265=11),1,IF(OR($N265=12,$N265=1,$N265=2),2,IF(OR($N265=3,$N265=4,$N265=5),3,IF(OR($N265=6,$N265=7,$N265=8),4,"")))))</f>
        <v/>
      </c>
      <c r="P265" s="40"/>
      <c r="Q265" s="67"/>
      <c r="R265" s="68"/>
      <c r="S265" s="755">
        <f t="shared" si="20"/>
        <v>0</v>
      </c>
      <c r="T265" s="68"/>
      <c r="U265" s="68"/>
      <c r="V265" s="68"/>
      <c r="W265" s="68"/>
      <c r="X265" s="68"/>
      <c r="Y265" s="68"/>
      <c r="Z265" s="68"/>
      <c r="AA265" s="68"/>
      <c r="AB265" s="69"/>
      <c r="AC265" s="70"/>
      <c r="AD265" s="71"/>
      <c r="AE265" s="68"/>
      <c r="AF265" s="68"/>
      <c r="AG265" s="68"/>
      <c r="AH265" s="68"/>
      <c r="AI265" s="69"/>
      <c r="AJ265" s="69"/>
      <c r="AK265" s="68"/>
      <c r="AL265" s="77"/>
      <c r="AM265" s="71"/>
      <c r="AN265" s="68"/>
      <c r="AO265" s="68"/>
      <c r="AP265" s="68"/>
      <c r="AQ265" s="68"/>
      <c r="AR265" s="68"/>
      <c r="AS265" s="68"/>
      <c r="AT265" s="68"/>
      <c r="AU265" s="70"/>
      <c r="AV265" s="72"/>
      <c r="AW265" s="69"/>
      <c r="AX265" s="69"/>
      <c r="AY265" s="69"/>
      <c r="AZ265" s="69"/>
      <c r="BA265" s="69"/>
      <c r="BB265" s="69"/>
      <c r="BC265" s="69"/>
      <c r="BD265" s="70"/>
      <c r="BE265" s="71"/>
      <c r="BF265" s="68"/>
      <c r="BG265" s="68"/>
      <c r="BH265" s="70"/>
      <c r="BI265" s="67"/>
      <c r="BJ265" s="68"/>
      <c r="BK265" s="70"/>
      <c r="BL265" s="71"/>
      <c r="BM265" s="68"/>
      <c r="BN265" s="69"/>
      <c r="BO265" s="78"/>
      <c r="BP265" s="37">
        <f t="shared" si="21"/>
        <v>0</v>
      </c>
    </row>
    <row r="266" spans="1:68" ht="25.5" customHeight="1" thickTop="1" thickBot="1" x14ac:dyDescent="0.2">
      <c r="A266" s="17">
        <f t="shared" si="22"/>
        <v>251</v>
      </c>
      <c r="B266" s="1044"/>
      <c r="C266" s="1045"/>
      <c r="D266" s="38"/>
      <c r="E266" s="954"/>
      <c r="F266" s="53"/>
      <c r="G266" s="39"/>
      <c r="H266" s="1050"/>
      <c r="I266" s="684" t="str">
        <f t="shared" si="18"/>
        <v/>
      </c>
      <c r="J266" s="754">
        <f t="shared" si="19"/>
        <v>0</v>
      </c>
      <c r="K266" s="1254"/>
      <c r="L266" s="1253"/>
      <c r="M266" s="1253"/>
      <c r="N266" s="773" t="str">
        <f t="shared" si="23"/>
        <v/>
      </c>
      <c r="O266" s="774" t="str">
        <f>IF('Set up ~ Config'!$G$32=6,IF(OR($N266=7,$N266=8,$N266=9),1,IF(OR($N266=10,$N266=11,$N266=12),2,IF(OR($N266=1,$N266=2,$N266=3),3,IF(OR($N266=4,$N266=5,$N266=6),4,"")))),IF(OR($N266=9,$N266=10,$N266=11),1,IF(OR($N266=12,$N266=1,$N266=2),2,IF(OR($N266=3,$N266=4,$N266=5),3,IF(OR($N266=6,$N266=7,$N266=8),4,"")))))</f>
        <v/>
      </c>
      <c r="P266" s="40"/>
      <c r="Q266" s="67"/>
      <c r="R266" s="68"/>
      <c r="S266" s="755">
        <f t="shared" si="20"/>
        <v>0</v>
      </c>
      <c r="T266" s="68"/>
      <c r="U266" s="68"/>
      <c r="V266" s="68"/>
      <c r="W266" s="68"/>
      <c r="X266" s="68"/>
      <c r="Y266" s="68"/>
      <c r="Z266" s="68"/>
      <c r="AA266" s="68"/>
      <c r="AB266" s="69"/>
      <c r="AC266" s="70"/>
      <c r="AD266" s="71"/>
      <c r="AE266" s="68"/>
      <c r="AF266" s="68"/>
      <c r="AG266" s="68"/>
      <c r="AH266" s="68"/>
      <c r="AI266" s="69"/>
      <c r="AJ266" s="69"/>
      <c r="AK266" s="68"/>
      <c r="AL266" s="77"/>
      <c r="AM266" s="71"/>
      <c r="AN266" s="68"/>
      <c r="AO266" s="68"/>
      <c r="AP266" s="68"/>
      <c r="AQ266" s="68"/>
      <c r="AR266" s="68"/>
      <c r="AS266" s="68"/>
      <c r="AT266" s="68"/>
      <c r="AU266" s="70"/>
      <c r="AV266" s="72"/>
      <c r="AW266" s="69"/>
      <c r="AX266" s="69"/>
      <c r="AY266" s="69"/>
      <c r="AZ266" s="69"/>
      <c r="BA266" s="69"/>
      <c r="BB266" s="69"/>
      <c r="BC266" s="69"/>
      <c r="BD266" s="70"/>
      <c r="BE266" s="71"/>
      <c r="BF266" s="68"/>
      <c r="BG266" s="68"/>
      <c r="BH266" s="70"/>
      <c r="BI266" s="67"/>
      <c r="BJ266" s="68"/>
      <c r="BK266" s="70"/>
      <c r="BL266" s="71"/>
      <c r="BM266" s="68"/>
      <c r="BN266" s="69"/>
      <c r="BO266" s="78"/>
      <c r="BP266" s="37">
        <f t="shared" si="21"/>
        <v>0</v>
      </c>
    </row>
    <row r="267" spans="1:68" ht="25.5" customHeight="1" thickTop="1" thickBot="1" x14ac:dyDescent="0.2">
      <c r="A267" s="17">
        <f t="shared" si="22"/>
        <v>252</v>
      </c>
      <c r="B267" s="1044"/>
      <c r="C267" s="1045"/>
      <c r="D267" s="38"/>
      <c r="E267" s="954"/>
      <c r="F267" s="53"/>
      <c r="G267" s="39"/>
      <c r="H267" s="1050"/>
      <c r="I267" s="684" t="str">
        <f t="shared" si="18"/>
        <v/>
      </c>
      <c r="J267" s="754">
        <f t="shared" si="19"/>
        <v>0</v>
      </c>
      <c r="K267" s="1254"/>
      <c r="L267" s="1253"/>
      <c r="M267" s="1253"/>
      <c r="N267" s="773" t="str">
        <f t="shared" si="23"/>
        <v/>
      </c>
      <c r="O267" s="774" t="str">
        <f>IF('Set up ~ Config'!$G$32=6,IF(OR($N267=7,$N267=8,$N267=9),1,IF(OR($N267=10,$N267=11,$N267=12),2,IF(OR($N267=1,$N267=2,$N267=3),3,IF(OR($N267=4,$N267=5,$N267=6),4,"")))),IF(OR($N267=9,$N267=10,$N267=11),1,IF(OR($N267=12,$N267=1,$N267=2),2,IF(OR($N267=3,$N267=4,$N267=5),3,IF(OR($N267=6,$N267=7,$N267=8),4,"")))))</f>
        <v/>
      </c>
      <c r="P267" s="40"/>
      <c r="Q267" s="67"/>
      <c r="R267" s="68"/>
      <c r="S267" s="755">
        <f t="shared" si="20"/>
        <v>0</v>
      </c>
      <c r="T267" s="68"/>
      <c r="U267" s="68"/>
      <c r="V267" s="68"/>
      <c r="W267" s="68"/>
      <c r="X267" s="68"/>
      <c r="Y267" s="68"/>
      <c r="Z267" s="68"/>
      <c r="AA267" s="68"/>
      <c r="AB267" s="69"/>
      <c r="AC267" s="70"/>
      <c r="AD267" s="71"/>
      <c r="AE267" s="68"/>
      <c r="AF267" s="68"/>
      <c r="AG267" s="68"/>
      <c r="AH267" s="68"/>
      <c r="AI267" s="69"/>
      <c r="AJ267" s="69"/>
      <c r="AK267" s="68"/>
      <c r="AL267" s="77"/>
      <c r="AM267" s="71"/>
      <c r="AN267" s="68"/>
      <c r="AO267" s="68"/>
      <c r="AP267" s="68"/>
      <c r="AQ267" s="68"/>
      <c r="AR267" s="68"/>
      <c r="AS267" s="68"/>
      <c r="AT267" s="68"/>
      <c r="AU267" s="70"/>
      <c r="AV267" s="72"/>
      <c r="AW267" s="69"/>
      <c r="AX267" s="69"/>
      <c r="AY267" s="69"/>
      <c r="AZ267" s="69"/>
      <c r="BA267" s="69"/>
      <c r="BB267" s="69"/>
      <c r="BC267" s="69"/>
      <c r="BD267" s="70"/>
      <c r="BE267" s="71"/>
      <c r="BF267" s="68"/>
      <c r="BG267" s="68"/>
      <c r="BH267" s="70"/>
      <c r="BI267" s="67"/>
      <c r="BJ267" s="68"/>
      <c r="BK267" s="70"/>
      <c r="BL267" s="71"/>
      <c r="BM267" s="68"/>
      <c r="BN267" s="69"/>
      <c r="BO267" s="78"/>
      <c r="BP267" s="37">
        <f t="shared" si="21"/>
        <v>0</v>
      </c>
    </row>
    <row r="268" spans="1:68" ht="25.5" customHeight="1" thickTop="1" thickBot="1" x14ac:dyDescent="0.2">
      <c r="A268" s="17">
        <f t="shared" si="22"/>
        <v>253</v>
      </c>
      <c r="B268" s="1044"/>
      <c r="C268" s="1045"/>
      <c r="D268" s="38"/>
      <c r="E268" s="954"/>
      <c r="F268" s="53"/>
      <c r="G268" s="39"/>
      <c r="H268" s="1050"/>
      <c r="I268" s="684" t="str">
        <f t="shared" si="18"/>
        <v/>
      </c>
      <c r="J268" s="754">
        <f t="shared" si="19"/>
        <v>0</v>
      </c>
      <c r="K268" s="1254"/>
      <c r="L268" s="1253"/>
      <c r="M268" s="1253"/>
      <c r="N268" s="773" t="str">
        <f t="shared" si="23"/>
        <v/>
      </c>
      <c r="O268" s="774" t="str">
        <f>IF('Set up ~ Config'!$G$32=6,IF(OR($N268=7,$N268=8,$N268=9),1,IF(OR($N268=10,$N268=11,$N268=12),2,IF(OR($N268=1,$N268=2,$N268=3),3,IF(OR($N268=4,$N268=5,$N268=6),4,"")))),IF(OR($N268=9,$N268=10,$N268=11),1,IF(OR($N268=12,$N268=1,$N268=2),2,IF(OR($N268=3,$N268=4,$N268=5),3,IF(OR($N268=6,$N268=7,$N268=8),4,"")))))</f>
        <v/>
      </c>
      <c r="P268" s="40"/>
      <c r="Q268" s="67"/>
      <c r="R268" s="68"/>
      <c r="S268" s="755">
        <f t="shared" si="20"/>
        <v>0</v>
      </c>
      <c r="T268" s="68"/>
      <c r="U268" s="68"/>
      <c r="V268" s="68"/>
      <c r="W268" s="68"/>
      <c r="X268" s="68"/>
      <c r="Y268" s="68"/>
      <c r="Z268" s="68"/>
      <c r="AA268" s="68"/>
      <c r="AB268" s="69"/>
      <c r="AC268" s="70"/>
      <c r="AD268" s="71"/>
      <c r="AE268" s="68"/>
      <c r="AF268" s="68"/>
      <c r="AG268" s="68"/>
      <c r="AH268" s="68"/>
      <c r="AI268" s="69"/>
      <c r="AJ268" s="69"/>
      <c r="AK268" s="68"/>
      <c r="AL268" s="77"/>
      <c r="AM268" s="71"/>
      <c r="AN268" s="68"/>
      <c r="AO268" s="68"/>
      <c r="AP268" s="68"/>
      <c r="AQ268" s="68"/>
      <c r="AR268" s="68"/>
      <c r="AS268" s="68"/>
      <c r="AT268" s="68"/>
      <c r="AU268" s="70"/>
      <c r="AV268" s="72"/>
      <c r="AW268" s="69"/>
      <c r="AX268" s="69"/>
      <c r="AY268" s="69"/>
      <c r="AZ268" s="69"/>
      <c r="BA268" s="69"/>
      <c r="BB268" s="69"/>
      <c r="BC268" s="69"/>
      <c r="BD268" s="70"/>
      <c r="BE268" s="71"/>
      <c r="BF268" s="68"/>
      <c r="BG268" s="68"/>
      <c r="BH268" s="70"/>
      <c r="BI268" s="67"/>
      <c r="BJ268" s="68"/>
      <c r="BK268" s="70"/>
      <c r="BL268" s="71"/>
      <c r="BM268" s="68"/>
      <c r="BN268" s="69"/>
      <c r="BO268" s="78"/>
      <c r="BP268" s="37">
        <f t="shared" si="21"/>
        <v>0</v>
      </c>
    </row>
    <row r="269" spans="1:68" ht="25.5" customHeight="1" thickTop="1" thickBot="1" x14ac:dyDescent="0.2">
      <c r="A269" s="17">
        <f t="shared" si="22"/>
        <v>254</v>
      </c>
      <c r="B269" s="1044"/>
      <c r="C269" s="1045"/>
      <c r="D269" s="38"/>
      <c r="E269" s="954"/>
      <c r="F269" s="53"/>
      <c r="G269" s="39"/>
      <c r="H269" s="1050"/>
      <c r="I269" s="684" t="str">
        <f t="shared" si="18"/>
        <v/>
      </c>
      <c r="J269" s="754">
        <f t="shared" si="19"/>
        <v>0</v>
      </c>
      <c r="K269" s="1254"/>
      <c r="L269" s="1253"/>
      <c r="M269" s="1253"/>
      <c r="N269" s="773" t="str">
        <f t="shared" si="23"/>
        <v/>
      </c>
      <c r="O269" s="774" t="str">
        <f>IF('Set up ~ Config'!$G$32=6,IF(OR($N269=7,$N269=8,$N269=9),1,IF(OR($N269=10,$N269=11,$N269=12),2,IF(OR($N269=1,$N269=2,$N269=3),3,IF(OR($N269=4,$N269=5,$N269=6),4,"")))),IF(OR($N269=9,$N269=10,$N269=11),1,IF(OR($N269=12,$N269=1,$N269=2),2,IF(OR($N269=3,$N269=4,$N269=5),3,IF(OR($N269=6,$N269=7,$N269=8),4,"")))))</f>
        <v/>
      </c>
      <c r="P269" s="40"/>
      <c r="Q269" s="67"/>
      <c r="R269" s="68"/>
      <c r="S269" s="755">
        <f t="shared" si="20"/>
        <v>0</v>
      </c>
      <c r="T269" s="68"/>
      <c r="U269" s="68"/>
      <c r="V269" s="68"/>
      <c r="W269" s="68"/>
      <c r="X269" s="68"/>
      <c r="Y269" s="68"/>
      <c r="Z269" s="68"/>
      <c r="AA269" s="68"/>
      <c r="AB269" s="69"/>
      <c r="AC269" s="70"/>
      <c r="AD269" s="71"/>
      <c r="AE269" s="68"/>
      <c r="AF269" s="68"/>
      <c r="AG269" s="68"/>
      <c r="AH269" s="68"/>
      <c r="AI269" s="69"/>
      <c r="AJ269" s="69"/>
      <c r="AK269" s="68"/>
      <c r="AL269" s="77"/>
      <c r="AM269" s="71"/>
      <c r="AN269" s="68"/>
      <c r="AO269" s="68"/>
      <c r="AP269" s="68"/>
      <c r="AQ269" s="68"/>
      <c r="AR269" s="68"/>
      <c r="AS269" s="68"/>
      <c r="AT269" s="68"/>
      <c r="AU269" s="70"/>
      <c r="AV269" s="72"/>
      <c r="AW269" s="69"/>
      <c r="AX269" s="69"/>
      <c r="AY269" s="69"/>
      <c r="AZ269" s="69"/>
      <c r="BA269" s="69"/>
      <c r="BB269" s="69"/>
      <c r="BC269" s="69"/>
      <c r="BD269" s="70"/>
      <c r="BE269" s="71"/>
      <c r="BF269" s="68"/>
      <c r="BG269" s="68"/>
      <c r="BH269" s="70"/>
      <c r="BI269" s="67"/>
      <c r="BJ269" s="68"/>
      <c r="BK269" s="70"/>
      <c r="BL269" s="71"/>
      <c r="BM269" s="68"/>
      <c r="BN269" s="69"/>
      <c r="BO269" s="78"/>
      <c r="BP269" s="37">
        <f t="shared" si="21"/>
        <v>0</v>
      </c>
    </row>
    <row r="270" spans="1:68" ht="25.5" customHeight="1" thickTop="1" thickBot="1" x14ac:dyDescent="0.2">
      <c r="A270" s="17">
        <f t="shared" si="22"/>
        <v>255</v>
      </c>
      <c r="B270" s="1044"/>
      <c r="C270" s="1045"/>
      <c r="D270" s="38"/>
      <c r="E270" s="954"/>
      <c r="F270" s="53"/>
      <c r="G270" s="39"/>
      <c r="H270" s="1050"/>
      <c r="I270" s="684" t="str">
        <f t="shared" si="18"/>
        <v/>
      </c>
      <c r="J270" s="754">
        <f t="shared" si="19"/>
        <v>0</v>
      </c>
      <c r="K270" s="1254"/>
      <c r="L270" s="1253"/>
      <c r="M270" s="1253"/>
      <c r="N270" s="773" t="str">
        <f t="shared" si="23"/>
        <v/>
      </c>
      <c r="O270" s="774" t="str">
        <f>IF('Set up ~ Config'!$G$32=6,IF(OR($N270=7,$N270=8,$N270=9),1,IF(OR($N270=10,$N270=11,$N270=12),2,IF(OR($N270=1,$N270=2,$N270=3),3,IF(OR($N270=4,$N270=5,$N270=6),4,"")))),IF(OR($N270=9,$N270=10,$N270=11),1,IF(OR($N270=12,$N270=1,$N270=2),2,IF(OR($N270=3,$N270=4,$N270=5),3,IF(OR($N270=6,$N270=7,$N270=8),4,"")))))</f>
        <v/>
      </c>
      <c r="P270" s="40"/>
      <c r="Q270" s="67"/>
      <c r="R270" s="68"/>
      <c r="S270" s="755">
        <f t="shared" si="20"/>
        <v>0</v>
      </c>
      <c r="T270" s="68"/>
      <c r="U270" s="68"/>
      <c r="V270" s="68"/>
      <c r="W270" s="68"/>
      <c r="X270" s="68"/>
      <c r="Y270" s="68"/>
      <c r="Z270" s="68"/>
      <c r="AA270" s="68"/>
      <c r="AB270" s="69"/>
      <c r="AC270" s="70"/>
      <c r="AD270" s="71"/>
      <c r="AE270" s="68"/>
      <c r="AF270" s="68"/>
      <c r="AG270" s="68"/>
      <c r="AH270" s="68"/>
      <c r="AI270" s="69"/>
      <c r="AJ270" s="69"/>
      <c r="AK270" s="68"/>
      <c r="AL270" s="77"/>
      <c r="AM270" s="71"/>
      <c r="AN270" s="68"/>
      <c r="AO270" s="68"/>
      <c r="AP270" s="68"/>
      <c r="AQ270" s="68"/>
      <c r="AR270" s="68"/>
      <c r="AS270" s="68"/>
      <c r="AT270" s="68"/>
      <c r="AU270" s="70"/>
      <c r="AV270" s="72"/>
      <c r="AW270" s="69"/>
      <c r="AX270" s="69"/>
      <c r="AY270" s="69"/>
      <c r="AZ270" s="69"/>
      <c r="BA270" s="69"/>
      <c r="BB270" s="69"/>
      <c r="BC270" s="69"/>
      <c r="BD270" s="70"/>
      <c r="BE270" s="71"/>
      <c r="BF270" s="68"/>
      <c r="BG270" s="68"/>
      <c r="BH270" s="70"/>
      <c r="BI270" s="67"/>
      <c r="BJ270" s="68"/>
      <c r="BK270" s="70"/>
      <c r="BL270" s="71"/>
      <c r="BM270" s="68"/>
      <c r="BN270" s="69"/>
      <c r="BO270" s="78"/>
      <c r="BP270" s="37">
        <f t="shared" si="21"/>
        <v>0</v>
      </c>
    </row>
    <row r="271" spans="1:68" ht="25.5" customHeight="1" thickTop="1" thickBot="1" x14ac:dyDescent="0.2">
      <c r="A271" s="17">
        <f t="shared" si="22"/>
        <v>256</v>
      </c>
      <c r="B271" s="1044"/>
      <c r="C271" s="1045"/>
      <c r="D271" s="38"/>
      <c r="E271" s="954"/>
      <c r="F271" s="53"/>
      <c r="G271" s="39"/>
      <c r="H271" s="1050"/>
      <c r="I271" s="684" t="str">
        <f t="shared" si="18"/>
        <v/>
      </c>
      <c r="J271" s="754">
        <f t="shared" si="19"/>
        <v>0</v>
      </c>
      <c r="K271" s="1254"/>
      <c r="L271" s="1253"/>
      <c r="M271" s="1253"/>
      <c r="N271" s="773" t="str">
        <f t="shared" si="23"/>
        <v/>
      </c>
      <c r="O271" s="774" t="str">
        <f>IF('Set up ~ Config'!$G$32=6,IF(OR($N271=7,$N271=8,$N271=9),1,IF(OR($N271=10,$N271=11,$N271=12),2,IF(OR($N271=1,$N271=2,$N271=3),3,IF(OR($N271=4,$N271=5,$N271=6),4,"")))),IF(OR($N271=9,$N271=10,$N271=11),1,IF(OR($N271=12,$N271=1,$N271=2),2,IF(OR($N271=3,$N271=4,$N271=5),3,IF(OR($N271=6,$N271=7,$N271=8),4,"")))))</f>
        <v/>
      </c>
      <c r="P271" s="40"/>
      <c r="Q271" s="67"/>
      <c r="R271" s="68"/>
      <c r="S271" s="755">
        <f t="shared" si="20"/>
        <v>0</v>
      </c>
      <c r="T271" s="68"/>
      <c r="U271" s="68"/>
      <c r="V271" s="68"/>
      <c r="W271" s="68"/>
      <c r="X271" s="68"/>
      <c r="Y271" s="68"/>
      <c r="Z271" s="68"/>
      <c r="AA271" s="68"/>
      <c r="AB271" s="69"/>
      <c r="AC271" s="70"/>
      <c r="AD271" s="71"/>
      <c r="AE271" s="68"/>
      <c r="AF271" s="68"/>
      <c r="AG271" s="68"/>
      <c r="AH271" s="68"/>
      <c r="AI271" s="69"/>
      <c r="AJ271" s="69"/>
      <c r="AK271" s="68"/>
      <c r="AL271" s="77"/>
      <c r="AM271" s="71"/>
      <c r="AN271" s="68"/>
      <c r="AO271" s="68"/>
      <c r="AP271" s="68"/>
      <c r="AQ271" s="68"/>
      <c r="AR271" s="68"/>
      <c r="AS271" s="68"/>
      <c r="AT271" s="68"/>
      <c r="AU271" s="70"/>
      <c r="AV271" s="72"/>
      <c r="AW271" s="69"/>
      <c r="AX271" s="69"/>
      <c r="AY271" s="69"/>
      <c r="AZ271" s="69"/>
      <c r="BA271" s="69"/>
      <c r="BB271" s="69"/>
      <c r="BC271" s="69"/>
      <c r="BD271" s="70"/>
      <c r="BE271" s="71"/>
      <c r="BF271" s="68"/>
      <c r="BG271" s="68"/>
      <c r="BH271" s="70"/>
      <c r="BI271" s="67"/>
      <c r="BJ271" s="68"/>
      <c r="BK271" s="70"/>
      <c r="BL271" s="71"/>
      <c r="BM271" s="68"/>
      <c r="BN271" s="69"/>
      <c r="BO271" s="78"/>
      <c r="BP271" s="37">
        <f t="shared" si="21"/>
        <v>0</v>
      </c>
    </row>
    <row r="272" spans="1:68" ht="25.5" customHeight="1" thickTop="1" thickBot="1" x14ac:dyDescent="0.2">
      <c r="A272" s="17">
        <f t="shared" si="22"/>
        <v>257</v>
      </c>
      <c r="B272" s="1044"/>
      <c r="C272" s="1045"/>
      <c r="D272" s="38"/>
      <c r="E272" s="954"/>
      <c r="F272" s="53"/>
      <c r="G272" s="39"/>
      <c r="H272" s="1050"/>
      <c r="I272" s="684" t="str">
        <f t="shared" ref="I272:I335" si="24">LEFT(H272,4)</f>
        <v/>
      </c>
      <c r="J272" s="754">
        <f t="shared" ref="J272:J335" si="25">G272-BP272</f>
        <v>0</v>
      </c>
      <c r="K272" s="1254"/>
      <c r="L272" s="1253"/>
      <c r="M272" s="1253"/>
      <c r="N272" s="773" t="str">
        <f t="shared" si="23"/>
        <v/>
      </c>
      <c r="O272" s="774" t="str">
        <f>IF('Set up ~ Config'!$G$32=6,IF(OR($N272=7,$N272=8,$N272=9),1,IF(OR($N272=10,$N272=11,$N272=12),2,IF(OR($N272=1,$N272=2,$N272=3),3,IF(OR($N272=4,$N272=5,$N272=6),4,"")))),IF(OR($N272=9,$N272=10,$N272=11),1,IF(OR($N272=12,$N272=1,$N272=2),2,IF(OR($N272=3,$N272=4,$N272=5),3,IF(OR($N272=6,$N272=7,$N272=8),4,"")))))</f>
        <v/>
      </c>
      <c r="P272" s="40"/>
      <c r="Q272" s="67"/>
      <c r="R272" s="68"/>
      <c r="S272" s="755">
        <f t="shared" ref="S272:S335" si="26">SUM(T272:W272)</f>
        <v>0</v>
      </c>
      <c r="T272" s="68"/>
      <c r="U272" s="68"/>
      <c r="V272" s="68"/>
      <c r="W272" s="68"/>
      <c r="X272" s="68"/>
      <c r="Y272" s="68"/>
      <c r="Z272" s="68"/>
      <c r="AA272" s="68"/>
      <c r="AB272" s="69"/>
      <c r="AC272" s="70"/>
      <c r="AD272" s="71"/>
      <c r="AE272" s="68"/>
      <c r="AF272" s="68"/>
      <c r="AG272" s="68"/>
      <c r="AH272" s="68"/>
      <c r="AI272" s="69"/>
      <c r="AJ272" s="69"/>
      <c r="AK272" s="68"/>
      <c r="AL272" s="77"/>
      <c r="AM272" s="71"/>
      <c r="AN272" s="68"/>
      <c r="AO272" s="68"/>
      <c r="AP272" s="68"/>
      <c r="AQ272" s="68"/>
      <c r="AR272" s="68"/>
      <c r="AS272" s="68"/>
      <c r="AT272" s="68"/>
      <c r="AU272" s="70"/>
      <c r="AV272" s="72"/>
      <c r="AW272" s="69"/>
      <c r="AX272" s="69"/>
      <c r="AY272" s="69"/>
      <c r="AZ272" s="69"/>
      <c r="BA272" s="69"/>
      <c r="BB272" s="69"/>
      <c r="BC272" s="69"/>
      <c r="BD272" s="70"/>
      <c r="BE272" s="71"/>
      <c r="BF272" s="68"/>
      <c r="BG272" s="68"/>
      <c r="BH272" s="70"/>
      <c r="BI272" s="67"/>
      <c r="BJ272" s="68"/>
      <c r="BK272" s="70"/>
      <c r="BL272" s="71"/>
      <c r="BM272" s="68"/>
      <c r="BN272" s="69"/>
      <c r="BO272" s="78"/>
      <c r="BP272" s="37">
        <f t="shared" ref="BP272:BP335" si="27">SUM(Q272:R272,T272:BO272)</f>
        <v>0</v>
      </c>
    </row>
    <row r="273" spans="1:68" ht="25.5" customHeight="1" thickTop="1" thickBot="1" x14ac:dyDescent="0.2">
      <c r="A273" s="17">
        <f t="shared" ref="A273:A336" si="28">$A272+1</f>
        <v>258</v>
      </c>
      <c r="B273" s="1044"/>
      <c r="C273" s="1045"/>
      <c r="D273" s="38"/>
      <c r="E273" s="954"/>
      <c r="F273" s="53"/>
      <c r="G273" s="39"/>
      <c r="H273" s="1050"/>
      <c r="I273" s="684" t="str">
        <f t="shared" si="24"/>
        <v/>
      </c>
      <c r="J273" s="754">
        <f t="shared" si="25"/>
        <v>0</v>
      </c>
      <c r="K273" s="1254"/>
      <c r="L273" s="1253"/>
      <c r="M273" s="1253"/>
      <c r="N273" s="773" t="str">
        <f t="shared" ref="N273:N336" si="29">IF($E273="","",MONTH($E273))</f>
        <v/>
      </c>
      <c r="O273" s="774" t="str">
        <f>IF('Set up ~ Config'!$G$32=6,IF(OR($N273=7,$N273=8,$N273=9),1,IF(OR($N273=10,$N273=11,$N273=12),2,IF(OR($N273=1,$N273=2,$N273=3),3,IF(OR($N273=4,$N273=5,$N273=6),4,"")))),IF(OR($N273=9,$N273=10,$N273=11),1,IF(OR($N273=12,$N273=1,$N273=2),2,IF(OR($N273=3,$N273=4,$N273=5),3,IF(OR($N273=6,$N273=7,$N273=8),4,"")))))</f>
        <v/>
      </c>
      <c r="P273" s="40"/>
      <c r="Q273" s="67"/>
      <c r="R273" s="68"/>
      <c r="S273" s="755">
        <f t="shared" si="26"/>
        <v>0</v>
      </c>
      <c r="T273" s="68"/>
      <c r="U273" s="68"/>
      <c r="V273" s="68"/>
      <c r="W273" s="68"/>
      <c r="X273" s="68"/>
      <c r="Y273" s="68"/>
      <c r="Z273" s="68"/>
      <c r="AA273" s="68"/>
      <c r="AB273" s="69"/>
      <c r="AC273" s="70"/>
      <c r="AD273" s="71"/>
      <c r="AE273" s="68"/>
      <c r="AF273" s="68"/>
      <c r="AG273" s="68"/>
      <c r="AH273" s="68"/>
      <c r="AI273" s="69"/>
      <c r="AJ273" s="69"/>
      <c r="AK273" s="68"/>
      <c r="AL273" s="77"/>
      <c r="AM273" s="71"/>
      <c r="AN273" s="68"/>
      <c r="AO273" s="68"/>
      <c r="AP273" s="68"/>
      <c r="AQ273" s="68"/>
      <c r="AR273" s="68"/>
      <c r="AS273" s="68"/>
      <c r="AT273" s="68"/>
      <c r="AU273" s="70"/>
      <c r="AV273" s="72"/>
      <c r="AW273" s="69"/>
      <c r="AX273" s="69"/>
      <c r="AY273" s="69"/>
      <c r="AZ273" s="69"/>
      <c r="BA273" s="69"/>
      <c r="BB273" s="69"/>
      <c r="BC273" s="69"/>
      <c r="BD273" s="70"/>
      <c r="BE273" s="71"/>
      <c r="BF273" s="68"/>
      <c r="BG273" s="68"/>
      <c r="BH273" s="70"/>
      <c r="BI273" s="67"/>
      <c r="BJ273" s="68"/>
      <c r="BK273" s="70"/>
      <c r="BL273" s="71"/>
      <c r="BM273" s="68"/>
      <c r="BN273" s="69"/>
      <c r="BO273" s="78"/>
      <c r="BP273" s="37">
        <f t="shared" si="27"/>
        <v>0</v>
      </c>
    </row>
    <row r="274" spans="1:68" ht="25.5" customHeight="1" thickTop="1" thickBot="1" x14ac:dyDescent="0.2">
      <c r="A274" s="17">
        <f t="shared" si="28"/>
        <v>259</v>
      </c>
      <c r="B274" s="1044"/>
      <c r="C274" s="1045"/>
      <c r="D274" s="38"/>
      <c r="E274" s="954"/>
      <c r="F274" s="53"/>
      <c r="G274" s="39"/>
      <c r="H274" s="1050"/>
      <c r="I274" s="684" t="str">
        <f t="shared" si="24"/>
        <v/>
      </c>
      <c r="J274" s="754">
        <f t="shared" si="25"/>
        <v>0</v>
      </c>
      <c r="K274" s="1254"/>
      <c r="L274" s="1253"/>
      <c r="M274" s="1253"/>
      <c r="N274" s="773" t="str">
        <f t="shared" si="29"/>
        <v/>
      </c>
      <c r="O274" s="774" t="str">
        <f>IF('Set up ~ Config'!$G$32=6,IF(OR($N274=7,$N274=8,$N274=9),1,IF(OR($N274=10,$N274=11,$N274=12),2,IF(OR($N274=1,$N274=2,$N274=3),3,IF(OR($N274=4,$N274=5,$N274=6),4,"")))),IF(OR($N274=9,$N274=10,$N274=11),1,IF(OR($N274=12,$N274=1,$N274=2),2,IF(OR($N274=3,$N274=4,$N274=5),3,IF(OR($N274=6,$N274=7,$N274=8),4,"")))))</f>
        <v/>
      </c>
      <c r="P274" s="40"/>
      <c r="Q274" s="67"/>
      <c r="R274" s="68"/>
      <c r="S274" s="755">
        <f t="shared" si="26"/>
        <v>0</v>
      </c>
      <c r="T274" s="68"/>
      <c r="U274" s="68"/>
      <c r="V274" s="68"/>
      <c r="W274" s="68"/>
      <c r="X274" s="68"/>
      <c r="Y274" s="68"/>
      <c r="Z274" s="68"/>
      <c r="AA274" s="68"/>
      <c r="AB274" s="69"/>
      <c r="AC274" s="70"/>
      <c r="AD274" s="71"/>
      <c r="AE274" s="68"/>
      <c r="AF274" s="68"/>
      <c r="AG274" s="68"/>
      <c r="AH274" s="68"/>
      <c r="AI274" s="69"/>
      <c r="AJ274" s="69"/>
      <c r="AK274" s="68"/>
      <c r="AL274" s="77"/>
      <c r="AM274" s="71"/>
      <c r="AN274" s="68"/>
      <c r="AO274" s="68"/>
      <c r="AP274" s="68"/>
      <c r="AQ274" s="68"/>
      <c r="AR274" s="68"/>
      <c r="AS274" s="68"/>
      <c r="AT274" s="68"/>
      <c r="AU274" s="70"/>
      <c r="AV274" s="72"/>
      <c r="AW274" s="69"/>
      <c r="AX274" s="69"/>
      <c r="AY274" s="69"/>
      <c r="AZ274" s="69"/>
      <c r="BA274" s="69"/>
      <c r="BB274" s="69"/>
      <c r="BC274" s="69"/>
      <c r="BD274" s="70"/>
      <c r="BE274" s="71"/>
      <c r="BF274" s="68"/>
      <c r="BG274" s="68"/>
      <c r="BH274" s="70"/>
      <c r="BI274" s="67"/>
      <c r="BJ274" s="68"/>
      <c r="BK274" s="70"/>
      <c r="BL274" s="71"/>
      <c r="BM274" s="68"/>
      <c r="BN274" s="69"/>
      <c r="BO274" s="78"/>
      <c r="BP274" s="37">
        <f t="shared" si="27"/>
        <v>0</v>
      </c>
    </row>
    <row r="275" spans="1:68" ht="25.5" customHeight="1" thickTop="1" thickBot="1" x14ac:dyDescent="0.2">
      <c r="A275" s="17">
        <f t="shared" si="28"/>
        <v>260</v>
      </c>
      <c r="B275" s="1044"/>
      <c r="C275" s="1045"/>
      <c r="D275" s="38"/>
      <c r="E275" s="954"/>
      <c r="F275" s="53"/>
      <c r="G275" s="39"/>
      <c r="H275" s="1050"/>
      <c r="I275" s="684" t="str">
        <f t="shared" si="24"/>
        <v/>
      </c>
      <c r="J275" s="754">
        <f t="shared" si="25"/>
        <v>0</v>
      </c>
      <c r="K275" s="1254"/>
      <c r="L275" s="1253"/>
      <c r="M275" s="1253"/>
      <c r="N275" s="773" t="str">
        <f t="shared" si="29"/>
        <v/>
      </c>
      <c r="O275" s="774" t="str">
        <f>IF('Set up ~ Config'!$G$32=6,IF(OR($N275=7,$N275=8,$N275=9),1,IF(OR($N275=10,$N275=11,$N275=12),2,IF(OR($N275=1,$N275=2,$N275=3),3,IF(OR($N275=4,$N275=5,$N275=6),4,"")))),IF(OR($N275=9,$N275=10,$N275=11),1,IF(OR($N275=12,$N275=1,$N275=2),2,IF(OR($N275=3,$N275=4,$N275=5),3,IF(OR($N275=6,$N275=7,$N275=8),4,"")))))</f>
        <v/>
      </c>
      <c r="P275" s="40"/>
      <c r="Q275" s="67"/>
      <c r="R275" s="68"/>
      <c r="S275" s="755">
        <f t="shared" si="26"/>
        <v>0</v>
      </c>
      <c r="T275" s="68"/>
      <c r="U275" s="68"/>
      <c r="V275" s="68"/>
      <c r="W275" s="68"/>
      <c r="X275" s="68"/>
      <c r="Y275" s="68"/>
      <c r="Z275" s="68"/>
      <c r="AA275" s="68"/>
      <c r="AB275" s="69"/>
      <c r="AC275" s="70"/>
      <c r="AD275" s="71"/>
      <c r="AE275" s="68"/>
      <c r="AF275" s="68"/>
      <c r="AG275" s="68"/>
      <c r="AH275" s="68"/>
      <c r="AI275" s="69"/>
      <c r="AJ275" s="69"/>
      <c r="AK275" s="68"/>
      <c r="AL275" s="77"/>
      <c r="AM275" s="71"/>
      <c r="AN275" s="68"/>
      <c r="AO275" s="68"/>
      <c r="AP275" s="68"/>
      <c r="AQ275" s="68"/>
      <c r="AR275" s="68"/>
      <c r="AS275" s="68"/>
      <c r="AT275" s="68"/>
      <c r="AU275" s="70"/>
      <c r="AV275" s="72"/>
      <c r="AW275" s="69"/>
      <c r="AX275" s="69"/>
      <c r="AY275" s="69"/>
      <c r="AZ275" s="69"/>
      <c r="BA275" s="69"/>
      <c r="BB275" s="69"/>
      <c r="BC275" s="69"/>
      <c r="BD275" s="70"/>
      <c r="BE275" s="71"/>
      <c r="BF275" s="68"/>
      <c r="BG275" s="68"/>
      <c r="BH275" s="70"/>
      <c r="BI275" s="67"/>
      <c r="BJ275" s="68"/>
      <c r="BK275" s="70"/>
      <c r="BL275" s="71"/>
      <c r="BM275" s="68"/>
      <c r="BN275" s="69"/>
      <c r="BO275" s="78"/>
      <c r="BP275" s="37">
        <f t="shared" si="27"/>
        <v>0</v>
      </c>
    </row>
    <row r="276" spans="1:68" ht="25.5" customHeight="1" thickTop="1" thickBot="1" x14ac:dyDescent="0.2">
      <c r="A276" s="17">
        <f t="shared" si="28"/>
        <v>261</v>
      </c>
      <c r="B276" s="1044"/>
      <c r="C276" s="1045"/>
      <c r="D276" s="38"/>
      <c r="E276" s="954"/>
      <c r="F276" s="53"/>
      <c r="G276" s="39"/>
      <c r="H276" s="1050"/>
      <c r="I276" s="684" t="str">
        <f t="shared" si="24"/>
        <v/>
      </c>
      <c r="J276" s="754">
        <f t="shared" si="25"/>
        <v>0</v>
      </c>
      <c r="K276" s="1254"/>
      <c r="L276" s="1253"/>
      <c r="M276" s="1253"/>
      <c r="N276" s="773" t="str">
        <f t="shared" si="29"/>
        <v/>
      </c>
      <c r="O276" s="774" t="str">
        <f>IF('Set up ~ Config'!$G$32=6,IF(OR($N276=7,$N276=8,$N276=9),1,IF(OR($N276=10,$N276=11,$N276=12),2,IF(OR($N276=1,$N276=2,$N276=3),3,IF(OR($N276=4,$N276=5,$N276=6),4,"")))),IF(OR($N276=9,$N276=10,$N276=11),1,IF(OR($N276=12,$N276=1,$N276=2),2,IF(OR($N276=3,$N276=4,$N276=5),3,IF(OR($N276=6,$N276=7,$N276=8),4,"")))))</f>
        <v/>
      </c>
      <c r="P276" s="40"/>
      <c r="Q276" s="67"/>
      <c r="R276" s="68"/>
      <c r="S276" s="755">
        <f t="shared" si="26"/>
        <v>0</v>
      </c>
      <c r="T276" s="68"/>
      <c r="U276" s="68"/>
      <c r="V276" s="68"/>
      <c r="W276" s="68"/>
      <c r="X276" s="68"/>
      <c r="Y276" s="68"/>
      <c r="Z276" s="68"/>
      <c r="AA276" s="68"/>
      <c r="AB276" s="69"/>
      <c r="AC276" s="70"/>
      <c r="AD276" s="71"/>
      <c r="AE276" s="68"/>
      <c r="AF276" s="68"/>
      <c r="AG276" s="68"/>
      <c r="AH276" s="68"/>
      <c r="AI276" s="69"/>
      <c r="AJ276" s="69"/>
      <c r="AK276" s="68"/>
      <c r="AL276" s="77"/>
      <c r="AM276" s="71"/>
      <c r="AN276" s="68"/>
      <c r="AO276" s="68"/>
      <c r="AP276" s="68"/>
      <c r="AQ276" s="68"/>
      <c r="AR276" s="68"/>
      <c r="AS276" s="68"/>
      <c r="AT276" s="68"/>
      <c r="AU276" s="70"/>
      <c r="AV276" s="72"/>
      <c r="AW276" s="69"/>
      <c r="AX276" s="69"/>
      <c r="AY276" s="69"/>
      <c r="AZ276" s="69"/>
      <c r="BA276" s="69"/>
      <c r="BB276" s="69"/>
      <c r="BC276" s="69"/>
      <c r="BD276" s="70"/>
      <c r="BE276" s="71"/>
      <c r="BF276" s="68"/>
      <c r="BG276" s="68"/>
      <c r="BH276" s="70"/>
      <c r="BI276" s="67"/>
      <c r="BJ276" s="68"/>
      <c r="BK276" s="70"/>
      <c r="BL276" s="71"/>
      <c r="BM276" s="68"/>
      <c r="BN276" s="69"/>
      <c r="BO276" s="78"/>
      <c r="BP276" s="37">
        <f t="shared" si="27"/>
        <v>0</v>
      </c>
    </row>
    <row r="277" spans="1:68" ht="25.5" customHeight="1" thickTop="1" thickBot="1" x14ac:dyDescent="0.2">
      <c r="A277" s="17">
        <f t="shared" si="28"/>
        <v>262</v>
      </c>
      <c r="B277" s="1044"/>
      <c r="C277" s="1045"/>
      <c r="D277" s="38"/>
      <c r="E277" s="954"/>
      <c r="F277" s="53"/>
      <c r="G277" s="39"/>
      <c r="H277" s="1050"/>
      <c r="I277" s="684" t="str">
        <f t="shared" si="24"/>
        <v/>
      </c>
      <c r="J277" s="754">
        <f t="shared" si="25"/>
        <v>0</v>
      </c>
      <c r="K277" s="1254"/>
      <c r="L277" s="1253"/>
      <c r="M277" s="1253"/>
      <c r="N277" s="773" t="str">
        <f t="shared" si="29"/>
        <v/>
      </c>
      <c r="O277" s="774" t="str">
        <f>IF('Set up ~ Config'!$G$32=6,IF(OR($N277=7,$N277=8,$N277=9),1,IF(OR($N277=10,$N277=11,$N277=12),2,IF(OR($N277=1,$N277=2,$N277=3),3,IF(OR($N277=4,$N277=5,$N277=6),4,"")))),IF(OR($N277=9,$N277=10,$N277=11),1,IF(OR($N277=12,$N277=1,$N277=2),2,IF(OR($N277=3,$N277=4,$N277=5),3,IF(OR($N277=6,$N277=7,$N277=8),4,"")))))</f>
        <v/>
      </c>
      <c r="P277" s="40"/>
      <c r="Q277" s="67"/>
      <c r="R277" s="68"/>
      <c r="S277" s="755">
        <f t="shared" si="26"/>
        <v>0</v>
      </c>
      <c r="T277" s="68"/>
      <c r="U277" s="68"/>
      <c r="V277" s="68"/>
      <c r="W277" s="68"/>
      <c r="X277" s="68"/>
      <c r="Y277" s="68"/>
      <c r="Z277" s="68"/>
      <c r="AA277" s="68"/>
      <c r="AB277" s="69"/>
      <c r="AC277" s="70"/>
      <c r="AD277" s="71"/>
      <c r="AE277" s="68"/>
      <c r="AF277" s="68"/>
      <c r="AG277" s="68"/>
      <c r="AH277" s="68"/>
      <c r="AI277" s="69"/>
      <c r="AJ277" s="69"/>
      <c r="AK277" s="68"/>
      <c r="AL277" s="77"/>
      <c r="AM277" s="71"/>
      <c r="AN277" s="68"/>
      <c r="AO277" s="68"/>
      <c r="AP277" s="68"/>
      <c r="AQ277" s="68"/>
      <c r="AR277" s="68"/>
      <c r="AS277" s="68"/>
      <c r="AT277" s="68"/>
      <c r="AU277" s="70"/>
      <c r="AV277" s="72"/>
      <c r="AW277" s="69"/>
      <c r="AX277" s="69"/>
      <c r="AY277" s="69"/>
      <c r="AZ277" s="69"/>
      <c r="BA277" s="69"/>
      <c r="BB277" s="69"/>
      <c r="BC277" s="69"/>
      <c r="BD277" s="70"/>
      <c r="BE277" s="71"/>
      <c r="BF277" s="68"/>
      <c r="BG277" s="68"/>
      <c r="BH277" s="70"/>
      <c r="BI277" s="67"/>
      <c r="BJ277" s="68"/>
      <c r="BK277" s="70"/>
      <c r="BL277" s="71"/>
      <c r="BM277" s="68"/>
      <c r="BN277" s="69"/>
      <c r="BO277" s="78"/>
      <c r="BP277" s="37">
        <f t="shared" si="27"/>
        <v>0</v>
      </c>
    </row>
    <row r="278" spans="1:68" ht="25.5" customHeight="1" thickTop="1" thickBot="1" x14ac:dyDescent="0.2">
      <c r="A278" s="17">
        <f t="shared" si="28"/>
        <v>263</v>
      </c>
      <c r="B278" s="1044"/>
      <c r="C278" s="1045"/>
      <c r="D278" s="38"/>
      <c r="E278" s="954"/>
      <c r="F278" s="53"/>
      <c r="G278" s="39"/>
      <c r="H278" s="1050"/>
      <c r="I278" s="684" t="str">
        <f t="shared" si="24"/>
        <v/>
      </c>
      <c r="J278" s="754">
        <f t="shared" si="25"/>
        <v>0</v>
      </c>
      <c r="K278" s="1254"/>
      <c r="L278" s="1253"/>
      <c r="M278" s="1253"/>
      <c r="N278" s="773" t="str">
        <f t="shared" si="29"/>
        <v/>
      </c>
      <c r="O278" s="774" t="str">
        <f>IF('Set up ~ Config'!$G$32=6,IF(OR($N278=7,$N278=8,$N278=9),1,IF(OR($N278=10,$N278=11,$N278=12),2,IF(OR($N278=1,$N278=2,$N278=3),3,IF(OR($N278=4,$N278=5,$N278=6),4,"")))),IF(OR($N278=9,$N278=10,$N278=11),1,IF(OR($N278=12,$N278=1,$N278=2),2,IF(OR($N278=3,$N278=4,$N278=5),3,IF(OR($N278=6,$N278=7,$N278=8),4,"")))))</f>
        <v/>
      </c>
      <c r="P278" s="40"/>
      <c r="Q278" s="67"/>
      <c r="R278" s="68"/>
      <c r="S278" s="755">
        <f t="shared" si="26"/>
        <v>0</v>
      </c>
      <c r="T278" s="68"/>
      <c r="U278" s="68"/>
      <c r="V278" s="68"/>
      <c r="W278" s="68"/>
      <c r="X278" s="68"/>
      <c r="Y278" s="68"/>
      <c r="Z278" s="68"/>
      <c r="AA278" s="68"/>
      <c r="AB278" s="69"/>
      <c r="AC278" s="70"/>
      <c r="AD278" s="71"/>
      <c r="AE278" s="68"/>
      <c r="AF278" s="68"/>
      <c r="AG278" s="68"/>
      <c r="AH278" s="68"/>
      <c r="AI278" s="69"/>
      <c r="AJ278" s="69"/>
      <c r="AK278" s="68"/>
      <c r="AL278" s="77"/>
      <c r="AM278" s="71"/>
      <c r="AN278" s="68"/>
      <c r="AO278" s="68"/>
      <c r="AP278" s="68"/>
      <c r="AQ278" s="68"/>
      <c r="AR278" s="68"/>
      <c r="AS278" s="68"/>
      <c r="AT278" s="68"/>
      <c r="AU278" s="70"/>
      <c r="AV278" s="72"/>
      <c r="AW278" s="69"/>
      <c r="AX278" s="69"/>
      <c r="AY278" s="69"/>
      <c r="AZ278" s="69"/>
      <c r="BA278" s="69"/>
      <c r="BB278" s="69"/>
      <c r="BC278" s="69"/>
      <c r="BD278" s="70"/>
      <c r="BE278" s="71"/>
      <c r="BF278" s="68"/>
      <c r="BG278" s="68"/>
      <c r="BH278" s="70"/>
      <c r="BI278" s="67"/>
      <c r="BJ278" s="68"/>
      <c r="BK278" s="70"/>
      <c r="BL278" s="71"/>
      <c r="BM278" s="68"/>
      <c r="BN278" s="69"/>
      <c r="BO278" s="78"/>
      <c r="BP278" s="37">
        <f t="shared" si="27"/>
        <v>0</v>
      </c>
    </row>
    <row r="279" spans="1:68" ht="25.5" customHeight="1" thickTop="1" thickBot="1" x14ac:dyDescent="0.2">
      <c r="A279" s="17">
        <f t="shared" si="28"/>
        <v>264</v>
      </c>
      <c r="B279" s="1044"/>
      <c r="C279" s="1045"/>
      <c r="D279" s="38"/>
      <c r="E279" s="954"/>
      <c r="F279" s="53"/>
      <c r="G279" s="39"/>
      <c r="H279" s="1050"/>
      <c r="I279" s="684" t="str">
        <f t="shared" si="24"/>
        <v/>
      </c>
      <c r="J279" s="754">
        <f t="shared" si="25"/>
        <v>0</v>
      </c>
      <c r="K279" s="1254"/>
      <c r="L279" s="1253"/>
      <c r="M279" s="1253"/>
      <c r="N279" s="773" t="str">
        <f t="shared" si="29"/>
        <v/>
      </c>
      <c r="O279" s="774" t="str">
        <f>IF('Set up ~ Config'!$G$32=6,IF(OR($N279=7,$N279=8,$N279=9),1,IF(OR($N279=10,$N279=11,$N279=12),2,IF(OR($N279=1,$N279=2,$N279=3),3,IF(OR($N279=4,$N279=5,$N279=6),4,"")))),IF(OR($N279=9,$N279=10,$N279=11),1,IF(OR($N279=12,$N279=1,$N279=2),2,IF(OR($N279=3,$N279=4,$N279=5),3,IF(OR($N279=6,$N279=7,$N279=8),4,"")))))</f>
        <v/>
      </c>
      <c r="P279" s="40"/>
      <c r="Q279" s="67"/>
      <c r="R279" s="68"/>
      <c r="S279" s="755">
        <f t="shared" si="26"/>
        <v>0</v>
      </c>
      <c r="T279" s="68"/>
      <c r="U279" s="68"/>
      <c r="V279" s="68"/>
      <c r="W279" s="68"/>
      <c r="X279" s="68"/>
      <c r="Y279" s="68"/>
      <c r="Z279" s="68"/>
      <c r="AA279" s="68"/>
      <c r="AB279" s="69"/>
      <c r="AC279" s="70"/>
      <c r="AD279" s="71"/>
      <c r="AE279" s="68"/>
      <c r="AF279" s="68"/>
      <c r="AG279" s="68"/>
      <c r="AH279" s="68"/>
      <c r="AI279" s="69"/>
      <c r="AJ279" s="69"/>
      <c r="AK279" s="68"/>
      <c r="AL279" s="77"/>
      <c r="AM279" s="71"/>
      <c r="AN279" s="68"/>
      <c r="AO279" s="68"/>
      <c r="AP279" s="68"/>
      <c r="AQ279" s="68"/>
      <c r="AR279" s="68"/>
      <c r="AS279" s="68"/>
      <c r="AT279" s="68"/>
      <c r="AU279" s="70"/>
      <c r="AV279" s="72"/>
      <c r="AW279" s="69"/>
      <c r="AX279" s="69"/>
      <c r="AY279" s="69"/>
      <c r="AZ279" s="69"/>
      <c r="BA279" s="69"/>
      <c r="BB279" s="69"/>
      <c r="BC279" s="69"/>
      <c r="BD279" s="70"/>
      <c r="BE279" s="71"/>
      <c r="BF279" s="68"/>
      <c r="BG279" s="68"/>
      <c r="BH279" s="70"/>
      <c r="BI279" s="67"/>
      <c r="BJ279" s="68"/>
      <c r="BK279" s="70"/>
      <c r="BL279" s="71"/>
      <c r="BM279" s="68"/>
      <c r="BN279" s="69"/>
      <c r="BO279" s="78"/>
      <c r="BP279" s="37">
        <f t="shared" si="27"/>
        <v>0</v>
      </c>
    </row>
    <row r="280" spans="1:68" ht="25.5" customHeight="1" thickTop="1" thickBot="1" x14ac:dyDescent="0.2">
      <c r="A280" s="17">
        <f t="shared" si="28"/>
        <v>265</v>
      </c>
      <c r="B280" s="1044"/>
      <c r="C280" s="1045"/>
      <c r="D280" s="38"/>
      <c r="E280" s="954"/>
      <c r="F280" s="53"/>
      <c r="G280" s="39"/>
      <c r="H280" s="1050"/>
      <c r="I280" s="684" t="str">
        <f t="shared" si="24"/>
        <v/>
      </c>
      <c r="J280" s="754">
        <f t="shared" si="25"/>
        <v>0</v>
      </c>
      <c r="K280" s="1254"/>
      <c r="L280" s="1253"/>
      <c r="M280" s="1253"/>
      <c r="N280" s="773" t="str">
        <f t="shared" si="29"/>
        <v/>
      </c>
      <c r="O280" s="774" t="str">
        <f>IF('Set up ~ Config'!$G$32=6,IF(OR($N280=7,$N280=8,$N280=9),1,IF(OR($N280=10,$N280=11,$N280=12),2,IF(OR($N280=1,$N280=2,$N280=3),3,IF(OR($N280=4,$N280=5,$N280=6),4,"")))),IF(OR($N280=9,$N280=10,$N280=11),1,IF(OR($N280=12,$N280=1,$N280=2),2,IF(OR($N280=3,$N280=4,$N280=5),3,IF(OR($N280=6,$N280=7,$N280=8),4,"")))))</f>
        <v/>
      </c>
      <c r="P280" s="40"/>
      <c r="Q280" s="67"/>
      <c r="R280" s="68"/>
      <c r="S280" s="755">
        <f t="shared" si="26"/>
        <v>0</v>
      </c>
      <c r="T280" s="68"/>
      <c r="U280" s="68"/>
      <c r="V280" s="68"/>
      <c r="W280" s="68"/>
      <c r="X280" s="68"/>
      <c r="Y280" s="68"/>
      <c r="Z280" s="68"/>
      <c r="AA280" s="68"/>
      <c r="AB280" s="69"/>
      <c r="AC280" s="70"/>
      <c r="AD280" s="71"/>
      <c r="AE280" s="68"/>
      <c r="AF280" s="68"/>
      <c r="AG280" s="68"/>
      <c r="AH280" s="68"/>
      <c r="AI280" s="69"/>
      <c r="AJ280" s="69"/>
      <c r="AK280" s="68"/>
      <c r="AL280" s="77"/>
      <c r="AM280" s="71"/>
      <c r="AN280" s="68"/>
      <c r="AO280" s="68"/>
      <c r="AP280" s="68"/>
      <c r="AQ280" s="68"/>
      <c r="AR280" s="68"/>
      <c r="AS280" s="68"/>
      <c r="AT280" s="68"/>
      <c r="AU280" s="70"/>
      <c r="AV280" s="72"/>
      <c r="AW280" s="69"/>
      <c r="AX280" s="69"/>
      <c r="AY280" s="69"/>
      <c r="AZ280" s="69"/>
      <c r="BA280" s="69"/>
      <c r="BB280" s="69"/>
      <c r="BC280" s="69"/>
      <c r="BD280" s="70"/>
      <c r="BE280" s="71"/>
      <c r="BF280" s="68"/>
      <c r="BG280" s="68"/>
      <c r="BH280" s="70"/>
      <c r="BI280" s="67"/>
      <c r="BJ280" s="68"/>
      <c r="BK280" s="70"/>
      <c r="BL280" s="71"/>
      <c r="BM280" s="68"/>
      <c r="BN280" s="69"/>
      <c r="BO280" s="78"/>
      <c r="BP280" s="37">
        <f t="shared" si="27"/>
        <v>0</v>
      </c>
    </row>
    <row r="281" spans="1:68" ht="25.5" customHeight="1" thickTop="1" thickBot="1" x14ac:dyDescent="0.2">
      <c r="A281" s="17">
        <f t="shared" si="28"/>
        <v>266</v>
      </c>
      <c r="B281" s="1044"/>
      <c r="C281" s="1045"/>
      <c r="D281" s="38"/>
      <c r="E281" s="954"/>
      <c r="F281" s="53"/>
      <c r="G281" s="39"/>
      <c r="H281" s="1050"/>
      <c r="I281" s="684" t="str">
        <f t="shared" si="24"/>
        <v/>
      </c>
      <c r="J281" s="754">
        <f t="shared" si="25"/>
        <v>0</v>
      </c>
      <c r="K281" s="1254"/>
      <c r="L281" s="1253"/>
      <c r="M281" s="1253"/>
      <c r="N281" s="773" t="str">
        <f t="shared" si="29"/>
        <v/>
      </c>
      <c r="O281" s="774" t="str">
        <f>IF('Set up ~ Config'!$G$32=6,IF(OR($N281=7,$N281=8,$N281=9),1,IF(OR($N281=10,$N281=11,$N281=12),2,IF(OR($N281=1,$N281=2,$N281=3),3,IF(OR($N281=4,$N281=5,$N281=6),4,"")))),IF(OR($N281=9,$N281=10,$N281=11),1,IF(OR($N281=12,$N281=1,$N281=2),2,IF(OR($N281=3,$N281=4,$N281=5),3,IF(OR($N281=6,$N281=7,$N281=8),4,"")))))</f>
        <v/>
      </c>
      <c r="P281" s="40"/>
      <c r="Q281" s="67"/>
      <c r="R281" s="68"/>
      <c r="S281" s="755">
        <f t="shared" si="26"/>
        <v>0</v>
      </c>
      <c r="T281" s="68"/>
      <c r="U281" s="68"/>
      <c r="V281" s="68"/>
      <c r="W281" s="68"/>
      <c r="X281" s="68"/>
      <c r="Y281" s="68"/>
      <c r="Z281" s="68"/>
      <c r="AA281" s="68"/>
      <c r="AB281" s="69"/>
      <c r="AC281" s="70"/>
      <c r="AD281" s="71"/>
      <c r="AE281" s="68"/>
      <c r="AF281" s="68"/>
      <c r="AG281" s="68"/>
      <c r="AH281" s="68"/>
      <c r="AI281" s="69"/>
      <c r="AJ281" s="69"/>
      <c r="AK281" s="68"/>
      <c r="AL281" s="77"/>
      <c r="AM281" s="71"/>
      <c r="AN281" s="68"/>
      <c r="AO281" s="68"/>
      <c r="AP281" s="68"/>
      <c r="AQ281" s="68"/>
      <c r="AR281" s="68"/>
      <c r="AS281" s="68"/>
      <c r="AT281" s="68"/>
      <c r="AU281" s="70"/>
      <c r="AV281" s="72"/>
      <c r="AW281" s="69"/>
      <c r="AX281" s="69"/>
      <c r="AY281" s="69"/>
      <c r="AZ281" s="69"/>
      <c r="BA281" s="69"/>
      <c r="BB281" s="69"/>
      <c r="BC281" s="69"/>
      <c r="BD281" s="70"/>
      <c r="BE281" s="71"/>
      <c r="BF281" s="68"/>
      <c r="BG281" s="68"/>
      <c r="BH281" s="70"/>
      <c r="BI281" s="67"/>
      <c r="BJ281" s="68"/>
      <c r="BK281" s="70"/>
      <c r="BL281" s="71"/>
      <c r="BM281" s="68"/>
      <c r="BN281" s="69"/>
      <c r="BO281" s="78"/>
      <c r="BP281" s="37">
        <f t="shared" si="27"/>
        <v>0</v>
      </c>
    </row>
    <row r="282" spans="1:68" ht="25.5" customHeight="1" thickTop="1" thickBot="1" x14ac:dyDescent="0.2">
      <c r="A282" s="17">
        <f t="shared" si="28"/>
        <v>267</v>
      </c>
      <c r="B282" s="1044"/>
      <c r="C282" s="1045"/>
      <c r="D282" s="38"/>
      <c r="E282" s="954"/>
      <c r="F282" s="53"/>
      <c r="G282" s="39"/>
      <c r="H282" s="1050"/>
      <c r="I282" s="684" t="str">
        <f t="shared" si="24"/>
        <v/>
      </c>
      <c r="J282" s="754">
        <f t="shared" si="25"/>
        <v>0</v>
      </c>
      <c r="K282" s="1254"/>
      <c r="L282" s="1253"/>
      <c r="M282" s="1253"/>
      <c r="N282" s="773" t="str">
        <f t="shared" si="29"/>
        <v/>
      </c>
      <c r="O282" s="774" t="str">
        <f>IF('Set up ~ Config'!$G$32=6,IF(OR($N282=7,$N282=8,$N282=9),1,IF(OR($N282=10,$N282=11,$N282=12),2,IF(OR($N282=1,$N282=2,$N282=3),3,IF(OR($N282=4,$N282=5,$N282=6),4,"")))),IF(OR($N282=9,$N282=10,$N282=11),1,IF(OR($N282=12,$N282=1,$N282=2),2,IF(OR($N282=3,$N282=4,$N282=5),3,IF(OR($N282=6,$N282=7,$N282=8),4,"")))))</f>
        <v/>
      </c>
      <c r="P282" s="40"/>
      <c r="Q282" s="67"/>
      <c r="R282" s="68"/>
      <c r="S282" s="755">
        <f t="shared" si="26"/>
        <v>0</v>
      </c>
      <c r="T282" s="68"/>
      <c r="U282" s="68"/>
      <c r="V282" s="68"/>
      <c r="W282" s="68"/>
      <c r="X282" s="68"/>
      <c r="Y282" s="68"/>
      <c r="Z282" s="68"/>
      <c r="AA282" s="68"/>
      <c r="AB282" s="69"/>
      <c r="AC282" s="70"/>
      <c r="AD282" s="71"/>
      <c r="AE282" s="68"/>
      <c r="AF282" s="68"/>
      <c r="AG282" s="68"/>
      <c r="AH282" s="68"/>
      <c r="AI282" s="69"/>
      <c r="AJ282" s="69"/>
      <c r="AK282" s="68"/>
      <c r="AL282" s="77"/>
      <c r="AM282" s="71"/>
      <c r="AN282" s="68"/>
      <c r="AO282" s="68"/>
      <c r="AP282" s="68"/>
      <c r="AQ282" s="68"/>
      <c r="AR282" s="68"/>
      <c r="AS282" s="68"/>
      <c r="AT282" s="68"/>
      <c r="AU282" s="70"/>
      <c r="AV282" s="72"/>
      <c r="AW282" s="69"/>
      <c r="AX282" s="69"/>
      <c r="AY282" s="69"/>
      <c r="AZ282" s="69"/>
      <c r="BA282" s="69"/>
      <c r="BB282" s="69"/>
      <c r="BC282" s="69"/>
      <c r="BD282" s="70"/>
      <c r="BE282" s="71"/>
      <c r="BF282" s="68"/>
      <c r="BG282" s="68"/>
      <c r="BH282" s="70"/>
      <c r="BI282" s="67"/>
      <c r="BJ282" s="68"/>
      <c r="BK282" s="70"/>
      <c r="BL282" s="71"/>
      <c r="BM282" s="68"/>
      <c r="BN282" s="69"/>
      <c r="BO282" s="78"/>
      <c r="BP282" s="37">
        <f t="shared" si="27"/>
        <v>0</v>
      </c>
    </row>
    <row r="283" spans="1:68" ht="25.5" customHeight="1" thickTop="1" thickBot="1" x14ac:dyDescent="0.2">
      <c r="A283" s="17">
        <f t="shared" si="28"/>
        <v>268</v>
      </c>
      <c r="B283" s="1044"/>
      <c r="C283" s="1045"/>
      <c r="D283" s="38"/>
      <c r="E283" s="954"/>
      <c r="F283" s="53"/>
      <c r="G283" s="39"/>
      <c r="H283" s="1050"/>
      <c r="I283" s="684" t="str">
        <f t="shared" si="24"/>
        <v/>
      </c>
      <c r="J283" s="754">
        <f t="shared" si="25"/>
        <v>0</v>
      </c>
      <c r="K283" s="1254"/>
      <c r="L283" s="1253"/>
      <c r="M283" s="1253"/>
      <c r="N283" s="773" t="str">
        <f t="shared" si="29"/>
        <v/>
      </c>
      <c r="O283" s="774" t="str">
        <f>IF('Set up ~ Config'!$G$32=6,IF(OR($N283=7,$N283=8,$N283=9),1,IF(OR($N283=10,$N283=11,$N283=12),2,IF(OR($N283=1,$N283=2,$N283=3),3,IF(OR($N283=4,$N283=5,$N283=6),4,"")))),IF(OR($N283=9,$N283=10,$N283=11),1,IF(OR($N283=12,$N283=1,$N283=2),2,IF(OR($N283=3,$N283=4,$N283=5),3,IF(OR($N283=6,$N283=7,$N283=8),4,"")))))</f>
        <v/>
      </c>
      <c r="P283" s="40"/>
      <c r="Q283" s="67"/>
      <c r="R283" s="68"/>
      <c r="S283" s="755">
        <f t="shared" si="26"/>
        <v>0</v>
      </c>
      <c r="T283" s="68"/>
      <c r="U283" s="68"/>
      <c r="V283" s="68"/>
      <c r="W283" s="68"/>
      <c r="X283" s="68"/>
      <c r="Y283" s="68"/>
      <c r="Z283" s="68"/>
      <c r="AA283" s="68"/>
      <c r="AB283" s="69"/>
      <c r="AC283" s="70"/>
      <c r="AD283" s="71"/>
      <c r="AE283" s="68"/>
      <c r="AF283" s="68"/>
      <c r="AG283" s="68"/>
      <c r="AH283" s="68"/>
      <c r="AI283" s="69"/>
      <c r="AJ283" s="69"/>
      <c r="AK283" s="68"/>
      <c r="AL283" s="77"/>
      <c r="AM283" s="71"/>
      <c r="AN283" s="68"/>
      <c r="AO283" s="68"/>
      <c r="AP283" s="68"/>
      <c r="AQ283" s="68"/>
      <c r="AR283" s="68"/>
      <c r="AS283" s="68"/>
      <c r="AT283" s="68"/>
      <c r="AU283" s="70"/>
      <c r="AV283" s="72"/>
      <c r="AW283" s="69"/>
      <c r="AX283" s="69"/>
      <c r="AY283" s="69"/>
      <c r="AZ283" s="69"/>
      <c r="BA283" s="69"/>
      <c r="BB283" s="69"/>
      <c r="BC283" s="69"/>
      <c r="BD283" s="70"/>
      <c r="BE283" s="71"/>
      <c r="BF283" s="68"/>
      <c r="BG283" s="68"/>
      <c r="BH283" s="70"/>
      <c r="BI283" s="67"/>
      <c r="BJ283" s="68"/>
      <c r="BK283" s="70"/>
      <c r="BL283" s="71"/>
      <c r="BM283" s="68"/>
      <c r="BN283" s="69"/>
      <c r="BO283" s="78"/>
      <c r="BP283" s="37">
        <f t="shared" si="27"/>
        <v>0</v>
      </c>
    </row>
    <row r="284" spans="1:68" ht="25.5" customHeight="1" thickTop="1" thickBot="1" x14ac:dyDescent="0.2">
      <c r="A284" s="17">
        <f t="shared" si="28"/>
        <v>269</v>
      </c>
      <c r="B284" s="1044"/>
      <c r="C284" s="1045"/>
      <c r="D284" s="38"/>
      <c r="E284" s="954"/>
      <c r="F284" s="53"/>
      <c r="G284" s="39"/>
      <c r="H284" s="1050"/>
      <c r="I284" s="684" t="str">
        <f t="shared" si="24"/>
        <v/>
      </c>
      <c r="J284" s="754">
        <f t="shared" si="25"/>
        <v>0</v>
      </c>
      <c r="K284" s="1254"/>
      <c r="L284" s="1253"/>
      <c r="M284" s="1253"/>
      <c r="N284" s="773" t="str">
        <f t="shared" si="29"/>
        <v/>
      </c>
      <c r="O284" s="774" t="str">
        <f>IF('Set up ~ Config'!$G$32=6,IF(OR($N284=7,$N284=8,$N284=9),1,IF(OR($N284=10,$N284=11,$N284=12),2,IF(OR($N284=1,$N284=2,$N284=3),3,IF(OR($N284=4,$N284=5,$N284=6),4,"")))),IF(OR($N284=9,$N284=10,$N284=11),1,IF(OR($N284=12,$N284=1,$N284=2),2,IF(OR($N284=3,$N284=4,$N284=5),3,IF(OR($N284=6,$N284=7,$N284=8),4,"")))))</f>
        <v/>
      </c>
      <c r="P284" s="40"/>
      <c r="Q284" s="67"/>
      <c r="R284" s="68"/>
      <c r="S284" s="755">
        <f t="shared" si="26"/>
        <v>0</v>
      </c>
      <c r="T284" s="68"/>
      <c r="U284" s="68"/>
      <c r="V284" s="68"/>
      <c r="W284" s="68"/>
      <c r="X284" s="68"/>
      <c r="Y284" s="68"/>
      <c r="Z284" s="68"/>
      <c r="AA284" s="68"/>
      <c r="AB284" s="69"/>
      <c r="AC284" s="70"/>
      <c r="AD284" s="71"/>
      <c r="AE284" s="68"/>
      <c r="AF284" s="68"/>
      <c r="AG284" s="68"/>
      <c r="AH284" s="68"/>
      <c r="AI284" s="69"/>
      <c r="AJ284" s="69"/>
      <c r="AK284" s="68"/>
      <c r="AL284" s="77"/>
      <c r="AM284" s="71"/>
      <c r="AN284" s="68"/>
      <c r="AO284" s="68"/>
      <c r="AP284" s="68"/>
      <c r="AQ284" s="68"/>
      <c r="AR284" s="68"/>
      <c r="AS284" s="68"/>
      <c r="AT284" s="68"/>
      <c r="AU284" s="70"/>
      <c r="AV284" s="72"/>
      <c r="AW284" s="69"/>
      <c r="AX284" s="69"/>
      <c r="AY284" s="69"/>
      <c r="AZ284" s="69"/>
      <c r="BA284" s="69"/>
      <c r="BB284" s="69"/>
      <c r="BC284" s="69"/>
      <c r="BD284" s="70"/>
      <c r="BE284" s="71"/>
      <c r="BF284" s="68"/>
      <c r="BG284" s="68"/>
      <c r="BH284" s="70"/>
      <c r="BI284" s="67"/>
      <c r="BJ284" s="68"/>
      <c r="BK284" s="70"/>
      <c r="BL284" s="71"/>
      <c r="BM284" s="68"/>
      <c r="BN284" s="69"/>
      <c r="BO284" s="78"/>
      <c r="BP284" s="37">
        <f t="shared" si="27"/>
        <v>0</v>
      </c>
    </row>
    <row r="285" spans="1:68" ht="25.5" customHeight="1" thickTop="1" thickBot="1" x14ac:dyDescent="0.2">
      <c r="A285" s="17">
        <f t="shared" si="28"/>
        <v>270</v>
      </c>
      <c r="B285" s="1044"/>
      <c r="C285" s="1045"/>
      <c r="D285" s="38"/>
      <c r="E285" s="954"/>
      <c r="F285" s="53"/>
      <c r="G285" s="39"/>
      <c r="H285" s="1050"/>
      <c r="I285" s="684" t="str">
        <f t="shared" si="24"/>
        <v/>
      </c>
      <c r="J285" s="754">
        <f t="shared" si="25"/>
        <v>0</v>
      </c>
      <c r="K285" s="1254"/>
      <c r="L285" s="1253"/>
      <c r="M285" s="1253"/>
      <c r="N285" s="773" t="str">
        <f t="shared" si="29"/>
        <v/>
      </c>
      <c r="O285" s="774" t="str">
        <f>IF('Set up ~ Config'!$G$32=6,IF(OR($N285=7,$N285=8,$N285=9),1,IF(OR($N285=10,$N285=11,$N285=12),2,IF(OR($N285=1,$N285=2,$N285=3),3,IF(OR($N285=4,$N285=5,$N285=6),4,"")))),IF(OR($N285=9,$N285=10,$N285=11),1,IF(OR($N285=12,$N285=1,$N285=2),2,IF(OR($N285=3,$N285=4,$N285=5),3,IF(OR($N285=6,$N285=7,$N285=8),4,"")))))</f>
        <v/>
      </c>
      <c r="P285" s="40"/>
      <c r="Q285" s="67"/>
      <c r="R285" s="68"/>
      <c r="S285" s="755">
        <f t="shared" si="26"/>
        <v>0</v>
      </c>
      <c r="T285" s="68"/>
      <c r="U285" s="68"/>
      <c r="V285" s="68"/>
      <c r="W285" s="68"/>
      <c r="X285" s="68"/>
      <c r="Y285" s="68"/>
      <c r="Z285" s="68"/>
      <c r="AA285" s="68"/>
      <c r="AB285" s="69"/>
      <c r="AC285" s="70"/>
      <c r="AD285" s="71"/>
      <c r="AE285" s="68"/>
      <c r="AF285" s="68"/>
      <c r="AG285" s="68"/>
      <c r="AH285" s="68"/>
      <c r="AI285" s="69"/>
      <c r="AJ285" s="69"/>
      <c r="AK285" s="68"/>
      <c r="AL285" s="77"/>
      <c r="AM285" s="71"/>
      <c r="AN285" s="68"/>
      <c r="AO285" s="68"/>
      <c r="AP285" s="68"/>
      <c r="AQ285" s="68"/>
      <c r="AR285" s="68"/>
      <c r="AS285" s="68"/>
      <c r="AT285" s="68"/>
      <c r="AU285" s="70"/>
      <c r="AV285" s="72"/>
      <c r="AW285" s="69"/>
      <c r="AX285" s="69"/>
      <c r="AY285" s="69"/>
      <c r="AZ285" s="69"/>
      <c r="BA285" s="69"/>
      <c r="BB285" s="69"/>
      <c r="BC285" s="69"/>
      <c r="BD285" s="70"/>
      <c r="BE285" s="71"/>
      <c r="BF285" s="68"/>
      <c r="BG285" s="68"/>
      <c r="BH285" s="70"/>
      <c r="BI285" s="67"/>
      <c r="BJ285" s="68"/>
      <c r="BK285" s="70"/>
      <c r="BL285" s="71"/>
      <c r="BM285" s="68"/>
      <c r="BN285" s="69"/>
      <c r="BO285" s="78"/>
      <c r="BP285" s="37">
        <f t="shared" si="27"/>
        <v>0</v>
      </c>
    </row>
    <row r="286" spans="1:68" ht="25.5" customHeight="1" thickTop="1" thickBot="1" x14ac:dyDescent="0.2">
      <c r="A286" s="17">
        <f t="shared" si="28"/>
        <v>271</v>
      </c>
      <c r="B286" s="1044"/>
      <c r="C286" s="1045"/>
      <c r="D286" s="38"/>
      <c r="E286" s="954"/>
      <c r="F286" s="53"/>
      <c r="G286" s="39"/>
      <c r="H286" s="1050"/>
      <c r="I286" s="684" t="str">
        <f t="shared" si="24"/>
        <v/>
      </c>
      <c r="J286" s="754">
        <f t="shared" si="25"/>
        <v>0</v>
      </c>
      <c r="K286" s="1254"/>
      <c r="L286" s="1253"/>
      <c r="M286" s="1253"/>
      <c r="N286" s="773" t="str">
        <f t="shared" si="29"/>
        <v/>
      </c>
      <c r="O286" s="774" t="str">
        <f>IF('Set up ~ Config'!$G$32=6,IF(OR($N286=7,$N286=8,$N286=9),1,IF(OR($N286=10,$N286=11,$N286=12),2,IF(OR($N286=1,$N286=2,$N286=3),3,IF(OR($N286=4,$N286=5,$N286=6),4,"")))),IF(OR($N286=9,$N286=10,$N286=11),1,IF(OR($N286=12,$N286=1,$N286=2),2,IF(OR($N286=3,$N286=4,$N286=5),3,IF(OR($N286=6,$N286=7,$N286=8),4,"")))))</f>
        <v/>
      </c>
      <c r="P286" s="40"/>
      <c r="Q286" s="67"/>
      <c r="R286" s="68"/>
      <c r="S286" s="755">
        <f t="shared" si="26"/>
        <v>0</v>
      </c>
      <c r="T286" s="68"/>
      <c r="U286" s="68"/>
      <c r="V286" s="68"/>
      <c r="W286" s="68"/>
      <c r="X286" s="68"/>
      <c r="Y286" s="68"/>
      <c r="Z286" s="68"/>
      <c r="AA286" s="68"/>
      <c r="AB286" s="69"/>
      <c r="AC286" s="70"/>
      <c r="AD286" s="71"/>
      <c r="AE286" s="68"/>
      <c r="AF286" s="68"/>
      <c r="AG286" s="68"/>
      <c r="AH286" s="68"/>
      <c r="AI286" s="69"/>
      <c r="AJ286" s="69"/>
      <c r="AK286" s="68"/>
      <c r="AL286" s="77"/>
      <c r="AM286" s="71"/>
      <c r="AN286" s="68"/>
      <c r="AO286" s="68"/>
      <c r="AP286" s="68"/>
      <c r="AQ286" s="68"/>
      <c r="AR286" s="68"/>
      <c r="AS286" s="68"/>
      <c r="AT286" s="68"/>
      <c r="AU286" s="70"/>
      <c r="AV286" s="72"/>
      <c r="AW286" s="69"/>
      <c r="AX286" s="69"/>
      <c r="AY286" s="69"/>
      <c r="AZ286" s="69"/>
      <c r="BA286" s="69"/>
      <c r="BB286" s="69"/>
      <c r="BC286" s="69"/>
      <c r="BD286" s="70"/>
      <c r="BE286" s="71"/>
      <c r="BF286" s="68"/>
      <c r="BG286" s="68"/>
      <c r="BH286" s="70"/>
      <c r="BI286" s="67"/>
      <c r="BJ286" s="68"/>
      <c r="BK286" s="70"/>
      <c r="BL286" s="71"/>
      <c r="BM286" s="68"/>
      <c r="BN286" s="69"/>
      <c r="BO286" s="78"/>
      <c r="BP286" s="37">
        <f t="shared" si="27"/>
        <v>0</v>
      </c>
    </row>
    <row r="287" spans="1:68" ht="25.5" customHeight="1" thickTop="1" thickBot="1" x14ac:dyDescent="0.2">
      <c r="A287" s="17">
        <f t="shared" si="28"/>
        <v>272</v>
      </c>
      <c r="B287" s="1044"/>
      <c r="C287" s="1045"/>
      <c r="D287" s="38"/>
      <c r="E287" s="954"/>
      <c r="F287" s="53"/>
      <c r="G287" s="39"/>
      <c r="H287" s="1050"/>
      <c r="I287" s="684" t="str">
        <f t="shared" si="24"/>
        <v/>
      </c>
      <c r="J287" s="754">
        <f t="shared" si="25"/>
        <v>0</v>
      </c>
      <c r="K287" s="1254"/>
      <c r="L287" s="1253"/>
      <c r="M287" s="1253"/>
      <c r="N287" s="773" t="str">
        <f t="shared" si="29"/>
        <v/>
      </c>
      <c r="O287" s="774" t="str">
        <f>IF('Set up ~ Config'!$G$32=6,IF(OR($N287=7,$N287=8,$N287=9),1,IF(OR($N287=10,$N287=11,$N287=12),2,IF(OR($N287=1,$N287=2,$N287=3),3,IF(OR($N287=4,$N287=5,$N287=6),4,"")))),IF(OR($N287=9,$N287=10,$N287=11),1,IF(OR($N287=12,$N287=1,$N287=2),2,IF(OR($N287=3,$N287=4,$N287=5),3,IF(OR($N287=6,$N287=7,$N287=8),4,"")))))</f>
        <v/>
      </c>
      <c r="P287" s="40"/>
      <c r="Q287" s="67"/>
      <c r="R287" s="68"/>
      <c r="S287" s="755">
        <f t="shared" si="26"/>
        <v>0</v>
      </c>
      <c r="T287" s="68"/>
      <c r="U287" s="68"/>
      <c r="V287" s="68"/>
      <c r="W287" s="68"/>
      <c r="X287" s="68"/>
      <c r="Y287" s="68"/>
      <c r="Z287" s="68"/>
      <c r="AA287" s="68"/>
      <c r="AB287" s="69"/>
      <c r="AC287" s="70"/>
      <c r="AD287" s="71"/>
      <c r="AE287" s="68"/>
      <c r="AF287" s="68"/>
      <c r="AG287" s="68"/>
      <c r="AH287" s="68"/>
      <c r="AI287" s="69"/>
      <c r="AJ287" s="69"/>
      <c r="AK287" s="68"/>
      <c r="AL287" s="77"/>
      <c r="AM287" s="71"/>
      <c r="AN287" s="68"/>
      <c r="AO287" s="68"/>
      <c r="AP287" s="68"/>
      <c r="AQ287" s="68"/>
      <c r="AR287" s="68"/>
      <c r="AS287" s="68"/>
      <c r="AT287" s="68"/>
      <c r="AU287" s="70"/>
      <c r="AV287" s="72"/>
      <c r="AW287" s="69"/>
      <c r="AX287" s="69"/>
      <c r="AY287" s="69"/>
      <c r="AZ287" s="69"/>
      <c r="BA287" s="69"/>
      <c r="BB287" s="69"/>
      <c r="BC287" s="69"/>
      <c r="BD287" s="70"/>
      <c r="BE287" s="71"/>
      <c r="BF287" s="68"/>
      <c r="BG287" s="68"/>
      <c r="BH287" s="70"/>
      <c r="BI287" s="67"/>
      <c r="BJ287" s="68"/>
      <c r="BK287" s="70"/>
      <c r="BL287" s="71"/>
      <c r="BM287" s="68"/>
      <c r="BN287" s="69"/>
      <c r="BO287" s="78"/>
      <c r="BP287" s="37">
        <f t="shared" si="27"/>
        <v>0</v>
      </c>
    </row>
    <row r="288" spans="1:68" ht="25.5" customHeight="1" thickTop="1" thickBot="1" x14ac:dyDescent="0.2">
      <c r="A288" s="17">
        <f t="shared" si="28"/>
        <v>273</v>
      </c>
      <c r="B288" s="1044"/>
      <c r="C288" s="1045"/>
      <c r="D288" s="38"/>
      <c r="E288" s="954"/>
      <c r="F288" s="53"/>
      <c r="G288" s="39"/>
      <c r="H288" s="1050"/>
      <c r="I288" s="684" t="str">
        <f t="shared" si="24"/>
        <v/>
      </c>
      <c r="J288" s="754">
        <f t="shared" si="25"/>
        <v>0</v>
      </c>
      <c r="K288" s="1254"/>
      <c r="L288" s="1253"/>
      <c r="M288" s="1253"/>
      <c r="N288" s="773" t="str">
        <f t="shared" si="29"/>
        <v/>
      </c>
      <c r="O288" s="774" t="str">
        <f>IF('Set up ~ Config'!$G$32=6,IF(OR($N288=7,$N288=8,$N288=9),1,IF(OR($N288=10,$N288=11,$N288=12),2,IF(OR($N288=1,$N288=2,$N288=3),3,IF(OR($N288=4,$N288=5,$N288=6),4,"")))),IF(OR($N288=9,$N288=10,$N288=11),1,IF(OR($N288=12,$N288=1,$N288=2),2,IF(OR($N288=3,$N288=4,$N288=5),3,IF(OR($N288=6,$N288=7,$N288=8),4,"")))))</f>
        <v/>
      </c>
      <c r="P288" s="40"/>
      <c r="Q288" s="67"/>
      <c r="R288" s="68"/>
      <c r="S288" s="755">
        <f t="shared" si="26"/>
        <v>0</v>
      </c>
      <c r="T288" s="68"/>
      <c r="U288" s="68"/>
      <c r="V288" s="68"/>
      <c r="W288" s="68"/>
      <c r="X288" s="68"/>
      <c r="Y288" s="68"/>
      <c r="Z288" s="68"/>
      <c r="AA288" s="68"/>
      <c r="AB288" s="69"/>
      <c r="AC288" s="70"/>
      <c r="AD288" s="71"/>
      <c r="AE288" s="68"/>
      <c r="AF288" s="68"/>
      <c r="AG288" s="68"/>
      <c r="AH288" s="68"/>
      <c r="AI288" s="69"/>
      <c r="AJ288" s="69"/>
      <c r="AK288" s="68"/>
      <c r="AL288" s="77"/>
      <c r="AM288" s="71"/>
      <c r="AN288" s="68"/>
      <c r="AO288" s="68"/>
      <c r="AP288" s="68"/>
      <c r="AQ288" s="68"/>
      <c r="AR288" s="68"/>
      <c r="AS288" s="68"/>
      <c r="AT288" s="68"/>
      <c r="AU288" s="70"/>
      <c r="AV288" s="72"/>
      <c r="AW288" s="69"/>
      <c r="AX288" s="69"/>
      <c r="AY288" s="69"/>
      <c r="AZ288" s="69"/>
      <c r="BA288" s="69"/>
      <c r="BB288" s="69"/>
      <c r="BC288" s="69"/>
      <c r="BD288" s="70"/>
      <c r="BE288" s="71"/>
      <c r="BF288" s="68"/>
      <c r="BG288" s="68"/>
      <c r="BH288" s="70"/>
      <c r="BI288" s="67"/>
      <c r="BJ288" s="68"/>
      <c r="BK288" s="70"/>
      <c r="BL288" s="71"/>
      <c r="BM288" s="68"/>
      <c r="BN288" s="69"/>
      <c r="BO288" s="78"/>
      <c r="BP288" s="37">
        <f t="shared" si="27"/>
        <v>0</v>
      </c>
    </row>
    <row r="289" spans="1:68" ht="25.5" customHeight="1" thickTop="1" thickBot="1" x14ac:dyDescent="0.2">
      <c r="A289" s="17">
        <f t="shared" si="28"/>
        <v>274</v>
      </c>
      <c r="B289" s="1044"/>
      <c r="C289" s="1045"/>
      <c r="D289" s="38"/>
      <c r="E289" s="954"/>
      <c r="F289" s="53"/>
      <c r="G289" s="39"/>
      <c r="H289" s="1050"/>
      <c r="I289" s="684" t="str">
        <f t="shared" si="24"/>
        <v/>
      </c>
      <c r="J289" s="754">
        <f t="shared" si="25"/>
        <v>0</v>
      </c>
      <c r="K289" s="1254"/>
      <c r="L289" s="1253"/>
      <c r="M289" s="1253"/>
      <c r="N289" s="773" t="str">
        <f t="shared" si="29"/>
        <v/>
      </c>
      <c r="O289" s="774" t="str">
        <f>IF('Set up ~ Config'!$G$32=6,IF(OR($N289=7,$N289=8,$N289=9),1,IF(OR($N289=10,$N289=11,$N289=12),2,IF(OR($N289=1,$N289=2,$N289=3),3,IF(OR($N289=4,$N289=5,$N289=6),4,"")))),IF(OR($N289=9,$N289=10,$N289=11),1,IF(OR($N289=12,$N289=1,$N289=2),2,IF(OR($N289=3,$N289=4,$N289=5),3,IF(OR($N289=6,$N289=7,$N289=8),4,"")))))</f>
        <v/>
      </c>
      <c r="P289" s="40"/>
      <c r="Q289" s="67"/>
      <c r="R289" s="68"/>
      <c r="S289" s="755">
        <f t="shared" si="26"/>
        <v>0</v>
      </c>
      <c r="T289" s="68"/>
      <c r="U289" s="68"/>
      <c r="V289" s="68"/>
      <c r="W289" s="68"/>
      <c r="X289" s="68"/>
      <c r="Y289" s="68"/>
      <c r="Z289" s="68"/>
      <c r="AA289" s="68"/>
      <c r="AB289" s="69"/>
      <c r="AC289" s="70"/>
      <c r="AD289" s="71"/>
      <c r="AE289" s="68"/>
      <c r="AF289" s="68"/>
      <c r="AG289" s="68"/>
      <c r="AH289" s="68"/>
      <c r="AI289" s="69"/>
      <c r="AJ289" s="69"/>
      <c r="AK289" s="68"/>
      <c r="AL289" s="77"/>
      <c r="AM289" s="71"/>
      <c r="AN289" s="68"/>
      <c r="AO289" s="68"/>
      <c r="AP289" s="68"/>
      <c r="AQ289" s="68"/>
      <c r="AR289" s="68"/>
      <c r="AS289" s="68"/>
      <c r="AT289" s="68"/>
      <c r="AU289" s="70"/>
      <c r="AV289" s="72"/>
      <c r="AW289" s="69"/>
      <c r="AX289" s="69"/>
      <c r="AY289" s="69"/>
      <c r="AZ289" s="69"/>
      <c r="BA289" s="69"/>
      <c r="BB289" s="69"/>
      <c r="BC289" s="69"/>
      <c r="BD289" s="70"/>
      <c r="BE289" s="71"/>
      <c r="BF289" s="68"/>
      <c r="BG289" s="68"/>
      <c r="BH289" s="70"/>
      <c r="BI289" s="67"/>
      <c r="BJ289" s="68"/>
      <c r="BK289" s="70"/>
      <c r="BL289" s="71"/>
      <c r="BM289" s="68"/>
      <c r="BN289" s="69"/>
      <c r="BO289" s="78"/>
      <c r="BP289" s="37">
        <f t="shared" si="27"/>
        <v>0</v>
      </c>
    </row>
    <row r="290" spans="1:68" ht="25.5" customHeight="1" thickTop="1" thickBot="1" x14ac:dyDescent="0.2">
      <c r="A290" s="17">
        <f t="shared" si="28"/>
        <v>275</v>
      </c>
      <c r="B290" s="1044"/>
      <c r="C290" s="1045"/>
      <c r="D290" s="38"/>
      <c r="E290" s="954"/>
      <c r="F290" s="53"/>
      <c r="G290" s="39"/>
      <c r="H290" s="1050"/>
      <c r="I290" s="684" t="str">
        <f t="shared" si="24"/>
        <v/>
      </c>
      <c r="J290" s="754">
        <f t="shared" si="25"/>
        <v>0</v>
      </c>
      <c r="K290" s="1254"/>
      <c r="L290" s="1253"/>
      <c r="M290" s="1253"/>
      <c r="N290" s="773" t="str">
        <f t="shared" si="29"/>
        <v/>
      </c>
      <c r="O290" s="774" t="str">
        <f>IF('Set up ~ Config'!$G$32=6,IF(OR($N290=7,$N290=8,$N290=9),1,IF(OR($N290=10,$N290=11,$N290=12),2,IF(OR($N290=1,$N290=2,$N290=3),3,IF(OR($N290=4,$N290=5,$N290=6),4,"")))),IF(OR($N290=9,$N290=10,$N290=11),1,IF(OR($N290=12,$N290=1,$N290=2),2,IF(OR($N290=3,$N290=4,$N290=5),3,IF(OR($N290=6,$N290=7,$N290=8),4,"")))))</f>
        <v/>
      </c>
      <c r="P290" s="40"/>
      <c r="Q290" s="67"/>
      <c r="R290" s="68"/>
      <c r="S290" s="755">
        <f t="shared" si="26"/>
        <v>0</v>
      </c>
      <c r="T290" s="68"/>
      <c r="U290" s="68"/>
      <c r="V290" s="68"/>
      <c r="W290" s="68"/>
      <c r="X290" s="68"/>
      <c r="Y290" s="68"/>
      <c r="Z290" s="68"/>
      <c r="AA290" s="68"/>
      <c r="AB290" s="69"/>
      <c r="AC290" s="70"/>
      <c r="AD290" s="71"/>
      <c r="AE290" s="68"/>
      <c r="AF290" s="68"/>
      <c r="AG290" s="68"/>
      <c r="AH290" s="68"/>
      <c r="AI290" s="69"/>
      <c r="AJ290" s="69"/>
      <c r="AK290" s="68"/>
      <c r="AL290" s="77"/>
      <c r="AM290" s="71"/>
      <c r="AN290" s="68"/>
      <c r="AO290" s="68"/>
      <c r="AP290" s="68"/>
      <c r="AQ290" s="68"/>
      <c r="AR290" s="68"/>
      <c r="AS290" s="68"/>
      <c r="AT290" s="68"/>
      <c r="AU290" s="70"/>
      <c r="AV290" s="72"/>
      <c r="AW290" s="69"/>
      <c r="AX290" s="69"/>
      <c r="AY290" s="69"/>
      <c r="AZ290" s="69"/>
      <c r="BA290" s="69"/>
      <c r="BB290" s="69"/>
      <c r="BC290" s="69"/>
      <c r="BD290" s="70"/>
      <c r="BE290" s="71"/>
      <c r="BF290" s="68"/>
      <c r="BG290" s="68"/>
      <c r="BH290" s="70"/>
      <c r="BI290" s="67"/>
      <c r="BJ290" s="68"/>
      <c r="BK290" s="70"/>
      <c r="BL290" s="71"/>
      <c r="BM290" s="68"/>
      <c r="BN290" s="69"/>
      <c r="BO290" s="78"/>
      <c r="BP290" s="37">
        <f t="shared" si="27"/>
        <v>0</v>
      </c>
    </row>
    <row r="291" spans="1:68" ht="25.5" customHeight="1" thickTop="1" thickBot="1" x14ac:dyDescent="0.2">
      <c r="A291" s="17">
        <f t="shared" si="28"/>
        <v>276</v>
      </c>
      <c r="B291" s="1044"/>
      <c r="C291" s="1045"/>
      <c r="D291" s="38"/>
      <c r="E291" s="954"/>
      <c r="F291" s="53"/>
      <c r="G291" s="39"/>
      <c r="H291" s="1050"/>
      <c r="I291" s="684" t="str">
        <f t="shared" si="24"/>
        <v/>
      </c>
      <c r="J291" s="754">
        <f t="shared" si="25"/>
        <v>0</v>
      </c>
      <c r="K291" s="1254"/>
      <c r="L291" s="1253"/>
      <c r="M291" s="1253"/>
      <c r="N291" s="773" t="str">
        <f t="shared" si="29"/>
        <v/>
      </c>
      <c r="O291" s="774" t="str">
        <f>IF('Set up ~ Config'!$G$32=6,IF(OR($N291=7,$N291=8,$N291=9),1,IF(OR($N291=10,$N291=11,$N291=12),2,IF(OR($N291=1,$N291=2,$N291=3),3,IF(OR($N291=4,$N291=5,$N291=6),4,"")))),IF(OR($N291=9,$N291=10,$N291=11),1,IF(OR($N291=12,$N291=1,$N291=2),2,IF(OR($N291=3,$N291=4,$N291=5),3,IF(OR($N291=6,$N291=7,$N291=8),4,"")))))</f>
        <v/>
      </c>
      <c r="P291" s="40"/>
      <c r="Q291" s="67"/>
      <c r="R291" s="68"/>
      <c r="S291" s="755">
        <f t="shared" si="26"/>
        <v>0</v>
      </c>
      <c r="T291" s="68"/>
      <c r="U291" s="68"/>
      <c r="V291" s="68"/>
      <c r="W291" s="68"/>
      <c r="X291" s="68"/>
      <c r="Y291" s="68"/>
      <c r="Z291" s="68"/>
      <c r="AA291" s="68"/>
      <c r="AB291" s="69"/>
      <c r="AC291" s="70"/>
      <c r="AD291" s="71"/>
      <c r="AE291" s="68"/>
      <c r="AF291" s="68"/>
      <c r="AG291" s="68"/>
      <c r="AH291" s="68"/>
      <c r="AI291" s="69"/>
      <c r="AJ291" s="69"/>
      <c r="AK291" s="68"/>
      <c r="AL291" s="77"/>
      <c r="AM291" s="71"/>
      <c r="AN291" s="68"/>
      <c r="AO291" s="68"/>
      <c r="AP291" s="68"/>
      <c r="AQ291" s="68"/>
      <c r="AR291" s="68"/>
      <c r="AS291" s="68"/>
      <c r="AT291" s="68"/>
      <c r="AU291" s="70"/>
      <c r="AV291" s="72"/>
      <c r="AW291" s="69"/>
      <c r="AX291" s="69"/>
      <c r="AY291" s="69"/>
      <c r="AZ291" s="69"/>
      <c r="BA291" s="69"/>
      <c r="BB291" s="69"/>
      <c r="BC291" s="69"/>
      <c r="BD291" s="70"/>
      <c r="BE291" s="71"/>
      <c r="BF291" s="68"/>
      <c r="BG291" s="68"/>
      <c r="BH291" s="70"/>
      <c r="BI291" s="67"/>
      <c r="BJ291" s="68"/>
      <c r="BK291" s="70"/>
      <c r="BL291" s="71"/>
      <c r="BM291" s="68"/>
      <c r="BN291" s="69"/>
      <c r="BO291" s="78"/>
      <c r="BP291" s="37">
        <f t="shared" si="27"/>
        <v>0</v>
      </c>
    </row>
    <row r="292" spans="1:68" ht="25.5" customHeight="1" thickTop="1" thickBot="1" x14ac:dyDescent="0.2">
      <c r="A292" s="17">
        <f t="shared" si="28"/>
        <v>277</v>
      </c>
      <c r="B292" s="1044"/>
      <c r="C292" s="1045"/>
      <c r="D292" s="38"/>
      <c r="E292" s="954"/>
      <c r="F292" s="53"/>
      <c r="G292" s="39"/>
      <c r="H292" s="1050"/>
      <c r="I292" s="684" t="str">
        <f t="shared" si="24"/>
        <v/>
      </c>
      <c r="J292" s="754">
        <f t="shared" si="25"/>
        <v>0</v>
      </c>
      <c r="K292" s="1254"/>
      <c r="L292" s="1253"/>
      <c r="M292" s="1253"/>
      <c r="N292" s="773" t="str">
        <f t="shared" si="29"/>
        <v/>
      </c>
      <c r="O292" s="774" t="str">
        <f>IF('Set up ~ Config'!$G$32=6,IF(OR($N292=7,$N292=8,$N292=9),1,IF(OR($N292=10,$N292=11,$N292=12),2,IF(OR($N292=1,$N292=2,$N292=3),3,IF(OR($N292=4,$N292=5,$N292=6),4,"")))),IF(OR($N292=9,$N292=10,$N292=11),1,IF(OR($N292=12,$N292=1,$N292=2),2,IF(OR($N292=3,$N292=4,$N292=5),3,IF(OR($N292=6,$N292=7,$N292=8),4,"")))))</f>
        <v/>
      </c>
      <c r="P292" s="40"/>
      <c r="Q292" s="67"/>
      <c r="R292" s="68"/>
      <c r="S292" s="755">
        <f t="shared" si="26"/>
        <v>0</v>
      </c>
      <c r="T292" s="68"/>
      <c r="U292" s="68"/>
      <c r="V292" s="68"/>
      <c r="W292" s="68"/>
      <c r="X292" s="68"/>
      <c r="Y292" s="68"/>
      <c r="Z292" s="68"/>
      <c r="AA292" s="68"/>
      <c r="AB292" s="69"/>
      <c r="AC292" s="70"/>
      <c r="AD292" s="71"/>
      <c r="AE292" s="68"/>
      <c r="AF292" s="68"/>
      <c r="AG292" s="68"/>
      <c r="AH292" s="68"/>
      <c r="AI292" s="69"/>
      <c r="AJ292" s="69"/>
      <c r="AK292" s="68"/>
      <c r="AL292" s="77"/>
      <c r="AM292" s="71"/>
      <c r="AN292" s="68"/>
      <c r="AO292" s="68"/>
      <c r="AP292" s="68"/>
      <c r="AQ292" s="68"/>
      <c r="AR292" s="68"/>
      <c r="AS292" s="68"/>
      <c r="AT292" s="68"/>
      <c r="AU292" s="70"/>
      <c r="AV292" s="72"/>
      <c r="AW292" s="69"/>
      <c r="AX292" s="69"/>
      <c r="AY292" s="69"/>
      <c r="AZ292" s="69"/>
      <c r="BA292" s="69"/>
      <c r="BB292" s="69"/>
      <c r="BC292" s="69"/>
      <c r="BD292" s="70"/>
      <c r="BE292" s="71"/>
      <c r="BF292" s="68"/>
      <c r="BG292" s="68"/>
      <c r="BH292" s="70"/>
      <c r="BI292" s="67"/>
      <c r="BJ292" s="68"/>
      <c r="BK292" s="70"/>
      <c r="BL292" s="71"/>
      <c r="BM292" s="68"/>
      <c r="BN292" s="69"/>
      <c r="BO292" s="78"/>
      <c r="BP292" s="37">
        <f t="shared" si="27"/>
        <v>0</v>
      </c>
    </row>
    <row r="293" spans="1:68" ht="25.5" customHeight="1" thickTop="1" thickBot="1" x14ac:dyDescent="0.2">
      <c r="A293" s="17">
        <f t="shared" si="28"/>
        <v>278</v>
      </c>
      <c r="B293" s="1044"/>
      <c r="C293" s="1045"/>
      <c r="D293" s="38"/>
      <c r="E293" s="954"/>
      <c r="F293" s="53"/>
      <c r="G293" s="39"/>
      <c r="H293" s="1050"/>
      <c r="I293" s="684" t="str">
        <f t="shared" si="24"/>
        <v/>
      </c>
      <c r="J293" s="754">
        <f t="shared" si="25"/>
        <v>0</v>
      </c>
      <c r="K293" s="1254"/>
      <c r="L293" s="1253"/>
      <c r="M293" s="1253"/>
      <c r="N293" s="773" t="str">
        <f t="shared" si="29"/>
        <v/>
      </c>
      <c r="O293" s="774" t="str">
        <f>IF('Set up ~ Config'!$G$32=6,IF(OR($N293=7,$N293=8,$N293=9),1,IF(OR($N293=10,$N293=11,$N293=12),2,IF(OR($N293=1,$N293=2,$N293=3),3,IF(OR($N293=4,$N293=5,$N293=6),4,"")))),IF(OR($N293=9,$N293=10,$N293=11),1,IF(OR($N293=12,$N293=1,$N293=2),2,IF(OR($N293=3,$N293=4,$N293=5),3,IF(OR($N293=6,$N293=7,$N293=8),4,"")))))</f>
        <v/>
      </c>
      <c r="P293" s="40"/>
      <c r="Q293" s="67"/>
      <c r="R293" s="68"/>
      <c r="S293" s="755">
        <f t="shared" si="26"/>
        <v>0</v>
      </c>
      <c r="T293" s="68"/>
      <c r="U293" s="68"/>
      <c r="V293" s="68"/>
      <c r="W293" s="68"/>
      <c r="X293" s="68"/>
      <c r="Y293" s="68"/>
      <c r="Z293" s="68"/>
      <c r="AA293" s="68"/>
      <c r="AB293" s="69"/>
      <c r="AC293" s="70"/>
      <c r="AD293" s="71"/>
      <c r="AE293" s="68"/>
      <c r="AF293" s="68"/>
      <c r="AG293" s="68"/>
      <c r="AH293" s="68"/>
      <c r="AI293" s="69"/>
      <c r="AJ293" s="69"/>
      <c r="AK293" s="68"/>
      <c r="AL293" s="77"/>
      <c r="AM293" s="71"/>
      <c r="AN293" s="68"/>
      <c r="AO293" s="68"/>
      <c r="AP293" s="68"/>
      <c r="AQ293" s="68"/>
      <c r="AR293" s="68"/>
      <c r="AS293" s="68"/>
      <c r="AT293" s="68"/>
      <c r="AU293" s="70"/>
      <c r="AV293" s="72"/>
      <c r="AW293" s="69"/>
      <c r="AX293" s="69"/>
      <c r="AY293" s="69"/>
      <c r="AZ293" s="69"/>
      <c r="BA293" s="69"/>
      <c r="BB293" s="69"/>
      <c r="BC293" s="69"/>
      <c r="BD293" s="70"/>
      <c r="BE293" s="71"/>
      <c r="BF293" s="68"/>
      <c r="BG293" s="68"/>
      <c r="BH293" s="70"/>
      <c r="BI293" s="67"/>
      <c r="BJ293" s="68"/>
      <c r="BK293" s="70"/>
      <c r="BL293" s="71"/>
      <c r="BM293" s="68"/>
      <c r="BN293" s="69"/>
      <c r="BO293" s="78"/>
      <c r="BP293" s="37">
        <f t="shared" si="27"/>
        <v>0</v>
      </c>
    </row>
    <row r="294" spans="1:68" ht="25.5" customHeight="1" thickTop="1" thickBot="1" x14ac:dyDescent="0.2">
      <c r="A294" s="17">
        <f t="shared" si="28"/>
        <v>279</v>
      </c>
      <c r="B294" s="1044"/>
      <c r="C294" s="1045"/>
      <c r="D294" s="38"/>
      <c r="E294" s="954"/>
      <c r="F294" s="53"/>
      <c r="G294" s="39"/>
      <c r="H294" s="1050"/>
      <c r="I294" s="684" t="str">
        <f t="shared" si="24"/>
        <v/>
      </c>
      <c r="J294" s="754">
        <f t="shared" si="25"/>
        <v>0</v>
      </c>
      <c r="K294" s="1254"/>
      <c r="L294" s="1253"/>
      <c r="M294" s="1253"/>
      <c r="N294" s="773" t="str">
        <f t="shared" si="29"/>
        <v/>
      </c>
      <c r="O294" s="774" t="str">
        <f>IF('Set up ~ Config'!$G$32=6,IF(OR($N294=7,$N294=8,$N294=9),1,IF(OR($N294=10,$N294=11,$N294=12),2,IF(OR($N294=1,$N294=2,$N294=3),3,IF(OR($N294=4,$N294=5,$N294=6),4,"")))),IF(OR($N294=9,$N294=10,$N294=11),1,IF(OR($N294=12,$N294=1,$N294=2),2,IF(OR($N294=3,$N294=4,$N294=5),3,IF(OR($N294=6,$N294=7,$N294=8),4,"")))))</f>
        <v/>
      </c>
      <c r="P294" s="40"/>
      <c r="Q294" s="67"/>
      <c r="R294" s="68"/>
      <c r="S294" s="755">
        <f t="shared" si="26"/>
        <v>0</v>
      </c>
      <c r="T294" s="68"/>
      <c r="U294" s="68"/>
      <c r="V294" s="68"/>
      <c r="W294" s="68"/>
      <c r="X294" s="68"/>
      <c r="Y294" s="68"/>
      <c r="Z294" s="68"/>
      <c r="AA294" s="68"/>
      <c r="AB294" s="69"/>
      <c r="AC294" s="70"/>
      <c r="AD294" s="71"/>
      <c r="AE294" s="68"/>
      <c r="AF294" s="68"/>
      <c r="AG294" s="68"/>
      <c r="AH294" s="68"/>
      <c r="AI294" s="69"/>
      <c r="AJ294" s="69"/>
      <c r="AK294" s="68"/>
      <c r="AL294" s="77"/>
      <c r="AM294" s="71"/>
      <c r="AN294" s="68"/>
      <c r="AO294" s="68"/>
      <c r="AP294" s="68"/>
      <c r="AQ294" s="68"/>
      <c r="AR294" s="68"/>
      <c r="AS294" s="68"/>
      <c r="AT294" s="68"/>
      <c r="AU294" s="70"/>
      <c r="AV294" s="72"/>
      <c r="AW294" s="69"/>
      <c r="AX294" s="69"/>
      <c r="AY294" s="69"/>
      <c r="AZ294" s="69"/>
      <c r="BA294" s="69"/>
      <c r="BB294" s="69"/>
      <c r="BC294" s="69"/>
      <c r="BD294" s="70"/>
      <c r="BE294" s="71"/>
      <c r="BF294" s="68"/>
      <c r="BG294" s="68"/>
      <c r="BH294" s="70"/>
      <c r="BI294" s="67"/>
      <c r="BJ294" s="68"/>
      <c r="BK294" s="70"/>
      <c r="BL294" s="71"/>
      <c r="BM294" s="68"/>
      <c r="BN294" s="69"/>
      <c r="BO294" s="78"/>
      <c r="BP294" s="37">
        <f t="shared" si="27"/>
        <v>0</v>
      </c>
    </row>
    <row r="295" spans="1:68" ht="25.5" customHeight="1" thickTop="1" thickBot="1" x14ac:dyDescent="0.2">
      <c r="A295" s="17">
        <f t="shared" si="28"/>
        <v>280</v>
      </c>
      <c r="B295" s="1044"/>
      <c r="C295" s="1045"/>
      <c r="D295" s="38"/>
      <c r="E295" s="954"/>
      <c r="F295" s="53"/>
      <c r="G295" s="39"/>
      <c r="H295" s="1050"/>
      <c r="I295" s="684" t="str">
        <f t="shared" si="24"/>
        <v/>
      </c>
      <c r="J295" s="754">
        <f t="shared" si="25"/>
        <v>0</v>
      </c>
      <c r="K295" s="1254"/>
      <c r="L295" s="1253"/>
      <c r="M295" s="1253"/>
      <c r="N295" s="773" t="str">
        <f t="shared" si="29"/>
        <v/>
      </c>
      <c r="O295" s="774" t="str">
        <f>IF('Set up ~ Config'!$G$32=6,IF(OR($N295=7,$N295=8,$N295=9),1,IF(OR($N295=10,$N295=11,$N295=12),2,IF(OR($N295=1,$N295=2,$N295=3),3,IF(OR($N295=4,$N295=5,$N295=6),4,"")))),IF(OR($N295=9,$N295=10,$N295=11),1,IF(OR($N295=12,$N295=1,$N295=2),2,IF(OR($N295=3,$N295=4,$N295=5),3,IF(OR($N295=6,$N295=7,$N295=8),4,"")))))</f>
        <v/>
      </c>
      <c r="P295" s="40"/>
      <c r="Q295" s="67"/>
      <c r="R295" s="68"/>
      <c r="S295" s="755">
        <f t="shared" si="26"/>
        <v>0</v>
      </c>
      <c r="T295" s="68"/>
      <c r="U295" s="68"/>
      <c r="V295" s="68"/>
      <c r="W295" s="68"/>
      <c r="X295" s="68"/>
      <c r="Y295" s="68"/>
      <c r="Z295" s="68"/>
      <c r="AA295" s="68"/>
      <c r="AB295" s="69"/>
      <c r="AC295" s="70"/>
      <c r="AD295" s="71"/>
      <c r="AE295" s="68"/>
      <c r="AF295" s="68"/>
      <c r="AG295" s="68"/>
      <c r="AH295" s="68"/>
      <c r="AI295" s="69"/>
      <c r="AJ295" s="69"/>
      <c r="AK295" s="68"/>
      <c r="AL295" s="77"/>
      <c r="AM295" s="71"/>
      <c r="AN295" s="68"/>
      <c r="AO295" s="68"/>
      <c r="AP295" s="68"/>
      <c r="AQ295" s="68"/>
      <c r="AR295" s="68"/>
      <c r="AS295" s="68"/>
      <c r="AT295" s="68"/>
      <c r="AU295" s="70"/>
      <c r="AV295" s="72"/>
      <c r="AW295" s="69"/>
      <c r="AX295" s="69"/>
      <c r="AY295" s="69"/>
      <c r="AZ295" s="69"/>
      <c r="BA295" s="69"/>
      <c r="BB295" s="69"/>
      <c r="BC295" s="69"/>
      <c r="BD295" s="70"/>
      <c r="BE295" s="71"/>
      <c r="BF295" s="68"/>
      <c r="BG295" s="68"/>
      <c r="BH295" s="70"/>
      <c r="BI295" s="67"/>
      <c r="BJ295" s="68"/>
      <c r="BK295" s="70"/>
      <c r="BL295" s="71"/>
      <c r="BM295" s="68"/>
      <c r="BN295" s="69"/>
      <c r="BO295" s="78"/>
      <c r="BP295" s="37">
        <f t="shared" si="27"/>
        <v>0</v>
      </c>
    </row>
    <row r="296" spans="1:68" ht="25.5" customHeight="1" thickTop="1" thickBot="1" x14ac:dyDescent="0.2">
      <c r="A296" s="17">
        <f t="shared" si="28"/>
        <v>281</v>
      </c>
      <c r="B296" s="1044"/>
      <c r="C296" s="1045"/>
      <c r="D296" s="38"/>
      <c r="E296" s="954"/>
      <c r="F296" s="53"/>
      <c r="G296" s="39"/>
      <c r="H296" s="1050"/>
      <c r="I296" s="684" t="str">
        <f t="shared" si="24"/>
        <v/>
      </c>
      <c r="J296" s="754">
        <f t="shared" si="25"/>
        <v>0</v>
      </c>
      <c r="K296" s="1254"/>
      <c r="L296" s="1253"/>
      <c r="M296" s="1253"/>
      <c r="N296" s="773" t="str">
        <f t="shared" si="29"/>
        <v/>
      </c>
      <c r="O296" s="774" t="str">
        <f>IF('Set up ~ Config'!$G$32=6,IF(OR($N296=7,$N296=8,$N296=9),1,IF(OR($N296=10,$N296=11,$N296=12),2,IF(OR($N296=1,$N296=2,$N296=3),3,IF(OR($N296=4,$N296=5,$N296=6),4,"")))),IF(OR($N296=9,$N296=10,$N296=11),1,IF(OR($N296=12,$N296=1,$N296=2),2,IF(OR($N296=3,$N296=4,$N296=5),3,IF(OR($N296=6,$N296=7,$N296=8),4,"")))))</f>
        <v/>
      </c>
      <c r="P296" s="40"/>
      <c r="Q296" s="67"/>
      <c r="R296" s="68"/>
      <c r="S296" s="755">
        <f t="shared" si="26"/>
        <v>0</v>
      </c>
      <c r="T296" s="68"/>
      <c r="U296" s="68"/>
      <c r="V296" s="68"/>
      <c r="W296" s="68"/>
      <c r="X296" s="68"/>
      <c r="Y296" s="68"/>
      <c r="Z296" s="68"/>
      <c r="AA296" s="68"/>
      <c r="AB296" s="69"/>
      <c r="AC296" s="70"/>
      <c r="AD296" s="71"/>
      <c r="AE296" s="68"/>
      <c r="AF296" s="68"/>
      <c r="AG296" s="68"/>
      <c r="AH296" s="68"/>
      <c r="AI296" s="69"/>
      <c r="AJ296" s="69"/>
      <c r="AK296" s="68"/>
      <c r="AL296" s="77"/>
      <c r="AM296" s="71"/>
      <c r="AN296" s="68"/>
      <c r="AO296" s="68"/>
      <c r="AP296" s="68"/>
      <c r="AQ296" s="68"/>
      <c r="AR296" s="68"/>
      <c r="AS296" s="68"/>
      <c r="AT296" s="68"/>
      <c r="AU296" s="70"/>
      <c r="AV296" s="72"/>
      <c r="AW296" s="69"/>
      <c r="AX296" s="69"/>
      <c r="AY296" s="69"/>
      <c r="AZ296" s="69"/>
      <c r="BA296" s="69"/>
      <c r="BB296" s="69"/>
      <c r="BC296" s="69"/>
      <c r="BD296" s="70"/>
      <c r="BE296" s="71"/>
      <c r="BF296" s="68"/>
      <c r="BG296" s="68"/>
      <c r="BH296" s="70"/>
      <c r="BI296" s="67"/>
      <c r="BJ296" s="68"/>
      <c r="BK296" s="70"/>
      <c r="BL296" s="71"/>
      <c r="BM296" s="68"/>
      <c r="BN296" s="69"/>
      <c r="BO296" s="78"/>
      <c r="BP296" s="37">
        <f t="shared" si="27"/>
        <v>0</v>
      </c>
    </row>
    <row r="297" spans="1:68" ht="25.5" customHeight="1" thickTop="1" thickBot="1" x14ac:dyDescent="0.2">
      <c r="A297" s="17">
        <f t="shared" si="28"/>
        <v>282</v>
      </c>
      <c r="B297" s="1044"/>
      <c r="C297" s="1045"/>
      <c r="D297" s="38"/>
      <c r="E297" s="954"/>
      <c r="F297" s="53"/>
      <c r="G297" s="39"/>
      <c r="H297" s="1050"/>
      <c r="I297" s="684" t="str">
        <f t="shared" si="24"/>
        <v/>
      </c>
      <c r="J297" s="754">
        <f t="shared" si="25"/>
        <v>0</v>
      </c>
      <c r="K297" s="1254"/>
      <c r="L297" s="1253"/>
      <c r="M297" s="1253"/>
      <c r="N297" s="773" t="str">
        <f t="shared" si="29"/>
        <v/>
      </c>
      <c r="O297" s="774" t="str">
        <f>IF('Set up ~ Config'!$G$32=6,IF(OR($N297=7,$N297=8,$N297=9),1,IF(OR($N297=10,$N297=11,$N297=12),2,IF(OR($N297=1,$N297=2,$N297=3),3,IF(OR($N297=4,$N297=5,$N297=6),4,"")))),IF(OR($N297=9,$N297=10,$N297=11),1,IF(OR($N297=12,$N297=1,$N297=2),2,IF(OR($N297=3,$N297=4,$N297=5),3,IF(OR($N297=6,$N297=7,$N297=8),4,"")))))</f>
        <v/>
      </c>
      <c r="P297" s="40"/>
      <c r="Q297" s="67"/>
      <c r="R297" s="68"/>
      <c r="S297" s="755">
        <f t="shared" si="26"/>
        <v>0</v>
      </c>
      <c r="T297" s="68"/>
      <c r="U297" s="68"/>
      <c r="V297" s="68"/>
      <c r="W297" s="68"/>
      <c r="X297" s="68"/>
      <c r="Y297" s="68"/>
      <c r="Z297" s="68"/>
      <c r="AA297" s="68"/>
      <c r="AB297" s="69"/>
      <c r="AC297" s="70"/>
      <c r="AD297" s="71"/>
      <c r="AE297" s="68"/>
      <c r="AF297" s="68"/>
      <c r="AG297" s="68"/>
      <c r="AH297" s="68"/>
      <c r="AI297" s="69"/>
      <c r="AJ297" s="69"/>
      <c r="AK297" s="68"/>
      <c r="AL297" s="77"/>
      <c r="AM297" s="71"/>
      <c r="AN297" s="68"/>
      <c r="AO297" s="68"/>
      <c r="AP297" s="68"/>
      <c r="AQ297" s="68"/>
      <c r="AR297" s="68"/>
      <c r="AS297" s="68"/>
      <c r="AT297" s="68"/>
      <c r="AU297" s="70"/>
      <c r="AV297" s="72"/>
      <c r="AW297" s="69"/>
      <c r="AX297" s="69"/>
      <c r="AY297" s="69"/>
      <c r="AZ297" s="69"/>
      <c r="BA297" s="69"/>
      <c r="BB297" s="69"/>
      <c r="BC297" s="69"/>
      <c r="BD297" s="70"/>
      <c r="BE297" s="71"/>
      <c r="BF297" s="68"/>
      <c r="BG297" s="68"/>
      <c r="BH297" s="70"/>
      <c r="BI297" s="67"/>
      <c r="BJ297" s="68"/>
      <c r="BK297" s="70"/>
      <c r="BL297" s="71"/>
      <c r="BM297" s="68"/>
      <c r="BN297" s="69"/>
      <c r="BO297" s="78"/>
      <c r="BP297" s="37">
        <f t="shared" si="27"/>
        <v>0</v>
      </c>
    </row>
    <row r="298" spans="1:68" ht="25.5" customHeight="1" thickTop="1" thickBot="1" x14ac:dyDescent="0.2">
      <c r="A298" s="17">
        <f t="shared" si="28"/>
        <v>283</v>
      </c>
      <c r="B298" s="1044"/>
      <c r="C298" s="1045"/>
      <c r="D298" s="38"/>
      <c r="E298" s="954"/>
      <c r="F298" s="53"/>
      <c r="G298" s="39"/>
      <c r="H298" s="1050"/>
      <c r="I298" s="684" t="str">
        <f t="shared" si="24"/>
        <v/>
      </c>
      <c r="J298" s="754">
        <f t="shared" si="25"/>
        <v>0</v>
      </c>
      <c r="K298" s="1254"/>
      <c r="L298" s="1253"/>
      <c r="M298" s="1253"/>
      <c r="N298" s="773" t="str">
        <f t="shared" si="29"/>
        <v/>
      </c>
      <c r="O298" s="774" t="str">
        <f>IF('Set up ~ Config'!$G$32=6,IF(OR($N298=7,$N298=8,$N298=9),1,IF(OR($N298=10,$N298=11,$N298=12),2,IF(OR($N298=1,$N298=2,$N298=3),3,IF(OR($N298=4,$N298=5,$N298=6),4,"")))),IF(OR($N298=9,$N298=10,$N298=11),1,IF(OR($N298=12,$N298=1,$N298=2),2,IF(OR($N298=3,$N298=4,$N298=5),3,IF(OR($N298=6,$N298=7,$N298=8),4,"")))))</f>
        <v/>
      </c>
      <c r="P298" s="40"/>
      <c r="Q298" s="67"/>
      <c r="R298" s="68"/>
      <c r="S298" s="755">
        <f t="shared" si="26"/>
        <v>0</v>
      </c>
      <c r="T298" s="68"/>
      <c r="U298" s="68"/>
      <c r="V298" s="68"/>
      <c r="W298" s="68"/>
      <c r="X298" s="68"/>
      <c r="Y298" s="68"/>
      <c r="Z298" s="68"/>
      <c r="AA298" s="68"/>
      <c r="AB298" s="69"/>
      <c r="AC298" s="70"/>
      <c r="AD298" s="71"/>
      <c r="AE298" s="68"/>
      <c r="AF298" s="68"/>
      <c r="AG298" s="68"/>
      <c r="AH298" s="68"/>
      <c r="AI298" s="69"/>
      <c r="AJ298" s="69"/>
      <c r="AK298" s="68"/>
      <c r="AL298" s="77"/>
      <c r="AM298" s="71"/>
      <c r="AN298" s="68"/>
      <c r="AO298" s="68"/>
      <c r="AP298" s="68"/>
      <c r="AQ298" s="68"/>
      <c r="AR298" s="68"/>
      <c r="AS298" s="68"/>
      <c r="AT298" s="68"/>
      <c r="AU298" s="70"/>
      <c r="AV298" s="72"/>
      <c r="AW298" s="69"/>
      <c r="AX298" s="69"/>
      <c r="AY298" s="69"/>
      <c r="AZ298" s="69"/>
      <c r="BA298" s="69"/>
      <c r="BB298" s="69"/>
      <c r="BC298" s="69"/>
      <c r="BD298" s="70"/>
      <c r="BE298" s="71"/>
      <c r="BF298" s="68"/>
      <c r="BG298" s="68"/>
      <c r="BH298" s="70"/>
      <c r="BI298" s="67"/>
      <c r="BJ298" s="68"/>
      <c r="BK298" s="70"/>
      <c r="BL298" s="71"/>
      <c r="BM298" s="68"/>
      <c r="BN298" s="69"/>
      <c r="BO298" s="78"/>
      <c r="BP298" s="37">
        <f t="shared" si="27"/>
        <v>0</v>
      </c>
    </row>
    <row r="299" spans="1:68" ht="25.5" customHeight="1" thickTop="1" thickBot="1" x14ac:dyDescent="0.2">
      <c r="A299" s="17">
        <f t="shared" si="28"/>
        <v>284</v>
      </c>
      <c r="B299" s="1044"/>
      <c r="C299" s="1045"/>
      <c r="D299" s="38"/>
      <c r="E299" s="954"/>
      <c r="F299" s="53"/>
      <c r="G299" s="39"/>
      <c r="H299" s="1050"/>
      <c r="I299" s="684" t="str">
        <f t="shared" si="24"/>
        <v/>
      </c>
      <c r="J299" s="754">
        <f t="shared" si="25"/>
        <v>0</v>
      </c>
      <c r="K299" s="1254"/>
      <c r="L299" s="1253"/>
      <c r="M299" s="1253"/>
      <c r="N299" s="773" t="str">
        <f t="shared" si="29"/>
        <v/>
      </c>
      <c r="O299" s="774" t="str">
        <f>IF('Set up ~ Config'!$G$32=6,IF(OR($N299=7,$N299=8,$N299=9),1,IF(OR($N299=10,$N299=11,$N299=12),2,IF(OR($N299=1,$N299=2,$N299=3),3,IF(OR($N299=4,$N299=5,$N299=6),4,"")))),IF(OR($N299=9,$N299=10,$N299=11),1,IF(OR($N299=12,$N299=1,$N299=2),2,IF(OR($N299=3,$N299=4,$N299=5),3,IF(OR($N299=6,$N299=7,$N299=8),4,"")))))</f>
        <v/>
      </c>
      <c r="P299" s="40"/>
      <c r="Q299" s="67"/>
      <c r="R299" s="68"/>
      <c r="S299" s="755">
        <f t="shared" si="26"/>
        <v>0</v>
      </c>
      <c r="T299" s="68"/>
      <c r="U299" s="68"/>
      <c r="V299" s="68"/>
      <c r="W299" s="68"/>
      <c r="X299" s="68"/>
      <c r="Y299" s="68"/>
      <c r="Z299" s="68"/>
      <c r="AA299" s="68"/>
      <c r="AB299" s="69"/>
      <c r="AC299" s="70"/>
      <c r="AD299" s="71"/>
      <c r="AE299" s="68"/>
      <c r="AF299" s="68"/>
      <c r="AG299" s="68"/>
      <c r="AH299" s="68"/>
      <c r="AI299" s="69"/>
      <c r="AJ299" s="69"/>
      <c r="AK299" s="68"/>
      <c r="AL299" s="77"/>
      <c r="AM299" s="71"/>
      <c r="AN299" s="68"/>
      <c r="AO299" s="68"/>
      <c r="AP299" s="68"/>
      <c r="AQ299" s="68"/>
      <c r="AR299" s="68"/>
      <c r="AS299" s="68"/>
      <c r="AT299" s="68"/>
      <c r="AU299" s="70"/>
      <c r="AV299" s="72"/>
      <c r="AW299" s="69"/>
      <c r="AX299" s="69"/>
      <c r="AY299" s="69"/>
      <c r="AZ299" s="69"/>
      <c r="BA299" s="69"/>
      <c r="BB299" s="69"/>
      <c r="BC299" s="69"/>
      <c r="BD299" s="70"/>
      <c r="BE299" s="71"/>
      <c r="BF299" s="68"/>
      <c r="BG299" s="68"/>
      <c r="BH299" s="70"/>
      <c r="BI299" s="67"/>
      <c r="BJ299" s="68"/>
      <c r="BK299" s="70"/>
      <c r="BL299" s="71"/>
      <c r="BM299" s="68"/>
      <c r="BN299" s="69"/>
      <c r="BO299" s="78"/>
      <c r="BP299" s="37">
        <f t="shared" si="27"/>
        <v>0</v>
      </c>
    </row>
    <row r="300" spans="1:68" ht="25.5" customHeight="1" thickTop="1" thickBot="1" x14ac:dyDescent="0.2">
      <c r="A300" s="17">
        <f t="shared" si="28"/>
        <v>285</v>
      </c>
      <c r="B300" s="1044"/>
      <c r="C300" s="1045"/>
      <c r="D300" s="38"/>
      <c r="E300" s="954"/>
      <c r="F300" s="53"/>
      <c r="G300" s="39"/>
      <c r="H300" s="1050"/>
      <c r="I300" s="684" t="str">
        <f t="shared" si="24"/>
        <v/>
      </c>
      <c r="J300" s="754">
        <f t="shared" si="25"/>
        <v>0</v>
      </c>
      <c r="K300" s="1254"/>
      <c r="L300" s="1253"/>
      <c r="M300" s="1253"/>
      <c r="N300" s="773" t="str">
        <f t="shared" si="29"/>
        <v/>
      </c>
      <c r="O300" s="774" t="str">
        <f>IF('Set up ~ Config'!$G$32=6,IF(OR($N300=7,$N300=8,$N300=9),1,IF(OR($N300=10,$N300=11,$N300=12),2,IF(OR($N300=1,$N300=2,$N300=3),3,IF(OR($N300=4,$N300=5,$N300=6),4,"")))),IF(OR($N300=9,$N300=10,$N300=11),1,IF(OR($N300=12,$N300=1,$N300=2),2,IF(OR($N300=3,$N300=4,$N300=5),3,IF(OR($N300=6,$N300=7,$N300=8),4,"")))))</f>
        <v/>
      </c>
      <c r="P300" s="40"/>
      <c r="Q300" s="67"/>
      <c r="R300" s="68"/>
      <c r="S300" s="755">
        <f t="shared" si="26"/>
        <v>0</v>
      </c>
      <c r="T300" s="68"/>
      <c r="U300" s="68"/>
      <c r="V300" s="68"/>
      <c r="W300" s="68"/>
      <c r="X300" s="68"/>
      <c r="Y300" s="68"/>
      <c r="Z300" s="68"/>
      <c r="AA300" s="68"/>
      <c r="AB300" s="69"/>
      <c r="AC300" s="70"/>
      <c r="AD300" s="71"/>
      <c r="AE300" s="68"/>
      <c r="AF300" s="68"/>
      <c r="AG300" s="68"/>
      <c r="AH300" s="68"/>
      <c r="AI300" s="69"/>
      <c r="AJ300" s="69"/>
      <c r="AK300" s="68"/>
      <c r="AL300" s="77"/>
      <c r="AM300" s="71"/>
      <c r="AN300" s="68"/>
      <c r="AO300" s="68"/>
      <c r="AP300" s="68"/>
      <c r="AQ300" s="68"/>
      <c r="AR300" s="68"/>
      <c r="AS300" s="68"/>
      <c r="AT300" s="68"/>
      <c r="AU300" s="70"/>
      <c r="AV300" s="72"/>
      <c r="AW300" s="69"/>
      <c r="AX300" s="69"/>
      <c r="AY300" s="69"/>
      <c r="AZ300" s="69"/>
      <c r="BA300" s="69"/>
      <c r="BB300" s="69"/>
      <c r="BC300" s="69"/>
      <c r="BD300" s="70"/>
      <c r="BE300" s="71"/>
      <c r="BF300" s="68"/>
      <c r="BG300" s="68"/>
      <c r="BH300" s="70"/>
      <c r="BI300" s="67"/>
      <c r="BJ300" s="68"/>
      <c r="BK300" s="70"/>
      <c r="BL300" s="71"/>
      <c r="BM300" s="68"/>
      <c r="BN300" s="69"/>
      <c r="BO300" s="78"/>
      <c r="BP300" s="37">
        <f t="shared" si="27"/>
        <v>0</v>
      </c>
    </row>
    <row r="301" spans="1:68" ht="25.5" customHeight="1" thickTop="1" thickBot="1" x14ac:dyDescent="0.2">
      <c r="A301" s="17">
        <f t="shared" si="28"/>
        <v>286</v>
      </c>
      <c r="B301" s="1044"/>
      <c r="C301" s="1045"/>
      <c r="D301" s="38"/>
      <c r="E301" s="954"/>
      <c r="F301" s="53"/>
      <c r="G301" s="39"/>
      <c r="H301" s="1050"/>
      <c r="I301" s="684" t="str">
        <f t="shared" si="24"/>
        <v/>
      </c>
      <c r="J301" s="754">
        <f t="shared" si="25"/>
        <v>0</v>
      </c>
      <c r="K301" s="1254"/>
      <c r="L301" s="1253"/>
      <c r="M301" s="1253"/>
      <c r="N301" s="773" t="str">
        <f t="shared" si="29"/>
        <v/>
      </c>
      <c r="O301" s="774" t="str">
        <f>IF('Set up ~ Config'!$G$32=6,IF(OR($N301=7,$N301=8,$N301=9),1,IF(OR($N301=10,$N301=11,$N301=12),2,IF(OR($N301=1,$N301=2,$N301=3),3,IF(OR($N301=4,$N301=5,$N301=6),4,"")))),IF(OR($N301=9,$N301=10,$N301=11),1,IF(OR($N301=12,$N301=1,$N301=2),2,IF(OR($N301=3,$N301=4,$N301=5),3,IF(OR($N301=6,$N301=7,$N301=8),4,"")))))</f>
        <v/>
      </c>
      <c r="P301" s="40"/>
      <c r="Q301" s="67"/>
      <c r="R301" s="68"/>
      <c r="S301" s="755">
        <f t="shared" si="26"/>
        <v>0</v>
      </c>
      <c r="T301" s="68"/>
      <c r="U301" s="68"/>
      <c r="V301" s="68"/>
      <c r="W301" s="68"/>
      <c r="X301" s="68"/>
      <c r="Y301" s="68"/>
      <c r="Z301" s="68"/>
      <c r="AA301" s="68"/>
      <c r="AB301" s="69"/>
      <c r="AC301" s="70"/>
      <c r="AD301" s="71"/>
      <c r="AE301" s="68"/>
      <c r="AF301" s="68"/>
      <c r="AG301" s="68"/>
      <c r="AH301" s="68"/>
      <c r="AI301" s="69"/>
      <c r="AJ301" s="69"/>
      <c r="AK301" s="68"/>
      <c r="AL301" s="77"/>
      <c r="AM301" s="71"/>
      <c r="AN301" s="68"/>
      <c r="AO301" s="68"/>
      <c r="AP301" s="68"/>
      <c r="AQ301" s="68"/>
      <c r="AR301" s="68"/>
      <c r="AS301" s="68"/>
      <c r="AT301" s="68"/>
      <c r="AU301" s="70"/>
      <c r="AV301" s="72"/>
      <c r="AW301" s="69"/>
      <c r="AX301" s="69"/>
      <c r="AY301" s="69"/>
      <c r="AZ301" s="69"/>
      <c r="BA301" s="69"/>
      <c r="BB301" s="69"/>
      <c r="BC301" s="69"/>
      <c r="BD301" s="70"/>
      <c r="BE301" s="71"/>
      <c r="BF301" s="68"/>
      <c r="BG301" s="68"/>
      <c r="BH301" s="70"/>
      <c r="BI301" s="67"/>
      <c r="BJ301" s="68"/>
      <c r="BK301" s="70"/>
      <c r="BL301" s="71"/>
      <c r="BM301" s="68"/>
      <c r="BN301" s="69"/>
      <c r="BO301" s="78"/>
      <c r="BP301" s="37">
        <f t="shared" si="27"/>
        <v>0</v>
      </c>
    </row>
    <row r="302" spans="1:68" ht="25.5" customHeight="1" thickTop="1" thickBot="1" x14ac:dyDescent="0.2">
      <c r="A302" s="17">
        <f t="shared" si="28"/>
        <v>287</v>
      </c>
      <c r="B302" s="1044"/>
      <c r="C302" s="1045"/>
      <c r="D302" s="38"/>
      <c r="E302" s="954"/>
      <c r="F302" s="53"/>
      <c r="G302" s="39"/>
      <c r="H302" s="1050"/>
      <c r="I302" s="684" t="str">
        <f t="shared" si="24"/>
        <v/>
      </c>
      <c r="J302" s="754">
        <f t="shared" si="25"/>
        <v>0</v>
      </c>
      <c r="K302" s="1254"/>
      <c r="L302" s="1253"/>
      <c r="M302" s="1253"/>
      <c r="N302" s="773" t="str">
        <f t="shared" si="29"/>
        <v/>
      </c>
      <c r="O302" s="774" t="str">
        <f>IF('Set up ~ Config'!$G$32=6,IF(OR($N302=7,$N302=8,$N302=9),1,IF(OR($N302=10,$N302=11,$N302=12),2,IF(OR($N302=1,$N302=2,$N302=3),3,IF(OR($N302=4,$N302=5,$N302=6),4,"")))),IF(OR($N302=9,$N302=10,$N302=11),1,IF(OR($N302=12,$N302=1,$N302=2),2,IF(OR($N302=3,$N302=4,$N302=5),3,IF(OR($N302=6,$N302=7,$N302=8),4,"")))))</f>
        <v/>
      </c>
      <c r="P302" s="40"/>
      <c r="Q302" s="67"/>
      <c r="R302" s="68"/>
      <c r="S302" s="755">
        <f t="shared" si="26"/>
        <v>0</v>
      </c>
      <c r="T302" s="68"/>
      <c r="U302" s="68"/>
      <c r="V302" s="68"/>
      <c r="W302" s="68"/>
      <c r="X302" s="68"/>
      <c r="Y302" s="68"/>
      <c r="Z302" s="68"/>
      <c r="AA302" s="68"/>
      <c r="AB302" s="69"/>
      <c r="AC302" s="70"/>
      <c r="AD302" s="71"/>
      <c r="AE302" s="68"/>
      <c r="AF302" s="68"/>
      <c r="AG302" s="68"/>
      <c r="AH302" s="68"/>
      <c r="AI302" s="69"/>
      <c r="AJ302" s="69"/>
      <c r="AK302" s="68"/>
      <c r="AL302" s="77"/>
      <c r="AM302" s="71"/>
      <c r="AN302" s="68"/>
      <c r="AO302" s="68"/>
      <c r="AP302" s="68"/>
      <c r="AQ302" s="68"/>
      <c r="AR302" s="68"/>
      <c r="AS302" s="68"/>
      <c r="AT302" s="68"/>
      <c r="AU302" s="70"/>
      <c r="AV302" s="72"/>
      <c r="AW302" s="69"/>
      <c r="AX302" s="69"/>
      <c r="AY302" s="69"/>
      <c r="AZ302" s="69"/>
      <c r="BA302" s="69"/>
      <c r="BB302" s="69"/>
      <c r="BC302" s="69"/>
      <c r="BD302" s="70"/>
      <c r="BE302" s="71"/>
      <c r="BF302" s="68"/>
      <c r="BG302" s="68"/>
      <c r="BH302" s="70"/>
      <c r="BI302" s="67"/>
      <c r="BJ302" s="68"/>
      <c r="BK302" s="70"/>
      <c r="BL302" s="71"/>
      <c r="BM302" s="68"/>
      <c r="BN302" s="69"/>
      <c r="BO302" s="78"/>
      <c r="BP302" s="37">
        <f t="shared" si="27"/>
        <v>0</v>
      </c>
    </row>
    <row r="303" spans="1:68" ht="25.5" customHeight="1" thickTop="1" thickBot="1" x14ac:dyDescent="0.2">
      <c r="A303" s="17">
        <f t="shared" si="28"/>
        <v>288</v>
      </c>
      <c r="B303" s="1044"/>
      <c r="C303" s="1045"/>
      <c r="D303" s="38"/>
      <c r="E303" s="954"/>
      <c r="F303" s="53"/>
      <c r="G303" s="39"/>
      <c r="H303" s="1050"/>
      <c r="I303" s="684" t="str">
        <f t="shared" si="24"/>
        <v/>
      </c>
      <c r="J303" s="754">
        <f t="shared" si="25"/>
        <v>0</v>
      </c>
      <c r="K303" s="1254"/>
      <c r="L303" s="1253"/>
      <c r="M303" s="1253"/>
      <c r="N303" s="773" t="str">
        <f t="shared" si="29"/>
        <v/>
      </c>
      <c r="O303" s="774" t="str">
        <f>IF('Set up ~ Config'!$G$32=6,IF(OR($N303=7,$N303=8,$N303=9),1,IF(OR($N303=10,$N303=11,$N303=12),2,IF(OR($N303=1,$N303=2,$N303=3),3,IF(OR($N303=4,$N303=5,$N303=6),4,"")))),IF(OR($N303=9,$N303=10,$N303=11),1,IF(OR($N303=12,$N303=1,$N303=2),2,IF(OR($N303=3,$N303=4,$N303=5),3,IF(OR($N303=6,$N303=7,$N303=8),4,"")))))</f>
        <v/>
      </c>
      <c r="P303" s="40"/>
      <c r="Q303" s="67"/>
      <c r="R303" s="68"/>
      <c r="S303" s="755">
        <f t="shared" si="26"/>
        <v>0</v>
      </c>
      <c r="T303" s="68"/>
      <c r="U303" s="68"/>
      <c r="V303" s="68"/>
      <c r="W303" s="68"/>
      <c r="X303" s="68"/>
      <c r="Y303" s="68"/>
      <c r="Z303" s="68"/>
      <c r="AA303" s="68"/>
      <c r="AB303" s="69"/>
      <c r="AC303" s="70"/>
      <c r="AD303" s="71"/>
      <c r="AE303" s="68"/>
      <c r="AF303" s="68"/>
      <c r="AG303" s="68"/>
      <c r="AH303" s="68"/>
      <c r="AI303" s="69"/>
      <c r="AJ303" s="69"/>
      <c r="AK303" s="68"/>
      <c r="AL303" s="77"/>
      <c r="AM303" s="71"/>
      <c r="AN303" s="68"/>
      <c r="AO303" s="68"/>
      <c r="AP303" s="68"/>
      <c r="AQ303" s="68"/>
      <c r="AR303" s="68"/>
      <c r="AS303" s="68"/>
      <c r="AT303" s="68"/>
      <c r="AU303" s="70"/>
      <c r="AV303" s="72"/>
      <c r="AW303" s="69"/>
      <c r="AX303" s="69"/>
      <c r="AY303" s="69"/>
      <c r="AZ303" s="69"/>
      <c r="BA303" s="69"/>
      <c r="BB303" s="69"/>
      <c r="BC303" s="69"/>
      <c r="BD303" s="70"/>
      <c r="BE303" s="71"/>
      <c r="BF303" s="68"/>
      <c r="BG303" s="68"/>
      <c r="BH303" s="70"/>
      <c r="BI303" s="67"/>
      <c r="BJ303" s="68"/>
      <c r="BK303" s="70"/>
      <c r="BL303" s="71"/>
      <c r="BM303" s="68"/>
      <c r="BN303" s="69"/>
      <c r="BO303" s="78"/>
      <c r="BP303" s="37">
        <f t="shared" si="27"/>
        <v>0</v>
      </c>
    </row>
    <row r="304" spans="1:68" ht="25.5" customHeight="1" thickTop="1" thickBot="1" x14ac:dyDescent="0.2">
      <c r="A304" s="17">
        <f t="shared" si="28"/>
        <v>289</v>
      </c>
      <c r="B304" s="1044"/>
      <c r="C304" s="1045"/>
      <c r="D304" s="38"/>
      <c r="E304" s="954"/>
      <c r="F304" s="53"/>
      <c r="G304" s="39"/>
      <c r="H304" s="1050"/>
      <c r="I304" s="684" t="str">
        <f t="shared" si="24"/>
        <v/>
      </c>
      <c r="J304" s="754">
        <f t="shared" si="25"/>
        <v>0</v>
      </c>
      <c r="K304" s="1254"/>
      <c r="L304" s="1253"/>
      <c r="M304" s="1253"/>
      <c r="N304" s="773" t="str">
        <f t="shared" si="29"/>
        <v/>
      </c>
      <c r="O304" s="774" t="str">
        <f>IF('Set up ~ Config'!$G$32=6,IF(OR($N304=7,$N304=8,$N304=9),1,IF(OR($N304=10,$N304=11,$N304=12),2,IF(OR($N304=1,$N304=2,$N304=3),3,IF(OR($N304=4,$N304=5,$N304=6),4,"")))),IF(OR($N304=9,$N304=10,$N304=11),1,IF(OR($N304=12,$N304=1,$N304=2),2,IF(OR($N304=3,$N304=4,$N304=5),3,IF(OR($N304=6,$N304=7,$N304=8),4,"")))))</f>
        <v/>
      </c>
      <c r="P304" s="40"/>
      <c r="Q304" s="67"/>
      <c r="R304" s="68"/>
      <c r="S304" s="755">
        <f t="shared" si="26"/>
        <v>0</v>
      </c>
      <c r="T304" s="68"/>
      <c r="U304" s="68"/>
      <c r="V304" s="68"/>
      <c r="W304" s="68"/>
      <c r="X304" s="68"/>
      <c r="Y304" s="68"/>
      <c r="Z304" s="68"/>
      <c r="AA304" s="68"/>
      <c r="AB304" s="69"/>
      <c r="AC304" s="70"/>
      <c r="AD304" s="71"/>
      <c r="AE304" s="68"/>
      <c r="AF304" s="68"/>
      <c r="AG304" s="68"/>
      <c r="AH304" s="68"/>
      <c r="AI304" s="69"/>
      <c r="AJ304" s="69"/>
      <c r="AK304" s="68"/>
      <c r="AL304" s="77"/>
      <c r="AM304" s="71"/>
      <c r="AN304" s="68"/>
      <c r="AO304" s="68"/>
      <c r="AP304" s="68"/>
      <c r="AQ304" s="68"/>
      <c r="AR304" s="68"/>
      <c r="AS304" s="68"/>
      <c r="AT304" s="68"/>
      <c r="AU304" s="70"/>
      <c r="AV304" s="72"/>
      <c r="AW304" s="69"/>
      <c r="AX304" s="69"/>
      <c r="AY304" s="69"/>
      <c r="AZ304" s="69"/>
      <c r="BA304" s="69"/>
      <c r="BB304" s="69"/>
      <c r="BC304" s="69"/>
      <c r="BD304" s="70"/>
      <c r="BE304" s="71"/>
      <c r="BF304" s="68"/>
      <c r="BG304" s="68"/>
      <c r="BH304" s="70"/>
      <c r="BI304" s="67"/>
      <c r="BJ304" s="68"/>
      <c r="BK304" s="70"/>
      <c r="BL304" s="71"/>
      <c r="BM304" s="68"/>
      <c r="BN304" s="69"/>
      <c r="BO304" s="78"/>
      <c r="BP304" s="37">
        <f t="shared" si="27"/>
        <v>0</v>
      </c>
    </row>
    <row r="305" spans="1:68" ht="25.5" customHeight="1" thickTop="1" thickBot="1" x14ac:dyDescent="0.2">
      <c r="A305" s="17">
        <f t="shared" si="28"/>
        <v>290</v>
      </c>
      <c r="B305" s="1044"/>
      <c r="C305" s="1046"/>
      <c r="D305" s="38"/>
      <c r="E305" s="954"/>
      <c r="F305" s="53"/>
      <c r="G305" s="39"/>
      <c r="H305" s="1050"/>
      <c r="I305" s="684" t="str">
        <f t="shared" si="24"/>
        <v/>
      </c>
      <c r="J305" s="754">
        <f t="shared" si="25"/>
        <v>0</v>
      </c>
      <c r="K305" s="1254"/>
      <c r="L305" s="1253"/>
      <c r="M305" s="1253"/>
      <c r="N305" s="773" t="str">
        <f t="shared" si="29"/>
        <v/>
      </c>
      <c r="O305" s="774" t="str">
        <f>IF('Set up ~ Config'!$G$32=6,IF(OR($N305=7,$N305=8,$N305=9),1,IF(OR($N305=10,$N305=11,$N305=12),2,IF(OR($N305=1,$N305=2,$N305=3),3,IF(OR($N305=4,$N305=5,$N305=6),4,"")))),IF(OR($N305=9,$N305=10,$N305=11),1,IF(OR($N305=12,$N305=1,$N305=2),2,IF(OR($N305=3,$N305=4,$N305=5),3,IF(OR($N305=6,$N305=7,$N305=8),4,"")))))</f>
        <v/>
      </c>
      <c r="P305" s="40"/>
      <c r="Q305" s="67"/>
      <c r="R305" s="68"/>
      <c r="S305" s="755">
        <f t="shared" si="26"/>
        <v>0</v>
      </c>
      <c r="T305" s="68"/>
      <c r="U305" s="68"/>
      <c r="V305" s="68"/>
      <c r="W305" s="68"/>
      <c r="X305" s="68"/>
      <c r="Y305" s="68"/>
      <c r="Z305" s="68"/>
      <c r="AA305" s="68"/>
      <c r="AB305" s="69"/>
      <c r="AC305" s="70"/>
      <c r="AD305" s="71"/>
      <c r="AE305" s="68"/>
      <c r="AF305" s="68"/>
      <c r="AG305" s="68"/>
      <c r="AH305" s="68"/>
      <c r="AI305" s="69"/>
      <c r="AJ305" s="69"/>
      <c r="AK305" s="68"/>
      <c r="AL305" s="77"/>
      <c r="AM305" s="71"/>
      <c r="AN305" s="68"/>
      <c r="AO305" s="68"/>
      <c r="AP305" s="68"/>
      <c r="AQ305" s="68"/>
      <c r="AR305" s="68"/>
      <c r="AS305" s="68"/>
      <c r="AT305" s="68"/>
      <c r="AU305" s="70"/>
      <c r="AV305" s="72"/>
      <c r="AW305" s="69"/>
      <c r="AX305" s="69"/>
      <c r="AY305" s="69"/>
      <c r="AZ305" s="69"/>
      <c r="BA305" s="69"/>
      <c r="BB305" s="69"/>
      <c r="BC305" s="69"/>
      <c r="BD305" s="70"/>
      <c r="BE305" s="71"/>
      <c r="BF305" s="68"/>
      <c r="BG305" s="68"/>
      <c r="BH305" s="70"/>
      <c r="BI305" s="67"/>
      <c r="BJ305" s="68"/>
      <c r="BK305" s="70"/>
      <c r="BL305" s="71"/>
      <c r="BM305" s="68"/>
      <c r="BN305" s="69"/>
      <c r="BO305" s="78"/>
      <c r="BP305" s="37">
        <f t="shared" si="27"/>
        <v>0</v>
      </c>
    </row>
    <row r="306" spans="1:68" ht="25.5" customHeight="1" thickTop="1" thickBot="1" x14ac:dyDescent="0.2">
      <c r="A306" s="17">
        <f t="shared" si="28"/>
        <v>291</v>
      </c>
      <c r="B306" s="1044"/>
      <c r="C306" s="1045"/>
      <c r="D306" s="38"/>
      <c r="E306" s="954"/>
      <c r="F306" s="53"/>
      <c r="G306" s="39"/>
      <c r="H306" s="1050"/>
      <c r="I306" s="684" t="str">
        <f t="shared" si="24"/>
        <v/>
      </c>
      <c r="J306" s="754">
        <f t="shared" si="25"/>
        <v>0</v>
      </c>
      <c r="K306" s="1254"/>
      <c r="L306" s="1253"/>
      <c r="M306" s="1253"/>
      <c r="N306" s="773" t="str">
        <f t="shared" si="29"/>
        <v/>
      </c>
      <c r="O306" s="774" t="str">
        <f>IF('Set up ~ Config'!$G$32=6,IF(OR($N306=7,$N306=8,$N306=9),1,IF(OR($N306=10,$N306=11,$N306=12),2,IF(OR($N306=1,$N306=2,$N306=3),3,IF(OR($N306=4,$N306=5,$N306=6),4,"")))),IF(OR($N306=9,$N306=10,$N306=11),1,IF(OR($N306=12,$N306=1,$N306=2),2,IF(OR($N306=3,$N306=4,$N306=5),3,IF(OR($N306=6,$N306=7,$N306=8),4,"")))))</f>
        <v/>
      </c>
      <c r="P306" s="40"/>
      <c r="Q306" s="67"/>
      <c r="R306" s="68"/>
      <c r="S306" s="755">
        <f t="shared" si="26"/>
        <v>0</v>
      </c>
      <c r="T306" s="68"/>
      <c r="U306" s="68"/>
      <c r="V306" s="68"/>
      <c r="W306" s="68"/>
      <c r="X306" s="68"/>
      <c r="Y306" s="68"/>
      <c r="Z306" s="68"/>
      <c r="AA306" s="68"/>
      <c r="AB306" s="69"/>
      <c r="AC306" s="70"/>
      <c r="AD306" s="71"/>
      <c r="AE306" s="68"/>
      <c r="AF306" s="68"/>
      <c r="AG306" s="68"/>
      <c r="AH306" s="68"/>
      <c r="AI306" s="69"/>
      <c r="AJ306" s="69"/>
      <c r="AK306" s="68"/>
      <c r="AL306" s="77"/>
      <c r="AM306" s="71"/>
      <c r="AN306" s="68"/>
      <c r="AO306" s="68"/>
      <c r="AP306" s="68"/>
      <c r="AQ306" s="68"/>
      <c r="AR306" s="68"/>
      <c r="AS306" s="68"/>
      <c r="AT306" s="68"/>
      <c r="AU306" s="70"/>
      <c r="AV306" s="72"/>
      <c r="AW306" s="69"/>
      <c r="AX306" s="69"/>
      <c r="AY306" s="69"/>
      <c r="AZ306" s="69"/>
      <c r="BA306" s="69"/>
      <c r="BB306" s="69"/>
      <c r="BC306" s="69"/>
      <c r="BD306" s="70"/>
      <c r="BE306" s="71"/>
      <c r="BF306" s="68"/>
      <c r="BG306" s="68"/>
      <c r="BH306" s="70"/>
      <c r="BI306" s="67"/>
      <c r="BJ306" s="68"/>
      <c r="BK306" s="70"/>
      <c r="BL306" s="71"/>
      <c r="BM306" s="68"/>
      <c r="BN306" s="69"/>
      <c r="BO306" s="78"/>
      <c r="BP306" s="37">
        <f t="shared" si="27"/>
        <v>0</v>
      </c>
    </row>
    <row r="307" spans="1:68" ht="25.5" customHeight="1" thickTop="1" thickBot="1" x14ac:dyDescent="0.2">
      <c r="A307" s="17">
        <f t="shared" si="28"/>
        <v>292</v>
      </c>
      <c r="B307" s="1044"/>
      <c r="C307" s="1045"/>
      <c r="D307" s="38"/>
      <c r="E307" s="954"/>
      <c r="F307" s="53"/>
      <c r="G307" s="39"/>
      <c r="H307" s="1050"/>
      <c r="I307" s="684" t="str">
        <f t="shared" si="24"/>
        <v/>
      </c>
      <c r="J307" s="754">
        <f t="shared" si="25"/>
        <v>0</v>
      </c>
      <c r="K307" s="1254"/>
      <c r="L307" s="1253"/>
      <c r="M307" s="1253"/>
      <c r="N307" s="773" t="str">
        <f t="shared" si="29"/>
        <v/>
      </c>
      <c r="O307" s="774" t="str">
        <f>IF('Set up ~ Config'!$G$32=6,IF(OR($N307=7,$N307=8,$N307=9),1,IF(OR($N307=10,$N307=11,$N307=12),2,IF(OR($N307=1,$N307=2,$N307=3),3,IF(OR($N307=4,$N307=5,$N307=6),4,"")))),IF(OR($N307=9,$N307=10,$N307=11),1,IF(OR($N307=12,$N307=1,$N307=2),2,IF(OR($N307=3,$N307=4,$N307=5),3,IF(OR($N307=6,$N307=7,$N307=8),4,"")))))</f>
        <v/>
      </c>
      <c r="P307" s="40"/>
      <c r="Q307" s="67"/>
      <c r="R307" s="68"/>
      <c r="S307" s="755">
        <f t="shared" si="26"/>
        <v>0</v>
      </c>
      <c r="T307" s="68"/>
      <c r="U307" s="68"/>
      <c r="V307" s="68"/>
      <c r="W307" s="68"/>
      <c r="X307" s="68"/>
      <c r="Y307" s="68"/>
      <c r="Z307" s="68"/>
      <c r="AA307" s="68"/>
      <c r="AB307" s="69"/>
      <c r="AC307" s="70"/>
      <c r="AD307" s="71"/>
      <c r="AE307" s="68"/>
      <c r="AF307" s="68"/>
      <c r="AG307" s="68"/>
      <c r="AH307" s="68"/>
      <c r="AI307" s="69"/>
      <c r="AJ307" s="69"/>
      <c r="AK307" s="68"/>
      <c r="AL307" s="77"/>
      <c r="AM307" s="71"/>
      <c r="AN307" s="68"/>
      <c r="AO307" s="68"/>
      <c r="AP307" s="68"/>
      <c r="AQ307" s="68"/>
      <c r="AR307" s="68"/>
      <c r="AS307" s="68"/>
      <c r="AT307" s="68"/>
      <c r="AU307" s="70"/>
      <c r="AV307" s="72"/>
      <c r="AW307" s="69"/>
      <c r="AX307" s="69"/>
      <c r="AY307" s="69"/>
      <c r="AZ307" s="69"/>
      <c r="BA307" s="69"/>
      <c r="BB307" s="69"/>
      <c r="BC307" s="69"/>
      <c r="BD307" s="70"/>
      <c r="BE307" s="71"/>
      <c r="BF307" s="68"/>
      <c r="BG307" s="68"/>
      <c r="BH307" s="70"/>
      <c r="BI307" s="67"/>
      <c r="BJ307" s="68"/>
      <c r="BK307" s="70"/>
      <c r="BL307" s="71"/>
      <c r="BM307" s="68"/>
      <c r="BN307" s="69"/>
      <c r="BO307" s="78"/>
      <c r="BP307" s="37">
        <f t="shared" si="27"/>
        <v>0</v>
      </c>
    </row>
    <row r="308" spans="1:68" ht="25.5" customHeight="1" thickTop="1" thickBot="1" x14ac:dyDescent="0.2">
      <c r="A308" s="17">
        <f t="shared" si="28"/>
        <v>293</v>
      </c>
      <c r="B308" s="1044"/>
      <c r="C308" s="1045"/>
      <c r="D308" s="38"/>
      <c r="E308" s="954"/>
      <c r="F308" s="53"/>
      <c r="G308" s="39"/>
      <c r="H308" s="1050"/>
      <c r="I308" s="684" t="str">
        <f t="shared" si="24"/>
        <v/>
      </c>
      <c r="J308" s="754">
        <f t="shared" si="25"/>
        <v>0</v>
      </c>
      <c r="K308" s="1254"/>
      <c r="L308" s="1253"/>
      <c r="M308" s="1253"/>
      <c r="N308" s="773" t="str">
        <f t="shared" si="29"/>
        <v/>
      </c>
      <c r="O308" s="774" t="str">
        <f>IF('Set up ~ Config'!$G$32=6,IF(OR($N308=7,$N308=8,$N308=9),1,IF(OR($N308=10,$N308=11,$N308=12),2,IF(OR($N308=1,$N308=2,$N308=3),3,IF(OR($N308=4,$N308=5,$N308=6),4,"")))),IF(OR($N308=9,$N308=10,$N308=11),1,IF(OR($N308=12,$N308=1,$N308=2),2,IF(OR($N308=3,$N308=4,$N308=5),3,IF(OR($N308=6,$N308=7,$N308=8),4,"")))))</f>
        <v/>
      </c>
      <c r="P308" s="40"/>
      <c r="Q308" s="67"/>
      <c r="R308" s="68"/>
      <c r="S308" s="755">
        <f t="shared" si="26"/>
        <v>0</v>
      </c>
      <c r="T308" s="68"/>
      <c r="U308" s="68"/>
      <c r="V308" s="68"/>
      <c r="W308" s="68"/>
      <c r="X308" s="68"/>
      <c r="Y308" s="68"/>
      <c r="Z308" s="68"/>
      <c r="AA308" s="68"/>
      <c r="AB308" s="69"/>
      <c r="AC308" s="70"/>
      <c r="AD308" s="71"/>
      <c r="AE308" s="68"/>
      <c r="AF308" s="68"/>
      <c r="AG308" s="68"/>
      <c r="AH308" s="68"/>
      <c r="AI308" s="69"/>
      <c r="AJ308" s="69"/>
      <c r="AK308" s="68"/>
      <c r="AL308" s="77"/>
      <c r="AM308" s="71"/>
      <c r="AN308" s="68"/>
      <c r="AO308" s="68"/>
      <c r="AP308" s="68"/>
      <c r="AQ308" s="68"/>
      <c r="AR308" s="68"/>
      <c r="AS308" s="68"/>
      <c r="AT308" s="68"/>
      <c r="AU308" s="70"/>
      <c r="AV308" s="72"/>
      <c r="AW308" s="69"/>
      <c r="AX308" s="69"/>
      <c r="AY308" s="69"/>
      <c r="AZ308" s="69"/>
      <c r="BA308" s="69"/>
      <c r="BB308" s="69"/>
      <c r="BC308" s="69"/>
      <c r="BD308" s="70"/>
      <c r="BE308" s="71"/>
      <c r="BF308" s="68"/>
      <c r="BG308" s="68"/>
      <c r="BH308" s="70"/>
      <c r="BI308" s="67"/>
      <c r="BJ308" s="68"/>
      <c r="BK308" s="70"/>
      <c r="BL308" s="71"/>
      <c r="BM308" s="68"/>
      <c r="BN308" s="69"/>
      <c r="BO308" s="78"/>
      <c r="BP308" s="37">
        <f t="shared" si="27"/>
        <v>0</v>
      </c>
    </row>
    <row r="309" spans="1:68" ht="25.5" customHeight="1" thickTop="1" thickBot="1" x14ac:dyDescent="0.2">
      <c r="A309" s="17">
        <f t="shared" si="28"/>
        <v>294</v>
      </c>
      <c r="B309" s="1044"/>
      <c r="C309" s="1045"/>
      <c r="D309" s="38"/>
      <c r="E309" s="954"/>
      <c r="F309" s="53"/>
      <c r="G309" s="39"/>
      <c r="H309" s="1050"/>
      <c r="I309" s="684" t="str">
        <f t="shared" si="24"/>
        <v/>
      </c>
      <c r="J309" s="754">
        <f t="shared" si="25"/>
        <v>0</v>
      </c>
      <c r="K309" s="1254"/>
      <c r="L309" s="1253"/>
      <c r="M309" s="1253"/>
      <c r="N309" s="773" t="str">
        <f t="shared" si="29"/>
        <v/>
      </c>
      <c r="O309" s="774" t="str">
        <f>IF('Set up ~ Config'!$G$32=6,IF(OR($N309=7,$N309=8,$N309=9),1,IF(OR($N309=10,$N309=11,$N309=12),2,IF(OR($N309=1,$N309=2,$N309=3),3,IF(OR($N309=4,$N309=5,$N309=6),4,"")))),IF(OR($N309=9,$N309=10,$N309=11),1,IF(OR($N309=12,$N309=1,$N309=2),2,IF(OR($N309=3,$N309=4,$N309=5),3,IF(OR($N309=6,$N309=7,$N309=8),4,"")))))</f>
        <v/>
      </c>
      <c r="P309" s="40"/>
      <c r="Q309" s="67"/>
      <c r="R309" s="68"/>
      <c r="S309" s="755">
        <f t="shared" si="26"/>
        <v>0</v>
      </c>
      <c r="T309" s="68"/>
      <c r="U309" s="68"/>
      <c r="V309" s="68"/>
      <c r="W309" s="68"/>
      <c r="X309" s="68"/>
      <c r="Y309" s="68"/>
      <c r="Z309" s="68"/>
      <c r="AA309" s="68"/>
      <c r="AB309" s="69"/>
      <c r="AC309" s="70"/>
      <c r="AD309" s="71"/>
      <c r="AE309" s="68"/>
      <c r="AF309" s="68"/>
      <c r="AG309" s="68"/>
      <c r="AH309" s="68"/>
      <c r="AI309" s="69"/>
      <c r="AJ309" s="69"/>
      <c r="AK309" s="68"/>
      <c r="AL309" s="77"/>
      <c r="AM309" s="71"/>
      <c r="AN309" s="68"/>
      <c r="AO309" s="68"/>
      <c r="AP309" s="68"/>
      <c r="AQ309" s="68"/>
      <c r="AR309" s="68"/>
      <c r="AS309" s="68"/>
      <c r="AT309" s="68"/>
      <c r="AU309" s="70"/>
      <c r="AV309" s="72"/>
      <c r="AW309" s="69"/>
      <c r="AX309" s="69"/>
      <c r="AY309" s="69"/>
      <c r="AZ309" s="69"/>
      <c r="BA309" s="69"/>
      <c r="BB309" s="69"/>
      <c r="BC309" s="69"/>
      <c r="BD309" s="70"/>
      <c r="BE309" s="71"/>
      <c r="BF309" s="68"/>
      <c r="BG309" s="68"/>
      <c r="BH309" s="70"/>
      <c r="BI309" s="67"/>
      <c r="BJ309" s="68"/>
      <c r="BK309" s="70"/>
      <c r="BL309" s="71"/>
      <c r="BM309" s="68"/>
      <c r="BN309" s="69"/>
      <c r="BO309" s="78"/>
      <c r="BP309" s="37">
        <f t="shared" si="27"/>
        <v>0</v>
      </c>
    </row>
    <row r="310" spans="1:68" ht="25.5" customHeight="1" thickTop="1" thickBot="1" x14ac:dyDescent="0.2">
      <c r="A310" s="17">
        <f t="shared" si="28"/>
        <v>295</v>
      </c>
      <c r="B310" s="1044"/>
      <c r="C310" s="1045"/>
      <c r="D310" s="38"/>
      <c r="E310" s="954"/>
      <c r="F310" s="53"/>
      <c r="G310" s="39"/>
      <c r="H310" s="1050"/>
      <c r="I310" s="684" t="str">
        <f t="shared" si="24"/>
        <v/>
      </c>
      <c r="J310" s="754">
        <f t="shared" si="25"/>
        <v>0</v>
      </c>
      <c r="K310" s="1254"/>
      <c r="L310" s="1253"/>
      <c r="M310" s="1253"/>
      <c r="N310" s="773" t="str">
        <f t="shared" si="29"/>
        <v/>
      </c>
      <c r="O310" s="774" t="str">
        <f>IF('Set up ~ Config'!$G$32=6,IF(OR($N310=7,$N310=8,$N310=9),1,IF(OR($N310=10,$N310=11,$N310=12),2,IF(OR($N310=1,$N310=2,$N310=3),3,IF(OR($N310=4,$N310=5,$N310=6),4,"")))),IF(OR($N310=9,$N310=10,$N310=11),1,IF(OR($N310=12,$N310=1,$N310=2),2,IF(OR($N310=3,$N310=4,$N310=5),3,IF(OR($N310=6,$N310=7,$N310=8),4,"")))))</f>
        <v/>
      </c>
      <c r="P310" s="40"/>
      <c r="Q310" s="67"/>
      <c r="R310" s="68"/>
      <c r="S310" s="755">
        <f t="shared" si="26"/>
        <v>0</v>
      </c>
      <c r="T310" s="68"/>
      <c r="U310" s="68"/>
      <c r="V310" s="68"/>
      <c r="W310" s="68"/>
      <c r="X310" s="68"/>
      <c r="Y310" s="68"/>
      <c r="Z310" s="68"/>
      <c r="AA310" s="68"/>
      <c r="AB310" s="69"/>
      <c r="AC310" s="70"/>
      <c r="AD310" s="71"/>
      <c r="AE310" s="68"/>
      <c r="AF310" s="68"/>
      <c r="AG310" s="68"/>
      <c r="AH310" s="68"/>
      <c r="AI310" s="69"/>
      <c r="AJ310" s="69"/>
      <c r="AK310" s="68"/>
      <c r="AL310" s="77"/>
      <c r="AM310" s="71"/>
      <c r="AN310" s="68"/>
      <c r="AO310" s="68"/>
      <c r="AP310" s="68"/>
      <c r="AQ310" s="68"/>
      <c r="AR310" s="68"/>
      <c r="AS310" s="68"/>
      <c r="AT310" s="68"/>
      <c r="AU310" s="70"/>
      <c r="AV310" s="72"/>
      <c r="AW310" s="69"/>
      <c r="AX310" s="69"/>
      <c r="AY310" s="69"/>
      <c r="AZ310" s="69"/>
      <c r="BA310" s="69"/>
      <c r="BB310" s="69"/>
      <c r="BC310" s="69"/>
      <c r="BD310" s="70"/>
      <c r="BE310" s="71"/>
      <c r="BF310" s="68"/>
      <c r="BG310" s="68"/>
      <c r="BH310" s="70"/>
      <c r="BI310" s="67"/>
      <c r="BJ310" s="68"/>
      <c r="BK310" s="70"/>
      <c r="BL310" s="71"/>
      <c r="BM310" s="68"/>
      <c r="BN310" s="69"/>
      <c r="BO310" s="78"/>
      <c r="BP310" s="37">
        <f t="shared" si="27"/>
        <v>0</v>
      </c>
    </row>
    <row r="311" spans="1:68" ht="25.5" customHeight="1" thickTop="1" thickBot="1" x14ac:dyDescent="0.2">
      <c r="A311" s="17">
        <f t="shared" si="28"/>
        <v>296</v>
      </c>
      <c r="B311" s="1044"/>
      <c r="C311" s="1045"/>
      <c r="D311" s="38"/>
      <c r="E311" s="954"/>
      <c r="F311" s="53"/>
      <c r="G311" s="39"/>
      <c r="H311" s="1050"/>
      <c r="I311" s="684" t="str">
        <f t="shared" si="24"/>
        <v/>
      </c>
      <c r="J311" s="754">
        <f t="shared" si="25"/>
        <v>0</v>
      </c>
      <c r="K311" s="1254"/>
      <c r="L311" s="1253"/>
      <c r="M311" s="1253"/>
      <c r="N311" s="773" t="str">
        <f t="shared" si="29"/>
        <v/>
      </c>
      <c r="O311" s="774" t="str">
        <f>IF('Set up ~ Config'!$G$32=6,IF(OR($N311=7,$N311=8,$N311=9),1,IF(OR($N311=10,$N311=11,$N311=12),2,IF(OR($N311=1,$N311=2,$N311=3),3,IF(OR($N311=4,$N311=5,$N311=6),4,"")))),IF(OR($N311=9,$N311=10,$N311=11),1,IF(OR($N311=12,$N311=1,$N311=2),2,IF(OR($N311=3,$N311=4,$N311=5),3,IF(OR($N311=6,$N311=7,$N311=8),4,"")))))</f>
        <v/>
      </c>
      <c r="P311" s="40"/>
      <c r="Q311" s="67"/>
      <c r="R311" s="68"/>
      <c r="S311" s="755">
        <f t="shared" si="26"/>
        <v>0</v>
      </c>
      <c r="T311" s="68"/>
      <c r="U311" s="68"/>
      <c r="V311" s="68"/>
      <c r="W311" s="68"/>
      <c r="X311" s="68"/>
      <c r="Y311" s="68"/>
      <c r="Z311" s="68"/>
      <c r="AA311" s="68"/>
      <c r="AB311" s="69"/>
      <c r="AC311" s="70"/>
      <c r="AD311" s="71"/>
      <c r="AE311" s="68"/>
      <c r="AF311" s="68"/>
      <c r="AG311" s="68"/>
      <c r="AH311" s="68"/>
      <c r="AI311" s="69"/>
      <c r="AJ311" s="69"/>
      <c r="AK311" s="68"/>
      <c r="AL311" s="77"/>
      <c r="AM311" s="71"/>
      <c r="AN311" s="68"/>
      <c r="AO311" s="68"/>
      <c r="AP311" s="68"/>
      <c r="AQ311" s="68"/>
      <c r="AR311" s="68"/>
      <c r="AS311" s="68"/>
      <c r="AT311" s="68"/>
      <c r="AU311" s="70"/>
      <c r="AV311" s="72"/>
      <c r="AW311" s="69"/>
      <c r="AX311" s="69"/>
      <c r="AY311" s="69"/>
      <c r="AZ311" s="69"/>
      <c r="BA311" s="69"/>
      <c r="BB311" s="69"/>
      <c r="BC311" s="69"/>
      <c r="BD311" s="70"/>
      <c r="BE311" s="71"/>
      <c r="BF311" s="68"/>
      <c r="BG311" s="68"/>
      <c r="BH311" s="70"/>
      <c r="BI311" s="67"/>
      <c r="BJ311" s="68"/>
      <c r="BK311" s="70"/>
      <c r="BL311" s="71"/>
      <c r="BM311" s="68"/>
      <c r="BN311" s="69"/>
      <c r="BO311" s="78"/>
      <c r="BP311" s="37">
        <f t="shared" si="27"/>
        <v>0</v>
      </c>
    </row>
    <row r="312" spans="1:68" ht="25.5" customHeight="1" thickTop="1" thickBot="1" x14ac:dyDescent="0.2">
      <c r="A312" s="17">
        <f t="shared" si="28"/>
        <v>297</v>
      </c>
      <c r="B312" s="1044"/>
      <c r="C312" s="1046"/>
      <c r="D312" s="38"/>
      <c r="E312" s="954"/>
      <c r="F312" s="53"/>
      <c r="G312" s="39"/>
      <c r="H312" s="1050"/>
      <c r="I312" s="684" t="str">
        <f t="shared" si="24"/>
        <v/>
      </c>
      <c r="J312" s="754">
        <f t="shared" si="25"/>
        <v>0</v>
      </c>
      <c r="K312" s="1254"/>
      <c r="L312" s="1253"/>
      <c r="M312" s="1253"/>
      <c r="N312" s="773" t="str">
        <f t="shared" si="29"/>
        <v/>
      </c>
      <c r="O312" s="774" t="str">
        <f>IF('Set up ~ Config'!$G$32=6,IF(OR($N312=7,$N312=8,$N312=9),1,IF(OR($N312=10,$N312=11,$N312=12),2,IF(OR($N312=1,$N312=2,$N312=3),3,IF(OR($N312=4,$N312=5,$N312=6),4,"")))),IF(OR($N312=9,$N312=10,$N312=11),1,IF(OR($N312=12,$N312=1,$N312=2),2,IF(OR($N312=3,$N312=4,$N312=5),3,IF(OR($N312=6,$N312=7,$N312=8),4,"")))))</f>
        <v/>
      </c>
      <c r="P312" s="40"/>
      <c r="Q312" s="67"/>
      <c r="R312" s="68"/>
      <c r="S312" s="755">
        <f t="shared" si="26"/>
        <v>0</v>
      </c>
      <c r="T312" s="68"/>
      <c r="U312" s="68"/>
      <c r="V312" s="68"/>
      <c r="W312" s="68"/>
      <c r="X312" s="68"/>
      <c r="Y312" s="68"/>
      <c r="Z312" s="68"/>
      <c r="AA312" s="68"/>
      <c r="AB312" s="69"/>
      <c r="AC312" s="70"/>
      <c r="AD312" s="71"/>
      <c r="AE312" s="68"/>
      <c r="AF312" s="68"/>
      <c r="AG312" s="68"/>
      <c r="AH312" s="68"/>
      <c r="AI312" s="69"/>
      <c r="AJ312" s="69"/>
      <c r="AK312" s="68"/>
      <c r="AL312" s="77"/>
      <c r="AM312" s="71"/>
      <c r="AN312" s="68"/>
      <c r="AO312" s="68"/>
      <c r="AP312" s="68"/>
      <c r="AQ312" s="68"/>
      <c r="AR312" s="68"/>
      <c r="AS312" s="68"/>
      <c r="AT312" s="68"/>
      <c r="AU312" s="70"/>
      <c r="AV312" s="72"/>
      <c r="AW312" s="69"/>
      <c r="AX312" s="69"/>
      <c r="AY312" s="69"/>
      <c r="AZ312" s="69"/>
      <c r="BA312" s="69"/>
      <c r="BB312" s="69"/>
      <c r="BC312" s="69"/>
      <c r="BD312" s="70"/>
      <c r="BE312" s="71"/>
      <c r="BF312" s="68"/>
      <c r="BG312" s="68"/>
      <c r="BH312" s="70"/>
      <c r="BI312" s="67"/>
      <c r="BJ312" s="68"/>
      <c r="BK312" s="70"/>
      <c r="BL312" s="71"/>
      <c r="BM312" s="68"/>
      <c r="BN312" s="69"/>
      <c r="BO312" s="78"/>
      <c r="BP312" s="37">
        <f t="shared" si="27"/>
        <v>0</v>
      </c>
    </row>
    <row r="313" spans="1:68" ht="25.5" customHeight="1" thickTop="1" thickBot="1" x14ac:dyDescent="0.2">
      <c r="A313" s="17">
        <f t="shared" si="28"/>
        <v>298</v>
      </c>
      <c r="B313" s="1044"/>
      <c r="C313" s="1045"/>
      <c r="D313" s="38"/>
      <c r="E313" s="954"/>
      <c r="F313" s="53"/>
      <c r="G313" s="39"/>
      <c r="H313" s="1050"/>
      <c r="I313" s="684" t="str">
        <f t="shared" si="24"/>
        <v/>
      </c>
      <c r="J313" s="754">
        <f t="shared" si="25"/>
        <v>0</v>
      </c>
      <c r="K313" s="1254"/>
      <c r="L313" s="1253"/>
      <c r="M313" s="1253"/>
      <c r="N313" s="773" t="str">
        <f t="shared" si="29"/>
        <v/>
      </c>
      <c r="O313" s="774" t="str">
        <f>IF('Set up ~ Config'!$G$32=6,IF(OR($N313=7,$N313=8,$N313=9),1,IF(OR($N313=10,$N313=11,$N313=12),2,IF(OR($N313=1,$N313=2,$N313=3),3,IF(OR($N313=4,$N313=5,$N313=6),4,"")))),IF(OR($N313=9,$N313=10,$N313=11),1,IF(OR($N313=12,$N313=1,$N313=2),2,IF(OR($N313=3,$N313=4,$N313=5),3,IF(OR($N313=6,$N313=7,$N313=8),4,"")))))</f>
        <v/>
      </c>
      <c r="P313" s="40"/>
      <c r="Q313" s="67"/>
      <c r="R313" s="68"/>
      <c r="S313" s="755">
        <f t="shared" si="26"/>
        <v>0</v>
      </c>
      <c r="T313" s="68"/>
      <c r="U313" s="68"/>
      <c r="V313" s="68"/>
      <c r="W313" s="68"/>
      <c r="X313" s="68"/>
      <c r="Y313" s="68"/>
      <c r="Z313" s="68"/>
      <c r="AA313" s="68"/>
      <c r="AB313" s="69"/>
      <c r="AC313" s="70"/>
      <c r="AD313" s="71"/>
      <c r="AE313" s="68"/>
      <c r="AF313" s="68"/>
      <c r="AG313" s="68"/>
      <c r="AH313" s="68"/>
      <c r="AI313" s="69"/>
      <c r="AJ313" s="69"/>
      <c r="AK313" s="68"/>
      <c r="AL313" s="77"/>
      <c r="AM313" s="71"/>
      <c r="AN313" s="68"/>
      <c r="AO313" s="68"/>
      <c r="AP313" s="68"/>
      <c r="AQ313" s="68"/>
      <c r="AR313" s="68"/>
      <c r="AS313" s="68"/>
      <c r="AT313" s="68"/>
      <c r="AU313" s="70"/>
      <c r="AV313" s="72"/>
      <c r="AW313" s="69"/>
      <c r="AX313" s="69"/>
      <c r="AY313" s="69"/>
      <c r="AZ313" s="69"/>
      <c r="BA313" s="69"/>
      <c r="BB313" s="69"/>
      <c r="BC313" s="69"/>
      <c r="BD313" s="70"/>
      <c r="BE313" s="71"/>
      <c r="BF313" s="68"/>
      <c r="BG313" s="68"/>
      <c r="BH313" s="70"/>
      <c r="BI313" s="67"/>
      <c r="BJ313" s="68"/>
      <c r="BK313" s="70"/>
      <c r="BL313" s="71"/>
      <c r="BM313" s="68"/>
      <c r="BN313" s="69"/>
      <c r="BO313" s="78"/>
      <c r="BP313" s="37">
        <f t="shared" si="27"/>
        <v>0</v>
      </c>
    </row>
    <row r="314" spans="1:68" ht="25.5" customHeight="1" thickTop="1" thickBot="1" x14ac:dyDescent="0.2">
      <c r="A314" s="17">
        <f t="shared" si="28"/>
        <v>299</v>
      </c>
      <c r="B314" s="1044"/>
      <c r="C314" s="1045"/>
      <c r="D314" s="38"/>
      <c r="E314" s="954"/>
      <c r="F314" s="53"/>
      <c r="G314" s="39"/>
      <c r="H314" s="1050"/>
      <c r="I314" s="684" t="str">
        <f t="shared" si="24"/>
        <v/>
      </c>
      <c r="J314" s="754">
        <f t="shared" si="25"/>
        <v>0</v>
      </c>
      <c r="K314" s="1254"/>
      <c r="L314" s="1253"/>
      <c r="M314" s="1253"/>
      <c r="N314" s="773" t="str">
        <f t="shared" si="29"/>
        <v/>
      </c>
      <c r="O314" s="774" t="str">
        <f>IF('Set up ~ Config'!$G$32=6,IF(OR($N314=7,$N314=8,$N314=9),1,IF(OR($N314=10,$N314=11,$N314=12),2,IF(OR($N314=1,$N314=2,$N314=3),3,IF(OR($N314=4,$N314=5,$N314=6),4,"")))),IF(OR($N314=9,$N314=10,$N314=11),1,IF(OR($N314=12,$N314=1,$N314=2),2,IF(OR($N314=3,$N314=4,$N314=5),3,IF(OR($N314=6,$N314=7,$N314=8),4,"")))))</f>
        <v/>
      </c>
      <c r="P314" s="40"/>
      <c r="Q314" s="67"/>
      <c r="R314" s="68"/>
      <c r="S314" s="755">
        <f t="shared" si="26"/>
        <v>0</v>
      </c>
      <c r="T314" s="68"/>
      <c r="U314" s="68"/>
      <c r="V314" s="68"/>
      <c r="W314" s="68"/>
      <c r="X314" s="68"/>
      <c r="Y314" s="68"/>
      <c r="Z314" s="68"/>
      <c r="AA314" s="68"/>
      <c r="AB314" s="69"/>
      <c r="AC314" s="70"/>
      <c r="AD314" s="71"/>
      <c r="AE314" s="68"/>
      <c r="AF314" s="68"/>
      <c r="AG314" s="68"/>
      <c r="AH314" s="68"/>
      <c r="AI314" s="69"/>
      <c r="AJ314" s="69"/>
      <c r="AK314" s="68"/>
      <c r="AL314" s="77"/>
      <c r="AM314" s="71"/>
      <c r="AN314" s="68"/>
      <c r="AO314" s="68"/>
      <c r="AP314" s="68"/>
      <c r="AQ314" s="68"/>
      <c r="AR314" s="68"/>
      <c r="AS314" s="68"/>
      <c r="AT314" s="68"/>
      <c r="AU314" s="70"/>
      <c r="AV314" s="72"/>
      <c r="AW314" s="69"/>
      <c r="AX314" s="69"/>
      <c r="AY314" s="69"/>
      <c r="AZ314" s="69"/>
      <c r="BA314" s="69"/>
      <c r="BB314" s="69"/>
      <c r="BC314" s="69"/>
      <c r="BD314" s="70"/>
      <c r="BE314" s="71"/>
      <c r="BF314" s="68"/>
      <c r="BG314" s="68"/>
      <c r="BH314" s="70"/>
      <c r="BI314" s="67"/>
      <c r="BJ314" s="68"/>
      <c r="BK314" s="70"/>
      <c r="BL314" s="71"/>
      <c r="BM314" s="68"/>
      <c r="BN314" s="69"/>
      <c r="BO314" s="78"/>
      <c r="BP314" s="37">
        <f t="shared" si="27"/>
        <v>0</v>
      </c>
    </row>
    <row r="315" spans="1:68" ht="25.5" customHeight="1" thickTop="1" thickBot="1" x14ac:dyDescent="0.2">
      <c r="A315" s="17">
        <f t="shared" si="28"/>
        <v>300</v>
      </c>
      <c r="B315" s="1044"/>
      <c r="C315" s="1045"/>
      <c r="D315" s="38"/>
      <c r="E315" s="954"/>
      <c r="F315" s="53"/>
      <c r="G315" s="39"/>
      <c r="H315" s="1050"/>
      <c r="I315" s="684" t="str">
        <f t="shared" si="24"/>
        <v/>
      </c>
      <c r="J315" s="754">
        <f t="shared" si="25"/>
        <v>0</v>
      </c>
      <c r="K315" s="1254"/>
      <c r="L315" s="1253"/>
      <c r="M315" s="1253"/>
      <c r="N315" s="773" t="str">
        <f t="shared" si="29"/>
        <v/>
      </c>
      <c r="O315" s="774" t="str">
        <f>IF('Set up ~ Config'!$G$32=6,IF(OR($N315=7,$N315=8,$N315=9),1,IF(OR($N315=10,$N315=11,$N315=12),2,IF(OR($N315=1,$N315=2,$N315=3),3,IF(OR($N315=4,$N315=5,$N315=6),4,"")))),IF(OR($N315=9,$N315=10,$N315=11),1,IF(OR($N315=12,$N315=1,$N315=2),2,IF(OR($N315=3,$N315=4,$N315=5),3,IF(OR($N315=6,$N315=7,$N315=8),4,"")))))</f>
        <v/>
      </c>
      <c r="P315" s="40"/>
      <c r="Q315" s="67"/>
      <c r="R315" s="68"/>
      <c r="S315" s="755">
        <f t="shared" si="26"/>
        <v>0</v>
      </c>
      <c r="T315" s="68"/>
      <c r="U315" s="68"/>
      <c r="V315" s="68"/>
      <c r="W315" s="68"/>
      <c r="X315" s="68"/>
      <c r="Y315" s="68"/>
      <c r="Z315" s="68"/>
      <c r="AA315" s="68"/>
      <c r="AB315" s="69"/>
      <c r="AC315" s="70"/>
      <c r="AD315" s="71"/>
      <c r="AE315" s="68"/>
      <c r="AF315" s="68"/>
      <c r="AG315" s="68"/>
      <c r="AH315" s="68"/>
      <c r="AI315" s="69"/>
      <c r="AJ315" s="69"/>
      <c r="AK315" s="68"/>
      <c r="AL315" s="77"/>
      <c r="AM315" s="71"/>
      <c r="AN315" s="68"/>
      <c r="AO315" s="68"/>
      <c r="AP315" s="68"/>
      <c r="AQ315" s="68"/>
      <c r="AR315" s="68"/>
      <c r="AS315" s="68"/>
      <c r="AT315" s="68"/>
      <c r="AU315" s="70"/>
      <c r="AV315" s="72"/>
      <c r="AW315" s="69"/>
      <c r="AX315" s="69"/>
      <c r="AY315" s="69"/>
      <c r="AZ315" s="69"/>
      <c r="BA315" s="69"/>
      <c r="BB315" s="69"/>
      <c r="BC315" s="69"/>
      <c r="BD315" s="70"/>
      <c r="BE315" s="71"/>
      <c r="BF315" s="68"/>
      <c r="BG315" s="68"/>
      <c r="BH315" s="70"/>
      <c r="BI315" s="67"/>
      <c r="BJ315" s="68"/>
      <c r="BK315" s="70"/>
      <c r="BL315" s="71"/>
      <c r="BM315" s="68"/>
      <c r="BN315" s="69"/>
      <c r="BO315" s="78"/>
      <c r="BP315" s="37">
        <f t="shared" si="27"/>
        <v>0</v>
      </c>
    </row>
    <row r="316" spans="1:68" ht="25.5" customHeight="1" thickTop="1" thickBot="1" x14ac:dyDescent="0.2">
      <c r="A316" s="17">
        <f t="shared" si="28"/>
        <v>301</v>
      </c>
      <c r="B316" s="1044"/>
      <c r="C316" s="1045"/>
      <c r="D316" s="38"/>
      <c r="E316" s="954"/>
      <c r="F316" s="53"/>
      <c r="G316" s="39"/>
      <c r="H316" s="1050"/>
      <c r="I316" s="684" t="str">
        <f t="shared" si="24"/>
        <v/>
      </c>
      <c r="J316" s="754">
        <f t="shared" si="25"/>
        <v>0</v>
      </c>
      <c r="K316" s="1254"/>
      <c r="L316" s="1253"/>
      <c r="M316" s="1253"/>
      <c r="N316" s="773" t="str">
        <f t="shared" si="29"/>
        <v/>
      </c>
      <c r="O316" s="774" t="str">
        <f>IF('Set up ~ Config'!$G$32=6,IF(OR($N316=7,$N316=8,$N316=9),1,IF(OR($N316=10,$N316=11,$N316=12),2,IF(OR($N316=1,$N316=2,$N316=3),3,IF(OR($N316=4,$N316=5,$N316=6),4,"")))),IF(OR($N316=9,$N316=10,$N316=11),1,IF(OR($N316=12,$N316=1,$N316=2),2,IF(OR($N316=3,$N316=4,$N316=5),3,IF(OR($N316=6,$N316=7,$N316=8),4,"")))))</f>
        <v/>
      </c>
      <c r="P316" s="40"/>
      <c r="Q316" s="67"/>
      <c r="R316" s="68"/>
      <c r="S316" s="755">
        <f t="shared" si="26"/>
        <v>0</v>
      </c>
      <c r="T316" s="68"/>
      <c r="U316" s="68"/>
      <c r="V316" s="68"/>
      <c r="W316" s="68"/>
      <c r="X316" s="68"/>
      <c r="Y316" s="68"/>
      <c r="Z316" s="68"/>
      <c r="AA316" s="68"/>
      <c r="AB316" s="69"/>
      <c r="AC316" s="70"/>
      <c r="AD316" s="71"/>
      <c r="AE316" s="68"/>
      <c r="AF316" s="68"/>
      <c r="AG316" s="68"/>
      <c r="AH316" s="68"/>
      <c r="AI316" s="69"/>
      <c r="AJ316" s="69"/>
      <c r="AK316" s="68"/>
      <c r="AL316" s="77"/>
      <c r="AM316" s="71"/>
      <c r="AN316" s="68"/>
      <c r="AO316" s="68"/>
      <c r="AP316" s="68"/>
      <c r="AQ316" s="68"/>
      <c r="AR316" s="68"/>
      <c r="AS316" s="68"/>
      <c r="AT316" s="68"/>
      <c r="AU316" s="70"/>
      <c r="AV316" s="72"/>
      <c r="AW316" s="69"/>
      <c r="AX316" s="69"/>
      <c r="AY316" s="69"/>
      <c r="AZ316" s="69"/>
      <c r="BA316" s="69"/>
      <c r="BB316" s="69"/>
      <c r="BC316" s="69"/>
      <c r="BD316" s="70"/>
      <c r="BE316" s="71"/>
      <c r="BF316" s="68"/>
      <c r="BG316" s="68"/>
      <c r="BH316" s="70"/>
      <c r="BI316" s="67"/>
      <c r="BJ316" s="68"/>
      <c r="BK316" s="70"/>
      <c r="BL316" s="71"/>
      <c r="BM316" s="68"/>
      <c r="BN316" s="69"/>
      <c r="BO316" s="78"/>
      <c r="BP316" s="37">
        <f t="shared" si="27"/>
        <v>0</v>
      </c>
    </row>
    <row r="317" spans="1:68" ht="25.5" customHeight="1" thickTop="1" thickBot="1" x14ac:dyDescent="0.2">
      <c r="A317" s="17">
        <f t="shared" si="28"/>
        <v>302</v>
      </c>
      <c r="B317" s="1044"/>
      <c r="C317" s="1045"/>
      <c r="D317" s="38"/>
      <c r="E317" s="954"/>
      <c r="F317" s="53"/>
      <c r="G317" s="39"/>
      <c r="H317" s="1050"/>
      <c r="I317" s="684" t="str">
        <f t="shared" si="24"/>
        <v/>
      </c>
      <c r="J317" s="754">
        <f t="shared" si="25"/>
        <v>0</v>
      </c>
      <c r="K317" s="1254"/>
      <c r="L317" s="1253"/>
      <c r="M317" s="1253"/>
      <c r="N317" s="773" t="str">
        <f t="shared" si="29"/>
        <v/>
      </c>
      <c r="O317" s="774" t="str">
        <f>IF('Set up ~ Config'!$G$32=6,IF(OR($N317=7,$N317=8,$N317=9),1,IF(OR($N317=10,$N317=11,$N317=12),2,IF(OR($N317=1,$N317=2,$N317=3),3,IF(OR($N317=4,$N317=5,$N317=6),4,"")))),IF(OR($N317=9,$N317=10,$N317=11),1,IF(OR($N317=12,$N317=1,$N317=2),2,IF(OR($N317=3,$N317=4,$N317=5),3,IF(OR($N317=6,$N317=7,$N317=8),4,"")))))</f>
        <v/>
      </c>
      <c r="P317" s="40"/>
      <c r="Q317" s="67"/>
      <c r="R317" s="68"/>
      <c r="S317" s="755">
        <f t="shared" si="26"/>
        <v>0</v>
      </c>
      <c r="T317" s="68"/>
      <c r="U317" s="68"/>
      <c r="V317" s="68"/>
      <c r="W317" s="68"/>
      <c r="X317" s="68"/>
      <c r="Y317" s="68"/>
      <c r="Z317" s="68"/>
      <c r="AA317" s="68"/>
      <c r="AB317" s="69"/>
      <c r="AC317" s="70"/>
      <c r="AD317" s="71"/>
      <c r="AE317" s="68"/>
      <c r="AF317" s="68"/>
      <c r="AG317" s="68"/>
      <c r="AH317" s="68"/>
      <c r="AI317" s="69"/>
      <c r="AJ317" s="69"/>
      <c r="AK317" s="68"/>
      <c r="AL317" s="77"/>
      <c r="AM317" s="71"/>
      <c r="AN317" s="68"/>
      <c r="AO317" s="68"/>
      <c r="AP317" s="68"/>
      <c r="AQ317" s="68"/>
      <c r="AR317" s="68"/>
      <c r="AS317" s="68"/>
      <c r="AT317" s="68"/>
      <c r="AU317" s="70"/>
      <c r="AV317" s="72"/>
      <c r="AW317" s="69"/>
      <c r="AX317" s="69"/>
      <c r="AY317" s="69"/>
      <c r="AZ317" s="69"/>
      <c r="BA317" s="69"/>
      <c r="BB317" s="69"/>
      <c r="BC317" s="69"/>
      <c r="BD317" s="70"/>
      <c r="BE317" s="71"/>
      <c r="BF317" s="68"/>
      <c r="BG317" s="68"/>
      <c r="BH317" s="70"/>
      <c r="BI317" s="67"/>
      <c r="BJ317" s="68"/>
      <c r="BK317" s="70"/>
      <c r="BL317" s="71"/>
      <c r="BM317" s="68"/>
      <c r="BN317" s="69"/>
      <c r="BO317" s="78"/>
      <c r="BP317" s="37">
        <f t="shared" si="27"/>
        <v>0</v>
      </c>
    </row>
    <row r="318" spans="1:68" ht="25.5" customHeight="1" thickTop="1" thickBot="1" x14ac:dyDescent="0.2">
      <c r="A318" s="17">
        <f t="shared" si="28"/>
        <v>303</v>
      </c>
      <c r="B318" s="1044"/>
      <c r="C318" s="1045"/>
      <c r="D318" s="38"/>
      <c r="E318" s="954"/>
      <c r="F318" s="53"/>
      <c r="G318" s="39"/>
      <c r="H318" s="1050"/>
      <c r="I318" s="684" t="str">
        <f t="shared" si="24"/>
        <v/>
      </c>
      <c r="J318" s="754">
        <f t="shared" si="25"/>
        <v>0</v>
      </c>
      <c r="K318" s="1254"/>
      <c r="L318" s="1253"/>
      <c r="M318" s="1253"/>
      <c r="N318" s="773" t="str">
        <f t="shared" si="29"/>
        <v/>
      </c>
      <c r="O318" s="774" t="str">
        <f>IF('Set up ~ Config'!$G$32=6,IF(OR($N318=7,$N318=8,$N318=9),1,IF(OR($N318=10,$N318=11,$N318=12),2,IF(OR($N318=1,$N318=2,$N318=3),3,IF(OR($N318=4,$N318=5,$N318=6),4,"")))),IF(OR($N318=9,$N318=10,$N318=11),1,IF(OR($N318=12,$N318=1,$N318=2),2,IF(OR($N318=3,$N318=4,$N318=5),3,IF(OR($N318=6,$N318=7,$N318=8),4,"")))))</f>
        <v/>
      </c>
      <c r="P318" s="40"/>
      <c r="Q318" s="67"/>
      <c r="R318" s="68"/>
      <c r="S318" s="755">
        <f t="shared" si="26"/>
        <v>0</v>
      </c>
      <c r="T318" s="68"/>
      <c r="U318" s="68"/>
      <c r="V318" s="68"/>
      <c r="W318" s="68"/>
      <c r="X318" s="68"/>
      <c r="Y318" s="68"/>
      <c r="Z318" s="68"/>
      <c r="AA318" s="68"/>
      <c r="AB318" s="69"/>
      <c r="AC318" s="70"/>
      <c r="AD318" s="71"/>
      <c r="AE318" s="68"/>
      <c r="AF318" s="68"/>
      <c r="AG318" s="68"/>
      <c r="AH318" s="68"/>
      <c r="AI318" s="69"/>
      <c r="AJ318" s="69"/>
      <c r="AK318" s="68"/>
      <c r="AL318" s="77"/>
      <c r="AM318" s="71"/>
      <c r="AN318" s="68"/>
      <c r="AO318" s="68"/>
      <c r="AP318" s="68"/>
      <c r="AQ318" s="68"/>
      <c r="AR318" s="68"/>
      <c r="AS318" s="68"/>
      <c r="AT318" s="68"/>
      <c r="AU318" s="70"/>
      <c r="AV318" s="72"/>
      <c r="AW318" s="69"/>
      <c r="AX318" s="69"/>
      <c r="AY318" s="69"/>
      <c r="AZ318" s="69"/>
      <c r="BA318" s="69"/>
      <c r="BB318" s="69"/>
      <c r="BC318" s="69"/>
      <c r="BD318" s="70"/>
      <c r="BE318" s="71"/>
      <c r="BF318" s="68"/>
      <c r="BG318" s="68"/>
      <c r="BH318" s="70"/>
      <c r="BI318" s="67"/>
      <c r="BJ318" s="68"/>
      <c r="BK318" s="70"/>
      <c r="BL318" s="71"/>
      <c r="BM318" s="68"/>
      <c r="BN318" s="69"/>
      <c r="BO318" s="78"/>
      <c r="BP318" s="37">
        <f t="shared" si="27"/>
        <v>0</v>
      </c>
    </row>
    <row r="319" spans="1:68" ht="25.5" customHeight="1" thickTop="1" thickBot="1" x14ac:dyDescent="0.2">
      <c r="A319" s="17">
        <f t="shared" si="28"/>
        <v>304</v>
      </c>
      <c r="B319" s="1044"/>
      <c r="C319" s="1045"/>
      <c r="D319" s="38"/>
      <c r="E319" s="954"/>
      <c r="F319" s="53"/>
      <c r="G319" s="39"/>
      <c r="H319" s="1050"/>
      <c r="I319" s="684" t="str">
        <f t="shared" si="24"/>
        <v/>
      </c>
      <c r="J319" s="754">
        <f t="shared" si="25"/>
        <v>0</v>
      </c>
      <c r="K319" s="1254"/>
      <c r="L319" s="1253"/>
      <c r="M319" s="1253"/>
      <c r="N319" s="773" t="str">
        <f t="shared" si="29"/>
        <v/>
      </c>
      <c r="O319" s="774" t="str">
        <f>IF('Set up ~ Config'!$G$32=6,IF(OR($N319=7,$N319=8,$N319=9),1,IF(OR($N319=10,$N319=11,$N319=12),2,IF(OR($N319=1,$N319=2,$N319=3),3,IF(OR($N319=4,$N319=5,$N319=6),4,"")))),IF(OR($N319=9,$N319=10,$N319=11),1,IF(OR($N319=12,$N319=1,$N319=2),2,IF(OR($N319=3,$N319=4,$N319=5),3,IF(OR($N319=6,$N319=7,$N319=8),4,"")))))</f>
        <v/>
      </c>
      <c r="P319" s="40"/>
      <c r="Q319" s="67"/>
      <c r="R319" s="68"/>
      <c r="S319" s="755">
        <f t="shared" si="26"/>
        <v>0</v>
      </c>
      <c r="T319" s="68"/>
      <c r="U319" s="68"/>
      <c r="V319" s="68"/>
      <c r="W319" s="68"/>
      <c r="X319" s="68"/>
      <c r="Y319" s="68"/>
      <c r="Z319" s="68"/>
      <c r="AA319" s="68"/>
      <c r="AB319" s="69"/>
      <c r="AC319" s="70"/>
      <c r="AD319" s="71"/>
      <c r="AE319" s="68"/>
      <c r="AF319" s="68"/>
      <c r="AG319" s="68"/>
      <c r="AH319" s="68"/>
      <c r="AI319" s="69"/>
      <c r="AJ319" s="69"/>
      <c r="AK319" s="68"/>
      <c r="AL319" s="77"/>
      <c r="AM319" s="71"/>
      <c r="AN319" s="68"/>
      <c r="AO319" s="68"/>
      <c r="AP319" s="68"/>
      <c r="AQ319" s="68"/>
      <c r="AR319" s="68"/>
      <c r="AS319" s="68"/>
      <c r="AT319" s="68"/>
      <c r="AU319" s="70"/>
      <c r="AV319" s="72"/>
      <c r="AW319" s="69"/>
      <c r="AX319" s="69"/>
      <c r="AY319" s="69"/>
      <c r="AZ319" s="69"/>
      <c r="BA319" s="69"/>
      <c r="BB319" s="69"/>
      <c r="BC319" s="69"/>
      <c r="BD319" s="70"/>
      <c r="BE319" s="71"/>
      <c r="BF319" s="68"/>
      <c r="BG319" s="68"/>
      <c r="BH319" s="70"/>
      <c r="BI319" s="67"/>
      <c r="BJ319" s="68"/>
      <c r="BK319" s="70"/>
      <c r="BL319" s="71"/>
      <c r="BM319" s="68"/>
      <c r="BN319" s="69"/>
      <c r="BO319" s="78"/>
      <c r="BP319" s="37">
        <f t="shared" si="27"/>
        <v>0</v>
      </c>
    </row>
    <row r="320" spans="1:68" ht="25.5" customHeight="1" thickTop="1" thickBot="1" x14ac:dyDescent="0.2">
      <c r="A320" s="17">
        <f t="shared" si="28"/>
        <v>305</v>
      </c>
      <c r="B320" s="1044"/>
      <c r="C320" s="1045"/>
      <c r="D320" s="38"/>
      <c r="E320" s="954"/>
      <c r="F320" s="53"/>
      <c r="G320" s="39"/>
      <c r="H320" s="1050"/>
      <c r="I320" s="684" t="str">
        <f t="shared" si="24"/>
        <v/>
      </c>
      <c r="J320" s="754">
        <f t="shared" si="25"/>
        <v>0</v>
      </c>
      <c r="K320" s="1254"/>
      <c r="L320" s="1253"/>
      <c r="M320" s="1253"/>
      <c r="N320" s="773" t="str">
        <f t="shared" si="29"/>
        <v/>
      </c>
      <c r="O320" s="774" t="str">
        <f>IF('Set up ~ Config'!$G$32=6,IF(OR($N320=7,$N320=8,$N320=9),1,IF(OR($N320=10,$N320=11,$N320=12),2,IF(OR($N320=1,$N320=2,$N320=3),3,IF(OR($N320=4,$N320=5,$N320=6),4,"")))),IF(OR($N320=9,$N320=10,$N320=11),1,IF(OR($N320=12,$N320=1,$N320=2),2,IF(OR($N320=3,$N320=4,$N320=5),3,IF(OR($N320=6,$N320=7,$N320=8),4,"")))))</f>
        <v/>
      </c>
      <c r="P320" s="40"/>
      <c r="Q320" s="67"/>
      <c r="R320" s="68"/>
      <c r="S320" s="755">
        <f t="shared" si="26"/>
        <v>0</v>
      </c>
      <c r="T320" s="68"/>
      <c r="U320" s="68"/>
      <c r="V320" s="68"/>
      <c r="W320" s="68"/>
      <c r="X320" s="68"/>
      <c r="Y320" s="68"/>
      <c r="Z320" s="68"/>
      <c r="AA320" s="68"/>
      <c r="AB320" s="69"/>
      <c r="AC320" s="70"/>
      <c r="AD320" s="71"/>
      <c r="AE320" s="68"/>
      <c r="AF320" s="68"/>
      <c r="AG320" s="68"/>
      <c r="AH320" s="68"/>
      <c r="AI320" s="69"/>
      <c r="AJ320" s="69"/>
      <c r="AK320" s="68"/>
      <c r="AL320" s="77"/>
      <c r="AM320" s="71"/>
      <c r="AN320" s="68"/>
      <c r="AO320" s="68"/>
      <c r="AP320" s="68"/>
      <c r="AQ320" s="68"/>
      <c r="AR320" s="68"/>
      <c r="AS320" s="68"/>
      <c r="AT320" s="68"/>
      <c r="AU320" s="70"/>
      <c r="AV320" s="72"/>
      <c r="AW320" s="69"/>
      <c r="AX320" s="69"/>
      <c r="AY320" s="69"/>
      <c r="AZ320" s="69"/>
      <c r="BA320" s="69"/>
      <c r="BB320" s="69"/>
      <c r="BC320" s="69"/>
      <c r="BD320" s="70"/>
      <c r="BE320" s="71"/>
      <c r="BF320" s="68"/>
      <c r="BG320" s="68"/>
      <c r="BH320" s="70"/>
      <c r="BI320" s="67"/>
      <c r="BJ320" s="68"/>
      <c r="BK320" s="70"/>
      <c r="BL320" s="71"/>
      <c r="BM320" s="68"/>
      <c r="BN320" s="69"/>
      <c r="BO320" s="78"/>
      <c r="BP320" s="37">
        <f t="shared" si="27"/>
        <v>0</v>
      </c>
    </row>
    <row r="321" spans="1:68" ht="25.5" customHeight="1" thickTop="1" thickBot="1" x14ac:dyDescent="0.2">
      <c r="A321" s="17">
        <f t="shared" si="28"/>
        <v>306</v>
      </c>
      <c r="B321" s="1044"/>
      <c r="C321" s="1045"/>
      <c r="D321" s="38"/>
      <c r="E321" s="954"/>
      <c r="F321" s="53"/>
      <c r="G321" s="39"/>
      <c r="H321" s="1050"/>
      <c r="I321" s="684" t="str">
        <f t="shared" si="24"/>
        <v/>
      </c>
      <c r="J321" s="754">
        <f t="shared" si="25"/>
        <v>0</v>
      </c>
      <c r="K321" s="1254"/>
      <c r="L321" s="1253"/>
      <c r="M321" s="1253"/>
      <c r="N321" s="773" t="str">
        <f t="shared" si="29"/>
        <v/>
      </c>
      <c r="O321" s="774" t="str">
        <f>IF('Set up ~ Config'!$G$32=6,IF(OR($N321=7,$N321=8,$N321=9),1,IF(OR($N321=10,$N321=11,$N321=12),2,IF(OR($N321=1,$N321=2,$N321=3),3,IF(OR($N321=4,$N321=5,$N321=6),4,"")))),IF(OR($N321=9,$N321=10,$N321=11),1,IF(OR($N321=12,$N321=1,$N321=2),2,IF(OR($N321=3,$N321=4,$N321=5),3,IF(OR($N321=6,$N321=7,$N321=8),4,"")))))</f>
        <v/>
      </c>
      <c r="P321" s="40"/>
      <c r="Q321" s="67"/>
      <c r="R321" s="68"/>
      <c r="S321" s="755">
        <f t="shared" si="26"/>
        <v>0</v>
      </c>
      <c r="T321" s="68"/>
      <c r="U321" s="68"/>
      <c r="V321" s="68"/>
      <c r="W321" s="68"/>
      <c r="X321" s="68"/>
      <c r="Y321" s="68"/>
      <c r="Z321" s="68"/>
      <c r="AA321" s="68"/>
      <c r="AB321" s="69"/>
      <c r="AC321" s="70"/>
      <c r="AD321" s="71"/>
      <c r="AE321" s="68"/>
      <c r="AF321" s="68"/>
      <c r="AG321" s="68"/>
      <c r="AH321" s="68"/>
      <c r="AI321" s="69"/>
      <c r="AJ321" s="69"/>
      <c r="AK321" s="68"/>
      <c r="AL321" s="77"/>
      <c r="AM321" s="71"/>
      <c r="AN321" s="68"/>
      <c r="AO321" s="68"/>
      <c r="AP321" s="68"/>
      <c r="AQ321" s="68"/>
      <c r="AR321" s="68"/>
      <c r="AS321" s="68"/>
      <c r="AT321" s="68"/>
      <c r="AU321" s="70"/>
      <c r="AV321" s="72"/>
      <c r="AW321" s="69"/>
      <c r="AX321" s="69"/>
      <c r="AY321" s="69"/>
      <c r="AZ321" s="69"/>
      <c r="BA321" s="69"/>
      <c r="BB321" s="69"/>
      <c r="BC321" s="69"/>
      <c r="BD321" s="70"/>
      <c r="BE321" s="71"/>
      <c r="BF321" s="68"/>
      <c r="BG321" s="68"/>
      <c r="BH321" s="70"/>
      <c r="BI321" s="67"/>
      <c r="BJ321" s="68"/>
      <c r="BK321" s="70"/>
      <c r="BL321" s="71"/>
      <c r="BM321" s="68"/>
      <c r="BN321" s="69"/>
      <c r="BO321" s="78"/>
      <c r="BP321" s="37">
        <f t="shared" si="27"/>
        <v>0</v>
      </c>
    </row>
    <row r="322" spans="1:68" ht="25.5" customHeight="1" thickTop="1" thickBot="1" x14ac:dyDescent="0.2">
      <c r="A322" s="17">
        <f t="shared" si="28"/>
        <v>307</v>
      </c>
      <c r="B322" s="1044"/>
      <c r="C322" s="1045"/>
      <c r="D322" s="38"/>
      <c r="E322" s="954"/>
      <c r="F322" s="53"/>
      <c r="G322" s="39"/>
      <c r="H322" s="1050"/>
      <c r="I322" s="684" t="str">
        <f t="shared" si="24"/>
        <v/>
      </c>
      <c r="J322" s="754">
        <f t="shared" si="25"/>
        <v>0</v>
      </c>
      <c r="K322" s="1254"/>
      <c r="L322" s="1253"/>
      <c r="M322" s="1253"/>
      <c r="N322" s="773" t="str">
        <f t="shared" si="29"/>
        <v/>
      </c>
      <c r="O322" s="774" t="str">
        <f>IF('Set up ~ Config'!$G$32=6,IF(OR($N322=7,$N322=8,$N322=9),1,IF(OR($N322=10,$N322=11,$N322=12),2,IF(OR($N322=1,$N322=2,$N322=3),3,IF(OR($N322=4,$N322=5,$N322=6),4,"")))),IF(OR($N322=9,$N322=10,$N322=11),1,IF(OR($N322=12,$N322=1,$N322=2),2,IF(OR($N322=3,$N322=4,$N322=5),3,IF(OR($N322=6,$N322=7,$N322=8),4,"")))))</f>
        <v/>
      </c>
      <c r="P322" s="40"/>
      <c r="Q322" s="67"/>
      <c r="R322" s="68"/>
      <c r="S322" s="755">
        <f t="shared" si="26"/>
        <v>0</v>
      </c>
      <c r="T322" s="68"/>
      <c r="U322" s="68"/>
      <c r="V322" s="68"/>
      <c r="W322" s="68"/>
      <c r="X322" s="68"/>
      <c r="Y322" s="68"/>
      <c r="Z322" s="68"/>
      <c r="AA322" s="68"/>
      <c r="AB322" s="69"/>
      <c r="AC322" s="70"/>
      <c r="AD322" s="71"/>
      <c r="AE322" s="68"/>
      <c r="AF322" s="68"/>
      <c r="AG322" s="68"/>
      <c r="AH322" s="68"/>
      <c r="AI322" s="69"/>
      <c r="AJ322" s="69"/>
      <c r="AK322" s="68"/>
      <c r="AL322" s="77"/>
      <c r="AM322" s="71"/>
      <c r="AN322" s="68"/>
      <c r="AO322" s="68"/>
      <c r="AP322" s="68"/>
      <c r="AQ322" s="68"/>
      <c r="AR322" s="68"/>
      <c r="AS322" s="68"/>
      <c r="AT322" s="68"/>
      <c r="AU322" s="70"/>
      <c r="AV322" s="72"/>
      <c r="AW322" s="69"/>
      <c r="AX322" s="69"/>
      <c r="AY322" s="69"/>
      <c r="AZ322" s="69"/>
      <c r="BA322" s="69"/>
      <c r="BB322" s="69"/>
      <c r="BC322" s="69"/>
      <c r="BD322" s="70"/>
      <c r="BE322" s="71"/>
      <c r="BF322" s="68"/>
      <c r="BG322" s="68"/>
      <c r="BH322" s="70"/>
      <c r="BI322" s="67"/>
      <c r="BJ322" s="68"/>
      <c r="BK322" s="70"/>
      <c r="BL322" s="71"/>
      <c r="BM322" s="68"/>
      <c r="BN322" s="69"/>
      <c r="BO322" s="78"/>
      <c r="BP322" s="37">
        <f t="shared" si="27"/>
        <v>0</v>
      </c>
    </row>
    <row r="323" spans="1:68" ht="25.5" customHeight="1" thickTop="1" thickBot="1" x14ac:dyDescent="0.2">
      <c r="A323" s="17">
        <f t="shared" si="28"/>
        <v>308</v>
      </c>
      <c r="B323" s="1044"/>
      <c r="C323" s="1045"/>
      <c r="D323" s="38"/>
      <c r="E323" s="954"/>
      <c r="F323" s="53"/>
      <c r="G323" s="39"/>
      <c r="H323" s="1050"/>
      <c r="I323" s="684" t="str">
        <f t="shared" si="24"/>
        <v/>
      </c>
      <c r="J323" s="754">
        <f t="shared" si="25"/>
        <v>0</v>
      </c>
      <c r="K323" s="1254"/>
      <c r="L323" s="1253"/>
      <c r="M323" s="1253"/>
      <c r="N323" s="773" t="str">
        <f t="shared" si="29"/>
        <v/>
      </c>
      <c r="O323" s="774" t="str">
        <f>IF('Set up ~ Config'!$G$32=6,IF(OR($N323=7,$N323=8,$N323=9),1,IF(OR($N323=10,$N323=11,$N323=12),2,IF(OR($N323=1,$N323=2,$N323=3),3,IF(OR($N323=4,$N323=5,$N323=6),4,"")))),IF(OR($N323=9,$N323=10,$N323=11),1,IF(OR($N323=12,$N323=1,$N323=2),2,IF(OR($N323=3,$N323=4,$N323=5),3,IF(OR($N323=6,$N323=7,$N323=8),4,"")))))</f>
        <v/>
      </c>
      <c r="P323" s="40"/>
      <c r="Q323" s="67"/>
      <c r="R323" s="68"/>
      <c r="S323" s="755">
        <f t="shared" si="26"/>
        <v>0</v>
      </c>
      <c r="T323" s="68"/>
      <c r="U323" s="68"/>
      <c r="V323" s="68"/>
      <c r="W323" s="68"/>
      <c r="X323" s="68"/>
      <c r="Y323" s="68"/>
      <c r="Z323" s="68"/>
      <c r="AA323" s="68"/>
      <c r="AB323" s="69"/>
      <c r="AC323" s="70"/>
      <c r="AD323" s="71"/>
      <c r="AE323" s="68"/>
      <c r="AF323" s="68"/>
      <c r="AG323" s="68"/>
      <c r="AH323" s="68"/>
      <c r="AI323" s="69"/>
      <c r="AJ323" s="69"/>
      <c r="AK323" s="68"/>
      <c r="AL323" s="77"/>
      <c r="AM323" s="71"/>
      <c r="AN323" s="68"/>
      <c r="AO323" s="68"/>
      <c r="AP323" s="68"/>
      <c r="AQ323" s="68"/>
      <c r="AR323" s="68"/>
      <c r="AS323" s="68"/>
      <c r="AT323" s="68"/>
      <c r="AU323" s="70"/>
      <c r="AV323" s="72"/>
      <c r="AW323" s="69"/>
      <c r="AX323" s="69"/>
      <c r="AY323" s="69"/>
      <c r="AZ323" s="69"/>
      <c r="BA323" s="69"/>
      <c r="BB323" s="69"/>
      <c r="BC323" s="69"/>
      <c r="BD323" s="70"/>
      <c r="BE323" s="71"/>
      <c r="BF323" s="68"/>
      <c r="BG323" s="68"/>
      <c r="BH323" s="70"/>
      <c r="BI323" s="67"/>
      <c r="BJ323" s="68"/>
      <c r="BK323" s="70"/>
      <c r="BL323" s="71"/>
      <c r="BM323" s="68"/>
      <c r="BN323" s="69"/>
      <c r="BO323" s="78"/>
      <c r="BP323" s="37">
        <f t="shared" si="27"/>
        <v>0</v>
      </c>
    </row>
    <row r="324" spans="1:68" ht="25.5" customHeight="1" thickTop="1" thickBot="1" x14ac:dyDescent="0.2">
      <c r="A324" s="17">
        <f t="shared" si="28"/>
        <v>309</v>
      </c>
      <c r="B324" s="1044"/>
      <c r="C324" s="1045"/>
      <c r="D324" s="38"/>
      <c r="E324" s="954"/>
      <c r="F324" s="53"/>
      <c r="G324" s="39"/>
      <c r="H324" s="1050"/>
      <c r="I324" s="684" t="str">
        <f t="shared" si="24"/>
        <v/>
      </c>
      <c r="J324" s="754">
        <f t="shared" si="25"/>
        <v>0</v>
      </c>
      <c r="K324" s="1254"/>
      <c r="L324" s="1253"/>
      <c r="M324" s="1253"/>
      <c r="N324" s="773" t="str">
        <f t="shared" si="29"/>
        <v/>
      </c>
      <c r="O324" s="774" t="str">
        <f>IF('Set up ~ Config'!$G$32=6,IF(OR($N324=7,$N324=8,$N324=9),1,IF(OR($N324=10,$N324=11,$N324=12),2,IF(OR($N324=1,$N324=2,$N324=3),3,IF(OR($N324=4,$N324=5,$N324=6),4,"")))),IF(OR($N324=9,$N324=10,$N324=11),1,IF(OR($N324=12,$N324=1,$N324=2),2,IF(OR($N324=3,$N324=4,$N324=5),3,IF(OR($N324=6,$N324=7,$N324=8),4,"")))))</f>
        <v/>
      </c>
      <c r="P324" s="40"/>
      <c r="Q324" s="67"/>
      <c r="R324" s="68"/>
      <c r="S324" s="755">
        <f t="shared" si="26"/>
        <v>0</v>
      </c>
      <c r="T324" s="68"/>
      <c r="U324" s="68"/>
      <c r="V324" s="68"/>
      <c r="W324" s="68"/>
      <c r="X324" s="68"/>
      <c r="Y324" s="68"/>
      <c r="Z324" s="68"/>
      <c r="AA324" s="68"/>
      <c r="AB324" s="69"/>
      <c r="AC324" s="70"/>
      <c r="AD324" s="71"/>
      <c r="AE324" s="68"/>
      <c r="AF324" s="68"/>
      <c r="AG324" s="68"/>
      <c r="AH324" s="68"/>
      <c r="AI324" s="69"/>
      <c r="AJ324" s="69"/>
      <c r="AK324" s="68"/>
      <c r="AL324" s="77"/>
      <c r="AM324" s="71"/>
      <c r="AN324" s="68"/>
      <c r="AO324" s="68"/>
      <c r="AP324" s="68"/>
      <c r="AQ324" s="68"/>
      <c r="AR324" s="68"/>
      <c r="AS324" s="68"/>
      <c r="AT324" s="68"/>
      <c r="AU324" s="70"/>
      <c r="AV324" s="72"/>
      <c r="AW324" s="69"/>
      <c r="AX324" s="69"/>
      <c r="AY324" s="69"/>
      <c r="AZ324" s="69"/>
      <c r="BA324" s="69"/>
      <c r="BB324" s="69"/>
      <c r="BC324" s="69"/>
      <c r="BD324" s="70"/>
      <c r="BE324" s="71"/>
      <c r="BF324" s="68"/>
      <c r="BG324" s="68"/>
      <c r="BH324" s="70"/>
      <c r="BI324" s="67"/>
      <c r="BJ324" s="68"/>
      <c r="BK324" s="70"/>
      <c r="BL324" s="71"/>
      <c r="BM324" s="68"/>
      <c r="BN324" s="69"/>
      <c r="BO324" s="78"/>
      <c r="BP324" s="37">
        <f t="shared" si="27"/>
        <v>0</v>
      </c>
    </row>
    <row r="325" spans="1:68" ht="25.5" customHeight="1" thickTop="1" thickBot="1" x14ac:dyDescent="0.2">
      <c r="A325" s="17">
        <f t="shared" si="28"/>
        <v>310</v>
      </c>
      <c r="B325" s="1044"/>
      <c r="C325" s="1045"/>
      <c r="D325" s="38"/>
      <c r="E325" s="954"/>
      <c r="F325" s="53"/>
      <c r="G325" s="39"/>
      <c r="H325" s="1050"/>
      <c r="I325" s="684" t="str">
        <f t="shared" si="24"/>
        <v/>
      </c>
      <c r="J325" s="754">
        <f t="shared" si="25"/>
        <v>0</v>
      </c>
      <c r="K325" s="1254"/>
      <c r="L325" s="1253"/>
      <c r="M325" s="1253"/>
      <c r="N325" s="773" t="str">
        <f t="shared" si="29"/>
        <v/>
      </c>
      <c r="O325" s="774" t="str">
        <f>IF('Set up ~ Config'!$G$32=6,IF(OR($N325=7,$N325=8,$N325=9),1,IF(OR($N325=10,$N325=11,$N325=12),2,IF(OR($N325=1,$N325=2,$N325=3),3,IF(OR($N325=4,$N325=5,$N325=6),4,"")))),IF(OR($N325=9,$N325=10,$N325=11),1,IF(OR($N325=12,$N325=1,$N325=2),2,IF(OR($N325=3,$N325=4,$N325=5),3,IF(OR($N325=6,$N325=7,$N325=8),4,"")))))</f>
        <v/>
      </c>
      <c r="P325" s="40"/>
      <c r="Q325" s="67"/>
      <c r="R325" s="68"/>
      <c r="S325" s="755">
        <f t="shared" si="26"/>
        <v>0</v>
      </c>
      <c r="T325" s="68"/>
      <c r="U325" s="68"/>
      <c r="V325" s="68"/>
      <c r="W325" s="68"/>
      <c r="X325" s="68"/>
      <c r="Y325" s="68"/>
      <c r="Z325" s="68"/>
      <c r="AA325" s="68"/>
      <c r="AB325" s="69"/>
      <c r="AC325" s="70"/>
      <c r="AD325" s="71"/>
      <c r="AE325" s="68"/>
      <c r="AF325" s="68"/>
      <c r="AG325" s="68"/>
      <c r="AH325" s="68"/>
      <c r="AI325" s="69"/>
      <c r="AJ325" s="69"/>
      <c r="AK325" s="68"/>
      <c r="AL325" s="77"/>
      <c r="AM325" s="71"/>
      <c r="AN325" s="68"/>
      <c r="AO325" s="68"/>
      <c r="AP325" s="68"/>
      <c r="AQ325" s="68"/>
      <c r="AR325" s="68"/>
      <c r="AS325" s="68"/>
      <c r="AT325" s="68"/>
      <c r="AU325" s="70"/>
      <c r="AV325" s="72"/>
      <c r="AW325" s="69"/>
      <c r="AX325" s="69"/>
      <c r="AY325" s="69"/>
      <c r="AZ325" s="69"/>
      <c r="BA325" s="69"/>
      <c r="BB325" s="69"/>
      <c r="BC325" s="69"/>
      <c r="BD325" s="70"/>
      <c r="BE325" s="71"/>
      <c r="BF325" s="68"/>
      <c r="BG325" s="68"/>
      <c r="BH325" s="70"/>
      <c r="BI325" s="67"/>
      <c r="BJ325" s="68"/>
      <c r="BK325" s="70"/>
      <c r="BL325" s="71"/>
      <c r="BM325" s="68"/>
      <c r="BN325" s="69"/>
      <c r="BO325" s="78"/>
      <c r="BP325" s="37">
        <f t="shared" si="27"/>
        <v>0</v>
      </c>
    </row>
    <row r="326" spans="1:68" ht="25.5" customHeight="1" thickTop="1" thickBot="1" x14ac:dyDescent="0.2">
      <c r="A326" s="17">
        <f t="shared" si="28"/>
        <v>311</v>
      </c>
      <c r="B326" s="1044"/>
      <c r="C326" s="1045"/>
      <c r="D326" s="38"/>
      <c r="E326" s="954"/>
      <c r="F326" s="53"/>
      <c r="G326" s="39"/>
      <c r="H326" s="1050"/>
      <c r="I326" s="684" t="str">
        <f t="shared" si="24"/>
        <v/>
      </c>
      <c r="J326" s="754">
        <f t="shared" si="25"/>
        <v>0</v>
      </c>
      <c r="K326" s="1254"/>
      <c r="L326" s="1253"/>
      <c r="M326" s="1253"/>
      <c r="N326" s="773" t="str">
        <f t="shared" si="29"/>
        <v/>
      </c>
      <c r="O326" s="774" t="str">
        <f>IF('Set up ~ Config'!$G$32=6,IF(OR($N326=7,$N326=8,$N326=9),1,IF(OR($N326=10,$N326=11,$N326=12),2,IF(OR($N326=1,$N326=2,$N326=3),3,IF(OR($N326=4,$N326=5,$N326=6),4,"")))),IF(OR($N326=9,$N326=10,$N326=11),1,IF(OR($N326=12,$N326=1,$N326=2),2,IF(OR($N326=3,$N326=4,$N326=5),3,IF(OR($N326=6,$N326=7,$N326=8),4,"")))))</f>
        <v/>
      </c>
      <c r="P326" s="40"/>
      <c r="Q326" s="67"/>
      <c r="R326" s="68"/>
      <c r="S326" s="755">
        <f t="shared" si="26"/>
        <v>0</v>
      </c>
      <c r="T326" s="68"/>
      <c r="U326" s="68"/>
      <c r="V326" s="68"/>
      <c r="W326" s="68"/>
      <c r="X326" s="68"/>
      <c r="Y326" s="68"/>
      <c r="Z326" s="68"/>
      <c r="AA326" s="68"/>
      <c r="AB326" s="69"/>
      <c r="AC326" s="70"/>
      <c r="AD326" s="71"/>
      <c r="AE326" s="68"/>
      <c r="AF326" s="68"/>
      <c r="AG326" s="68"/>
      <c r="AH326" s="68"/>
      <c r="AI326" s="69"/>
      <c r="AJ326" s="69"/>
      <c r="AK326" s="68"/>
      <c r="AL326" s="77"/>
      <c r="AM326" s="71"/>
      <c r="AN326" s="68"/>
      <c r="AO326" s="68"/>
      <c r="AP326" s="68"/>
      <c r="AQ326" s="68"/>
      <c r="AR326" s="68"/>
      <c r="AS326" s="68"/>
      <c r="AT326" s="68"/>
      <c r="AU326" s="70"/>
      <c r="AV326" s="72"/>
      <c r="AW326" s="69"/>
      <c r="AX326" s="69"/>
      <c r="AY326" s="69"/>
      <c r="AZ326" s="69"/>
      <c r="BA326" s="69"/>
      <c r="BB326" s="69"/>
      <c r="BC326" s="69"/>
      <c r="BD326" s="70"/>
      <c r="BE326" s="71"/>
      <c r="BF326" s="68"/>
      <c r="BG326" s="68"/>
      <c r="BH326" s="70"/>
      <c r="BI326" s="67"/>
      <c r="BJ326" s="68"/>
      <c r="BK326" s="70"/>
      <c r="BL326" s="71"/>
      <c r="BM326" s="68"/>
      <c r="BN326" s="69"/>
      <c r="BO326" s="78"/>
      <c r="BP326" s="37">
        <f t="shared" si="27"/>
        <v>0</v>
      </c>
    </row>
    <row r="327" spans="1:68" ht="25.5" customHeight="1" thickTop="1" thickBot="1" x14ac:dyDescent="0.2">
      <c r="A327" s="17">
        <f t="shared" si="28"/>
        <v>312</v>
      </c>
      <c r="B327" s="1044"/>
      <c r="C327" s="1045"/>
      <c r="D327" s="38"/>
      <c r="E327" s="954"/>
      <c r="F327" s="53"/>
      <c r="G327" s="39"/>
      <c r="H327" s="1050"/>
      <c r="I327" s="684" t="str">
        <f t="shared" si="24"/>
        <v/>
      </c>
      <c r="J327" s="754">
        <f t="shared" si="25"/>
        <v>0</v>
      </c>
      <c r="K327" s="1254"/>
      <c r="L327" s="1253"/>
      <c r="M327" s="1253"/>
      <c r="N327" s="773" t="str">
        <f t="shared" si="29"/>
        <v/>
      </c>
      <c r="O327" s="774" t="str">
        <f>IF('Set up ~ Config'!$G$32=6,IF(OR($N327=7,$N327=8,$N327=9),1,IF(OR($N327=10,$N327=11,$N327=12),2,IF(OR($N327=1,$N327=2,$N327=3),3,IF(OR($N327=4,$N327=5,$N327=6),4,"")))),IF(OR($N327=9,$N327=10,$N327=11),1,IF(OR($N327=12,$N327=1,$N327=2),2,IF(OR($N327=3,$N327=4,$N327=5),3,IF(OR($N327=6,$N327=7,$N327=8),4,"")))))</f>
        <v/>
      </c>
      <c r="P327" s="40"/>
      <c r="Q327" s="67"/>
      <c r="R327" s="68"/>
      <c r="S327" s="755">
        <f t="shared" si="26"/>
        <v>0</v>
      </c>
      <c r="T327" s="68"/>
      <c r="U327" s="68"/>
      <c r="V327" s="68"/>
      <c r="W327" s="68"/>
      <c r="X327" s="68"/>
      <c r="Y327" s="68"/>
      <c r="Z327" s="68"/>
      <c r="AA327" s="68"/>
      <c r="AB327" s="69"/>
      <c r="AC327" s="70"/>
      <c r="AD327" s="71"/>
      <c r="AE327" s="68"/>
      <c r="AF327" s="68"/>
      <c r="AG327" s="68"/>
      <c r="AH327" s="68"/>
      <c r="AI327" s="69"/>
      <c r="AJ327" s="69"/>
      <c r="AK327" s="68"/>
      <c r="AL327" s="77"/>
      <c r="AM327" s="71"/>
      <c r="AN327" s="68"/>
      <c r="AO327" s="68"/>
      <c r="AP327" s="68"/>
      <c r="AQ327" s="68"/>
      <c r="AR327" s="68"/>
      <c r="AS327" s="68"/>
      <c r="AT327" s="68"/>
      <c r="AU327" s="70"/>
      <c r="AV327" s="72"/>
      <c r="AW327" s="69"/>
      <c r="AX327" s="69"/>
      <c r="AY327" s="69"/>
      <c r="AZ327" s="69"/>
      <c r="BA327" s="69"/>
      <c r="BB327" s="69"/>
      <c r="BC327" s="69"/>
      <c r="BD327" s="70"/>
      <c r="BE327" s="71"/>
      <c r="BF327" s="68"/>
      <c r="BG327" s="68"/>
      <c r="BH327" s="70"/>
      <c r="BI327" s="67"/>
      <c r="BJ327" s="68"/>
      <c r="BK327" s="70"/>
      <c r="BL327" s="71"/>
      <c r="BM327" s="68"/>
      <c r="BN327" s="69"/>
      <c r="BO327" s="78"/>
      <c r="BP327" s="37">
        <f t="shared" si="27"/>
        <v>0</v>
      </c>
    </row>
    <row r="328" spans="1:68" ht="25.5" customHeight="1" thickTop="1" thickBot="1" x14ac:dyDescent="0.2">
      <c r="A328" s="17">
        <f t="shared" si="28"/>
        <v>313</v>
      </c>
      <c r="B328" s="1044"/>
      <c r="C328" s="1045"/>
      <c r="D328" s="38"/>
      <c r="E328" s="954"/>
      <c r="F328" s="53"/>
      <c r="G328" s="39"/>
      <c r="H328" s="1050"/>
      <c r="I328" s="684" t="str">
        <f t="shared" si="24"/>
        <v/>
      </c>
      <c r="J328" s="754">
        <f t="shared" si="25"/>
        <v>0</v>
      </c>
      <c r="K328" s="1254"/>
      <c r="L328" s="1253"/>
      <c r="M328" s="1253"/>
      <c r="N328" s="773" t="str">
        <f t="shared" si="29"/>
        <v/>
      </c>
      <c r="O328" s="774" t="str">
        <f>IF('Set up ~ Config'!$G$32=6,IF(OR($N328=7,$N328=8,$N328=9),1,IF(OR($N328=10,$N328=11,$N328=12),2,IF(OR($N328=1,$N328=2,$N328=3),3,IF(OR($N328=4,$N328=5,$N328=6),4,"")))),IF(OR($N328=9,$N328=10,$N328=11),1,IF(OR($N328=12,$N328=1,$N328=2),2,IF(OR($N328=3,$N328=4,$N328=5),3,IF(OR($N328=6,$N328=7,$N328=8),4,"")))))</f>
        <v/>
      </c>
      <c r="P328" s="40"/>
      <c r="Q328" s="67"/>
      <c r="R328" s="68"/>
      <c r="S328" s="755">
        <f t="shared" si="26"/>
        <v>0</v>
      </c>
      <c r="T328" s="68"/>
      <c r="U328" s="68"/>
      <c r="V328" s="68"/>
      <c r="W328" s="68"/>
      <c r="X328" s="68"/>
      <c r="Y328" s="68"/>
      <c r="Z328" s="68"/>
      <c r="AA328" s="68"/>
      <c r="AB328" s="69"/>
      <c r="AC328" s="70"/>
      <c r="AD328" s="71"/>
      <c r="AE328" s="68"/>
      <c r="AF328" s="68"/>
      <c r="AG328" s="68"/>
      <c r="AH328" s="68"/>
      <c r="AI328" s="69"/>
      <c r="AJ328" s="69"/>
      <c r="AK328" s="68"/>
      <c r="AL328" s="77"/>
      <c r="AM328" s="71"/>
      <c r="AN328" s="68"/>
      <c r="AO328" s="68"/>
      <c r="AP328" s="68"/>
      <c r="AQ328" s="68"/>
      <c r="AR328" s="68"/>
      <c r="AS328" s="68"/>
      <c r="AT328" s="68"/>
      <c r="AU328" s="70"/>
      <c r="AV328" s="72"/>
      <c r="AW328" s="69"/>
      <c r="AX328" s="69"/>
      <c r="AY328" s="69"/>
      <c r="AZ328" s="69"/>
      <c r="BA328" s="69"/>
      <c r="BB328" s="69"/>
      <c r="BC328" s="69"/>
      <c r="BD328" s="70"/>
      <c r="BE328" s="71"/>
      <c r="BF328" s="68"/>
      <c r="BG328" s="68"/>
      <c r="BH328" s="70"/>
      <c r="BI328" s="67"/>
      <c r="BJ328" s="68"/>
      <c r="BK328" s="70"/>
      <c r="BL328" s="71"/>
      <c r="BM328" s="68"/>
      <c r="BN328" s="69"/>
      <c r="BO328" s="78"/>
      <c r="BP328" s="37">
        <f t="shared" si="27"/>
        <v>0</v>
      </c>
    </row>
    <row r="329" spans="1:68" ht="25.5" customHeight="1" thickTop="1" thickBot="1" x14ac:dyDescent="0.2">
      <c r="A329" s="17">
        <f t="shared" si="28"/>
        <v>314</v>
      </c>
      <c r="B329" s="1044"/>
      <c r="C329" s="1045"/>
      <c r="D329" s="38"/>
      <c r="E329" s="954"/>
      <c r="F329" s="53"/>
      <c r="G329" s="39"/>
      <c r="H329" s="1050"/>
      <c r="I329" s="684" t="str">
        <f t="shared" si="24"/>
        <v/>
      </c>
      <c r="J329" s="754">
        <f t="shared" si="25"/>
        <v>0</v>
      </c>
      <c r="K329" s="1254"/>
      <c r="L329" s="1253"/>
      <c r="M329" s="1253"/>
      <c r="N329" s="773" t="str">
        <f t="shared" si="29"/>
        <v/>
      </c>
      <c r="O329" s="774" t="str">
        <f>IF('Set up ~ Config'!$G$32=6,IF(OR($N329=7,$N329=8,$N329=9),1,IF(OR($N329=10,$N329=11,$N329=12),2,IF(OR($N329=1,$N329=2,$N329=3),3,IF(OR($N329=4,$N329=5,$N329=6),4,"")))),IF(OR($N329=9,$N329=10,$N329=11),1,IF(OR($N329=12,$N329=1,$N329=2),2,IF(OR($N329=3,$N329=4,$N329=5),3,IF(OR($N329=6,$N329=7,$N329=8),4,"")))))</f>
        <v/>
      </c>
      <c r="P329" s="40"/>
      <c r="Q329" s="67"/>
      <c r="R329" s="68"/>
      <c r="S329" s="755">
        <f t="shared" si="26"/>
        <v>0</v>
      </c>
      <c r="T329" s="68"/>
      <c r="U329" s="68"/>
      <c r="V329" s="68"/>
      <c r="W329" s="68"/>
      <c r="X329" s="68"/>
      <c r="Y329" s="68"/>
      <c r="Z329" s="68"/>
      <c r="AA329" s="68"/>
      <c r="AB329" s="69"/>
      <c r="AC329" s="70"/>
      <c r="AD329" s="71"/>
      <c r="AE329" s="68"/>
      <c r="AF329" s="68"/>
      <c r="AG329" s="68"/>
      <c r="AH329" s="68"/>
      <c r="AI329" s="69"/>
      <c r="AJ329" s="69"/>
      <c r="AK329" s="68"/>
      <c r="AL329" s="77"/>
      <c r="AM329" s="71"/>
      <c r="AN329" s="68"/>
      <c r="AO329" s="68"/>
      <c r="AP329" s="68"/>
      <c r="AQ329" s="68"/>
      <c r="AR329" s="68"/>
      <c r="AS329" s="68"/>
      <c r="AT329" s="68"/>
      <c r="AU329" s="70"/>
      <c r="AV329" s="72"/>
      <c r="AW329" s="69"/>
      <c r="AX329" s="69"/>
      <c r="AY329" s="69"/>
      <c r="AZ329" s="69"/>
      <c r="BA329" s="69"/>
      <c r="BB329" s="69"/>
      <c r="BC329" s="69"/>
      <c r="BD329" s="70"/>
      <c r="BE329" s="71"/>
      <c r="BF329" s="68"/>
      <c r="BG329" s="68"/>
      <c r="BH329" s="70"/>
      <c r="BI329" s="67"/>
      <c r="BJ329" s="68"/>
      <c r="BK329" s="70"/>
      <c r="BL329" s="71"/>
      <c r="BM329" s="68"/>
      <c r="BN329" s="69"/>
      <c r="BO329" s="78"/>
      <c r="BP329" s="37">
        <f t="shared" si="27"/>
        <v>0</v>
      </c>
    </row>
    <row r="330" spans="1:68" ht="25.5" customHeight="1" thickTop="1" thickBot="1" x14ac:dyDescent="0.2">
      <c r="A330" s="17">
        <f t="shared" si="28"/>
        <v>315</v>
      </c>
      <c r="B330" s="1044"/>
      <c r="C330" s="1045"/>
      <c r="D330" s="38"/>
      <c r="E330" s="954"/>
      <c r="F330" s="53"/>
      <c r="G330" s="39"/>
      <c r="H330" s="1050"/>
      <c r="I330" s="684" t="str">
        <f t="shared" si="24"/>
        <v/>
      </c>
      <c r="J330" s="754">
        <f t="shared" si="25"/>
        <v>0</v>
      </c>
      <c r="K330" s="1254"/>
      <c r="L330" s="1253"/>
      <c r="M330" s="1253"/>
      <c r="N330" s="773" t="str">
        <f t="shared" si="29"/>
        <v/>
      </c>
      <c r="O330" s="774" t="str">
        <f>IF('Set up ~ Config'!$G$32=6,IF(OR($N330=7,$N330=8,$N330=9),1,IF(OR($N330=10,$N330=11,$N330=12),2,IF(OR($N330=1,$N330=2,$N330=3),3,IF(OR($N330=4,$N330=5,$N330=6),4,"")))),IF(OR($N330=9,$N330=10,$N330=11),1,IF(OR($N330=12,$N330=1,$N330=2),2,IF(OR($N330=3,$N330=4,$N330=5),3,IF(OR($N330=6,$N330=7,$N330=8),4,"")))))</f>
        <v/>
      </c>
      <c r="P330" s="40"/>
      <c r="Q330" s="67"/>
      <c r="R330" s="68"/>
      <c r="S330" s="755">
        <f t="shared" si="26"/>
        <v>0</v>
      </c>
      <c r="T330" s="68"/>
      <c r="U330" s="68"/>
      <c r="V330" s="68"/>
      <c r="W330" s="68"/>
      <c r="X330" s="68"/>
      <c r="Y330" s="68"/>
      <c r="Z330" s="68"/>
      <c r="AA330" s="68"/>
      <c r="AB330" s="69"/>
      <c r="AC330" s="70"/>
      <c r="AD330" s="71"/>
      <c r="AE330" s="68"/>
      <c r="AF330" s="68"/>
      <c r="AG330" s="68"/>
      <c r="AH330" s="68"/>
      <c r="AI330" s="69"/>
      <c r="AJ330" s="69"/>
      <c r="AK330" s="68"/>
      <c r="AL330" s="77"/>
      <c r="AM330" s="71"/>
      <c r="AN330" s="68"/>
      <c r="AO330" s="68"/>
      <c r="AP330" s="68"/>
      <c r="AQ330" s="68"/>
      <c r="AR330" s="68"/>
      <c r="AS330" s="68"/>
      <c r="AT330" s="68"/>
      <c r="AU330" s="70"/>
      <c r="AV330" s="72"/>
      <c r="AW330" s="69"/>
      <c r="AX330" s="69"/>
      <c r="AY330" s="69"/>
      <c r="AZ330" s="69"/>
      <c r="BA330" s="69"/>
      <c r="BB330" s="69"/>
      <c r="BC330" s="69"/>
      <c r="BD330" s="70"/>
      <c r="BE330" s="71"/>
      <c r="BF330" s="68"/>
      <c r="BG330" s="68"/>
      <c r="BH330" s="70"/>
      <c r="BI330" s="67"/>
      <c r="BJ330" s="68"/>
      <c r="BK330" s="70"/>
      <c r="BL330" s="71"/>
      <c r="BM330" s="68"/>
      <c r="BN330" s="69"/>
      <c r="BO330" s="78"/>
      <c r="BP330" s="37">
        <f t="shared" si="27"/>
        <v>0</v>
      </c>
    </row>
    <row r="331" spans="1:68" ht="25.5" customHeight="1" thickTop="1" thickBot="1" x14ac:dyDescent="0.2">
      <c r="A331" s="17">
        <f t="shared" si="28"/>
        <v>316</v>
      </c>
      <c r="B331" s="1044"/>
      <c r="C331" s="1045"/>
      <c r="D331" s="38"/>
      <c r="E331" s="954"/>
      <c r="F331" s="53"/>
      <c r="G331" s="39"/>
      <c r="H331" s="1050"/>
      <c r="I331" s="684" t="str">
        <f t="shared" si="24"/>
        <v/>
      </c>
      <c r="J331" s="754">
        <f t="shared" si="25"/>
        <v>0</v>
      </c>
      <c r="K331" s="1254"/>
      <c r="L331" s="1253"/>
      <c r="M331" s="1253"/>
      <c r="N331" s="773" t="str">
        <f t="shared" si="29"/>
        <v/>
      </c>
      <c r="O331" s="774" t="str">
        <f>IF('Set up ~ Config'!$G$32=6,IF(OR($N331=7,$N331=8,$N331=9),1,IF(OR($N331=10,$N331=11,$N331=12),2,IF(OR($N331=1,$N331=2,$N331=3),3,IF(OR($N331=4,$N331=5,$N331=6),4,"")))),IF(OR($N331=9,$N331=10,$N331=11),1,IF(OR($N331=12,$N331=1,$N331=2),2,IF(OR($N331=3,$N331=4,$N331=5),3,IF(OR($N331=6,$N331=7,$N331=8),4,"")))))</f>
        <v/>
      </c>
      <c r="P331" s="40"/>
      <c r="Q331" s="67"/>
      <c r="R331" s="68"/>
      <c r="S331" s="755">
        <f t="shared" si="26"/>
        <v>0</v>
      </c>
      <c r="T331" s="68"/>
      <c r="U331" s="68"/>
      <c r="V331" s="68"/>
      <c r="W331" s="68"/>
      <c r="X331" s="68"/>
      <c r="Y331" s="68"/>
      <c r="Z331" s="68"/>
      <c r="AA331" s="68"/>
      <c r="AB331" s="69"/>
      <c r="AC331" s="70"/>
      <c r="AD331" s="71"/>
      <c r="AE331" s="68"/>
      <c r="AF331" s="68"/>
      <c r="AG331" s="68"/>
      <c r="AH331" s="68"/>
      <c r="AI331" s="69"/>
      <c r="AJ331" s="69"/>
      <c r="AK331" s="68"/>
      <c r="AL331" s="77"/>
      <c r="AM331" s="71"/>
      <c r="AN331" s="68"/>
      <c r="AO331" s="68"/>
      <c r="AP331" s="68"/>
      <c r="AQ331" s="68"/>
      <c r="AR331" s="68"/>
      <c r="AS331" s="68"/>
      <c r="AT331" s="68"/>
      <c r="AU331" s="70"/>
      <c r="AV331" s="72"/>
      <c r="AW331" s="69"/>
      <c r="AX331" s="69"/>
      <c r="AY331" s="69"/>
      <c r="AZ331" s="69"/>
      <c r="BA331" s="69"/>
      <c r="BB331" s="69"/>
      <c r="BC331" s="69"/>
      <c r="BD331" s="70"/>
      <c r="BE331" s="71"/>
      <c r="BF331" s="68"/>
      <c r="BG331" s="68"/>
      <c r="BH331" s="70"/>
      <c r="BI331" s="67"/>
      <c r="BJ331" s="68"/>
      <c r="BK331" s="70"/>
      <c r="BL331" s="71"/>
      <c r="BM331" s="68"/>
      <c r="BN331" s="69"/>
      <c r="BO331" s="78"/>
      <c r="BP331" s="37">
        <f t="shared" si="27"/>
        <v>0</v>
      </c>
    </row>
    <row r="332" spans="1:68" ht="25.5" customHeight="1" thickTop="1" thickBot="1" x14ac:dyDescent="0.2">
      <c r="A332" s="17">
        <f t="shared" si="28"/>
        <v>317</v>
      </c>
      <c r="B332" s="1044"/>
      <c r="C332" s="1045"/>
      <c r="D332" s="38"/>
      <c r="E332" s="954"/>
      <c r="F332" s="53"/>
      <c r="G332" s="39"/>
      <c r="H332" s="1050"/>
      <c r="I332" s="684" t="str">
        <f t="shared" si="24"/>
        <v/>
      </c>
      <c r="J332" s="754">
        <f t="shared" si="25"/>
        <v>0</v>
      </c>
      <c r="K332" s="1254"/>
      <c r="L332" s="1253"/>
      <c r="M332" s="1253"/>
      <c r="N332" s="773" t="str">
        <f t="shared" si="29"/>
        <v/>
      </c>
      <c r="O332" s="774" t="str">
        <f>IF('Set up ~ Config'!$G$32=6,IF(OR($N332=7,$N332=8,$N332=9),1,IF(OR($N332=10,$N332=11,$N332=12),2,IF(OR($N332=1,$N332=2,$N332=3),3,IF(OR($N332=4,$N332=5,$N332=6),4,"")))),IF(OR($N332=9,$N332=10,$N332=11),1,IF(OR($N332=12,$N332=1,$N332=2),2,IF(OR($N332=3,$N332=4,$N332=5),3,IF(OR($N332=6,$N332=7,$N332=8),4,"")))))</f>
        <v/>
      </c>
      <c r="P332" s="40"/>
      <c r="Q332" s="67"/>
      <c r="R332" s="68"/>
      <c r="S332" s="755">
        <f t="shared" si="26"/>
        <v>0</v>
      </c>
      <c r="T332" s="68"/>
      <c r="U332" s="68"/>
      <c r="V332" s="68"/>
      <c r="W332" s="68"/>
      <c r="X332" s="68"/>
      <c r="Y332" s="68"/>
      <c r="Z332" s="68"/>
      <c r="AA332" s="68"/>
      <c r="AB332" s="69"/>
      <c r="AC332" s="70"/>
      <c r="AD332" s="71"/>
      <c r="AE332" s="68"/>
      <c r="AF332" s="68"/>
      <c r="AG332" s="68"/>
      <c r="AH332" s="68"/>
      <c r="AI332" s="69"/>
      <c r="AJ332" s="69"/>
      <c r="AK332" s="68"/>
      <c r="AL332" s="77"/>
      <c r="AM332" s="71"/>
      <c r="AN332" s="68"/>
      <c r="AO332" s="68"/>
      <c r="AP332" s="68"/>
      <c r="AQ332" s="68"/>
      <c r="AR332" s="68"/>
      <c r="AS332" s="68"/>
      <c r="AT332" s="68"/>
      <c r="AU332" s="70"/>
      <c r="AV332" s="72"/>
      <c r="AW332" s="69"/>
      <c r="AX332" s="69"/>
      <c r="AY332" s="69"/>
      <c r="AZ332" s="69"/>
      <c r="BA332" s="69"/>
      <c r="BB332" s="69"/>
      <c r="BC332" s="69"/>
      <c r="BD332" s="70"/>
      <c r="BE332" s="71"/>
      <c r="BF332" s="68"/>
      <c r="BG332" s="68"/>
      <c r="BH332" s="70"/>
      <c r="BI332" s="67"/>
      <c r="BJ332" s="68"/>
      <c r="BK332" s="70"/>
      <c r="BL332" s="71"/>
      <c r="BM332" s="68"/>
      <c r="BN332" s="69"/>
      <c r="BO332" s="78"/>
      <c r="BP332" s="37">
        <f t="shared" si="27"/>
        <v>0</v>
      </c>
    </row>
    <row r="333" spans="1:68" ht="25.5" customHeight="1" thickTop="1" thickBot="1" x14ac:dyDescent="0.2">
      <c r="A333" s="17">
        <f t="shared" si="28"/>
        <v>318</v>
      </c>
      <c r="B333" s="1044"/>
      <c r="C333" s="1045"/>
      <c r="D333" s="38"/>
      <c r="E333" s="954"/>
      <c r="F333" s="53"/>
      <c r="G333" s="39"/>
      <c r="H333" s="1050"/>
      <c r="I333" s="684" t="str">
        <f t="shared" si="24"/>
        <v/>
      </c>
      <c r="J333" s="754">
        <f t="shared" si="25"/>
        <v>0</v>
      </c>
      <c r="K333" s="1254"/>
      <c r="L333" s="1253"/>
      <c r="M333" s="1253"/>
      <c r="N333" s="773" t="str">
        <f t="shared" si="29"/>
        <v/>
      </c>
      <c r="O333" s="774" t="str">
        <f>IF('Set up ~ Config'!$G$32=6,IF(OR($N333=7,$N333=8,$N333=9),1,IF(OR($N333=10,$N333=11,$N333=12),2,IF(OR($N333=1,$N333=2,$N333=3),3,IF(OR($N333=4,$N333=5,$N333=6),4,"")))),IF(OR($N333=9,$N333=10,$N333=11),1,IF(OR($N333=12,$N333=1,$N333=2),2,IF(OR($N333=3,$N333=4,$N333=5),3,IF(OR($N333=6,$N333=7,$N333=8),4,"")))))</f>
        <v/>
      </c>
      <c r="P333" s="40"/>
      <c r="Q333" s="67"/>
      <c r="R333" s="68"/>
      <c r="S333" s="755">
        <f t="shared" si="26"/>
        <v>0</v>
      </c>
      <c r="T333" s="68"/>
      <c r="U333" s="68"/>
      <c r="V333" s="68"/>
      <c r="W333" s="68"/>
      <c r="X333" s="68"/>
      <c r="Y333" s="68"/>
      <c r="Z333" s="68"/>
      <c r="AA333" s="68"/>
      <c r="AB333" s="69"/>
      <c r="AC333" s="70"/>
      <c r="AD333" s="71"/>
      <c r="AE333" s="68"/>
      <c r="AF333" s="68"/>
      <c r="AG333" s="68"/>
      <c r="AH333" s="68"/>
      <c r="AI333" s="69"/>
      <c r="AJ333" s="69"/>
      <c r="AK333" s="68"/>
      <c r="AL333" s="77"/>
      <c r="AM333" s="71"/>
      <c r="AN333" s="68"/>
      <c r="AO333" s="68"/>
      <c r="AP333" s="68"/>
      <c r="AQ333" s="68"/>
      <c r="AR333" s="68"/>
      <c r="AS333" s="68"/>
      <c r="AT333" s="68"/>
      <c r="AU333" s="70"/>
      <c r="AV333" s="72"/>
      <c r="AW333" s="69"/>
      <c r="AX333" s="69"/>
      <c r="AY333" s="69"/>
      <c r="AZ333" s="69"/>
      <c r="BA333" s="69"/>
      <c r="BB333" s="69"/>
      <c r="BC333" s="69"/>
      <c r="BD333" s="70"/>
      <c r="BE333" s="71"/>
      <c r="BF333" s="68"/>
      <c r="BG333" s="68"/>
      <c r="BH333" s="70"/>
      <c r="BI333" s="67"/>
      <c r="BJ333" s="68"/>
      <c r="BK333" s="70"/>
      <c r="BL333" s="71"/>
      <c r="BM333" s="68"/>
      <c r="BN333" s="69"/>
      <c r="BO333" s="78"/>
      <c r="BP333" s="37">
        <f t="shared" si="27"/>
        <v>0</v>
      </c>
    </row>
    <row r="334" spans="1:68" ht="25.5" customHeight="1" thickTop="1" thickBot="1" x14ac:dyDescent="0.2">
      <c r="A334" s="17">
        <f t="shared" si="28"/>
        <v>319</v>
      </c>
      <c r="B334" s="1044"/>
      <c r="C334" s="1045"/>
      <c r="D334" s="38"/>
      <c r="E334" s="954"/>
      <c r="F334" s="53"/>
      <c r="G334" s="39"/>
      <c r="H334" s="1050"/>
      <c r="I334" s="684" t="str">
        <f t="shared" si="24"/>
        <v/>
      </c>
      <c r="J334" s="754">
        <f t="shared" si="25"/>
        <v>0</v>
      </c>
      <c r="K334" s="1254"/>
      <c r="L334" s="1253"/>
      <c r="M334" s="1253"/>
      <c r="N334" s="773" t="str">
        <f t="shared" si="29"/>
        <v/>
      </c>
      <c r="O334" s="774" t="str">
        <f>IF('Set up ~ Config'!$G$32=6,IF(OR($N334=7,$N334=8,$N334=9),1,IF(OR($N334=10,$N334=11,$N334=12),2,IF(OR($N334=1,$N334=2,$N334=3),3,IF(OR($N334=4,$N334=5,$N334=6),4,"")))),IF(OR($N334=9,$N334=10,$N334=11),1,IF(OR($N334=12,$N334=1,$N334=2),2,IF(OR($N334=3,$N334=4,$N334=5),3,IF(OR($N334=6,$N334=7,$N334=8),4,"")))))</f>
        <v/>
      </c>
      <c r="P334" s="40"/>
      <c r="Q334" s="67"/>
      <c r="R334" s="68"/>
      <c r="S334" s="755">
        <f t="shared" si="26"/>
        <v>0</v>
      </c>
      <c r="T334" s="68"/>
      <c r="U334" s="68"/>
      <c r="V334" s="68"/>
      <c r="W334" s="68"/>
      <c r="X334" s="68"/>
      <c r="Y334" s="68"/>
      <c r="Z334" s="68"/>
      <c r="AA334" s="68"/>
      <c r="AB334" s="69"/>
      <c r="AC334" s="70"/>
      <c r="AD334" s="71"/>
      <c r="AE334" s="68"/>
      <c r="AF334" s="68"/>
      <c r="AG334" s="68"/>
      <c r="AH334" s="68"/>
      <c r="AI334" s="69"/>
      <c r="AJ334" s="69"/>
      <c r="AK334" s="68"/>
      <c r="AL334" s="77"/>
      <c r="AM334" s="71"/>
      <c r="AN334" s="68"/>
      <c r="AO334" s="68"/>
      <c r="AP334" s="68"/>
      <c r="AQ334" s="68"/>
      <c r="AR334" s="68"/>
      <c r="AS334" s="68"/>
      <c r="AT334" s="68"/>
      <c r="AU334" s="70"/>
      <c r="AV334" s="72"/>
      <c r="AW334" s="69"/>
      <c r="AX334" s="69"/>
      <c r="AY334" s="69"/>
      <c r="AZ334" s="69"/>
      <c r="BA334" s="69"/>
      <c r="BB334" s="69"/>
      <c r="BC334" s="69"/>
      <c r="BD334" s="70"/>
      <c r="BE334" s="71"/>
      <c r="BF334" s="68"/>
      <c r="BG334" s="68"/>
      <c r="BH334" s="70"/>
      <c r="BI334" s="67"/>
      <c r="BJ334" s="68"/>
      <c r="BK334" s="70"/>
      <c r="BL334" s="71"/>
      <c r="BM334" s="68"/>
      <c r="BN334" s="69"/>
      <c r="BO334" s="78"/>
      <c r="BP334" s="37">
        <f t="shared" si="27"/>
        <v>0</v>
      </c>
    </row>
    <row r="335" spans="1:68" ht="25.5" customHeight="1" thickTop="1" thickBot="1" x14ac:dyDescent="0.2">
      <c r="A335" s="17">
        <f t="shared" si="28"/>
        <v>320</v>
      </c>
      <c r="B335" s="1044"/>
      <c r="C335" s="1045"/>
      <c r="D335" s="38"/>
      <c r="E335" s="954"/>
      <c r="F335" s="53"/>
      <c r="G335" s="39"/>
      <c r="H335" s="1050"/>
      <c r="I335" s="684" t="str">
        <f t="shared" si="24"/>
        <v/>
      </c>
      <c r="J335" s="754">
        <f t="shared" si="25"/>
        <v>0</v>
      </c>
      <c r="K335" s="1254"/>
      <c r="L335" s="1253"/>
      <c r="M335" s="1253"/>
      <c r="N335" s="773" t="str">
        <f t="shared" si="29"/>
        <v/>
      </c>
      <c r="O335" s="774" t="str">
        <f>IF('Set up ~ Config'!$G$32=6,IF(OR($N335=7,$N335=8,$N335=9),1,IF(OR($N335=10,$N335=11,$N335=12),2,IF(OR($N335=1,$N335=2,$N335=3),3,IF(OR($N335=4,$N335=5,$N335=6),4,"")))),IF(OR($N335=9,$N335=10,$N335=11),1,IF(OR($N335=12,$N335=1,$N335=2),2,IF(OR($N335=3,$N335=4,$N335=5),3,IF(OR($N335=6,$N335=7,$N335=8),4,"")))))</f>
        <v/>
      </c>
      <c r="P335" s="40"/>
      <c r="Q335" s="67"/>
      <c r="R335" s="68"/>
      <c r="S335" s="755">
        <f t="shared" si="26"/>
        <v>0</v>
      </c>
      <c r="T335" s="68"/>
      <c r="U335" s="68"/>
      <c r="V335" s="68"/>
      <c r="W335" s="68"/>
      <c r="X335" s="68"/>
      <c r="Y335" s="68"/>
      <c r="Z335" s="68"/>
      <c r="AA335" s="68"/>
      <c r="AB335" s="69"/>
      <c r="AC335" s="70"/>
      <c r="AD335" s="71"/>
      <c r="AE335" s="68"/>
      <c r="AF335" s="68"/>
      <c r="AG335" s="68"/>
      <c r="AH335" s="68"/>
      <c r="AI335" s="69"/>
      <c r="AJ335" s="69"/>
      <c r="AK335" s="68"/>
      <c r="AL335" s="77"/>
      <c r="AM335" s="71"/>
      <c r="AN335" s="68"/>
      <c r="AO335" s="68"/>
      <c r="AP335" s="68"/>
      <c r="AQ335" s="68"/>
      <c r="AR335" s="68"/>
      <c r="AS335" s="68"/>
      <c r="AT335" s="68"/>
      <c r="AU335" s="70"/>
      <c r="AV335" s="72"/>
      <c r="AW335" s="69"/>
      <c r="AX335" s="69"/>
      <c r="AY335" s="69"/>
      <c r="AZ335" s="69"/>
      <c r="BA335" s="69"/>
      <c r="BB335" s="69"/>
      <c r="BC335" s="69"/>
      <c r="BD335" s="70"/>
      <c r="BE335" s="71"/>
      <c r="BF335" s="68"/>
      <c r="BG335" s="68"/>
      <c r="BH335" s="70"/>
      <c r="BI335" s="67"/>
      <c r="BJ335" s="68"/>
      <c r="BK335" s="70"/>
      <c r="BL335" s="71"/>
      <c r="BM335" s="68"/>
      <c r="BN335" s="69"/>
      <c r="BO335" s="78"/>
      <c r="BP335" s="37">
        <f t="shared" si="27"/>
        <v>0</v>
      </c>
    </row>
    <row r="336" spans="1:68" ht="25.5" customHeight="1" thickTop="1" thickBot="1" x14ac:dyDescent="0.2">
      <c r="A336" s="17">
        <f t="shared" si="28"/>
        <v>321</v>
      </c>
      <c r="B336" s="1044"/>
      <c r="C336" s="1045"/>
      <c r="D336" s="38"/>
      <c r="E336" s="954"/>
      <c r="F336" s="53"/>
      <c r="G336" s="39"/>
      <c r="H336" s="1050"/>
      <c r="I336" s="684" t="str">
        <f t="shared" ref="I336:I399" si="30">LEFT(H336,4)</f>
        <v/>
      </c>
      <c r="J336" s="754">
        <f t="shared" ref="J336:J399" si="31">G336-BP336</f>
        <v>0</v>
      </c>
      <c r="K336" s="1254"/>
      <c r="L336" s="1253"/>
      <c r="M336" s="1253"/>
      <c r="N336" s="773" t="str">
        <f t="shared" si="29"/>
        <v/>
      </c>
      <c r="O336" s="774" t="str">
        <f>IF('Set up ~ Config'!$G$32=6,IF(OR($N336=7,$N336=8,$N336=9),1,IF(OR($N336=10,$N336=11,$N336=12),2,IF(OR($N336=1,$N336=2,$N336=3),3,IF(OR($N336=4,$N336=5,$N336=6),4,"")))),IF(OR($N336=9,$N336=10,$N336=11),1,IF(OR($N336=12,$N336=1,$N336=2),2,IF(OR($N336=3,$N336=4,$N336=5),3,IF(OR($N336=6,$N336=7,$N336=8),4,"")))))</f>
        <v/>
      </c>
      <c r="P336" s="40"/>
      <c r="Q336" s="67"/>
      <c r="R336" s="68"/>
      <c r="S336" s="755">
        <f t="shared" ref="S336:S399" si="32">SUM(T336:W336)</f>
        <v>0</v>
      </c>
      <c r="T336" s="68"/>
      <c r="U336" s="68"/>
      <c r="V336" s="68"/>
      <c r="W336" s="68"/>
      <c r="X336" s="68"/>
      <c r="Y336" s="68"/>
      <c r="Z336" s="68"/>
      <c r="AA336" s="68"/>
      <c r="AB336" s="69"/>
      <c r="AC336" s="70"/>
      <c r="AD336" s="71"/>
      <c r="AE336" s="68"/>
      <c r="AF336" s="68"/>
      <c r="AG336" s="68"/>
      <c r="AH336" s="68"/>
      <c r="AI336" s="69"/>
      <c r="AJ336" s="69"/>
      <c r="AK336" s="68"/>
      <c r="AL336" s="77"/>
      <c r="AM336" s="71"/>
      <c r="AN336" s="68"/>
      <c r="AO336" s="68"/>
      <c r="AP336" s="68"/>
      <c r="AQ336" s="68"/>
      <c r="AR336" s="68"/>
      <c r="AS336" s="68"/>
      <c r="AT336" s="68"/>
      <c r="AU336" s="70"/>
      <c r="AV336" s="72"/>
      <c r="AW336" s="69"/>
      <c r="AX336" s="69"/>
      <c r="AY336" s="69"/>
      <c r="AZ336" s="69"/>
      <c r="BA336" s="69"/>
      <c r="BB336" s="69"/>
      <c r="BC336" s="69"/>
      <c r="BD336" s="70"/>
      <c r="BE336" s="71"/>
      <c r="BF336" s="68"/>
      <c r="BG336" s="68"/>
      <c r="BH336" s="70"/>
      <c r="BI336" s="67"/>
      <c r="BJ336" s="68"/>
      <c r="BK336" s="70"/>
      <c r="BL336" s="71"/>
      <c r="BM336" s="68"/>
      <c r="BN336" s="69"/>
      <c r="BO336" s="78"/>
      <c r="BP336" s="37">
        <f t="shared" ref="BP336:BP399" si="33">SUM(Q336:R336,T336:BO336)</f>
        <v>0</v>
      </c>
    </row>
    <row r="337" spans="1:68" ht="25.5" customHeight="1" thickTop="1" thickBot="1" x14ac:dyDescent="0.2">
      <c r="A337" s="17">
        <f t="shared" ref="A337:A400" si="34">$A336+1</f>
        <v>322</v>
      </c>
      <c r="B337" s="1044"/>
      <c r="C337" s="1045"/>
      <c r="D337" s="38"/>
      <c r="E337" s="954"/>
      <c r="F337" s="53"/>
      <c r="G337" s="39"/>
      <c r="H337" s="1050"/>
      <c r="I337" s="684" t="str">
        <f t="shared" si="30"/>
        <v/>
      </c>
      <c r="J337" s="754">
        <f t="shared" si="31"/>
        <v>0</v>
      </c>
      <c r="K337" s="1254"/>
      <c r="L337" s="1253"/>
      <c r="M337" s="1253"/>
      <c r="N337" s="773" t="str">
        <f t="shared" ref="N337:N400" si="35">IF($E337="","",MONTH($E337))</f>
        <v/>
      </c>
      <c r="O337" s="774" t="str">
        <f>IF('Set up ~ Config'!$G$32=6,IF(OR($N337=7,$N337=8,$N337=9),1,IF(OR($N337=10,$N337=11,$N337=12),2,IF(OR($N337=1,$N337=2,$N337=3),3,IF(OR($N337=4,$N337=5,$N337=6),4,"")))),IF(OR($N337=9,$N337=10,$N337=11),1,IF(OR($N337=12,$N337=1,$N337=2),2,IF(OR($N337=3,$N337=4,$N337=5),3,IF(OR($N337=6,$N337=7,$N337=8),4,"")))))</f>
        <v/>
      </c>
      <c r="P337" s="40"/>
      <c r="Q337" s="67"/>
      <c r="R337" s="68"/>
      <c r="S337" s="755">
        <f t="shared" si="32"/>
        <v>0</v>
      </c>
      <c r="T337" s="68"/>
      <c r="U337" s="68"/>
      <c r="V337" s="68"/>
      <c r="W337" s="68"/>
      <c r="X337" s="68"/>
      <c r="Y337" s="68"/>
      <c r="Z337" s="68"/>
      <c r="AA337" s="68"/>
      <c r="AB337" s="69"/>
      <c r="AC337" s="70"/>
      <c r="AD337" s="71"/>
      <c r="AE337" s="68"/>
      <c r="AF337" s="68"/>
      <c r="AG337" s="68"/>
      <c r="AH337" s="68"/>
      <c r="AI337" s="69"/>
      <c r="AJ337" s="69"/>
      <c r="AK337" s="68"/>
      <c r="AL337" s="77"/>
      <c r="AM337" s="71"/>
      <c r="AN337" s="68"/>
      <c r="AO337" s="68"/>
      <c r="AP337" s="68"/>
      <c r="AQ337" s="68"/>
      <c r="AR337" s="68"/>
      <c r="AS337" s="68"/>
      <c r="AT337" s="68"/>
      <c r="AU337" s="70"/>
      <c r="AV337" s="72"/>
      <c r="AW337" s="69"/>
      <c r="AX337" s="69"/>
      <c r="AY337" s="69"/>
      <c r="AZ337" s="69"/>
      <c r="BA337" s="69"/>
      <c r="BB337" s="69"/>
      <c r="BC337" s="69"/>
      <c r="BD337" s="70"/>
      <c r="BE337" s="71"/>
      <c r="BF337" s="68"/>
      <c r="BG337" s="68"/>
      <c r="BH337" s="70"/>
      <c r="BI337" s="67"/>
      <c r="BJ337" s="68"/>
      <c r="BK337" s="70"/>
      <c r="BL337" s="71"/>
      <c r="BM337" s="68"/>
      <c r="BN337" s="69"/>
      <c r="BO337" s="78"/>
      <c r="BP337" s="37">
        <f t="shared" si="33"/>
        <v>0</v>
      </c>
    </row>
    <row r="338" spans="1:68" ht="25.5" customHeight="1" thickTop="1" thickBot="1" x14ac:dyDescent="0.2">
      <c r="A338" s="17">
        <f t="shared" si="34"/>
        <v>323</v>
      </c>
      <c r="B338" s="1044"/>
      <c r="C338" s="1045"/>
      <c r="D338" s="38"/>
      <c r="E338" s="954"/>
      <c r="F338" s="53"/>
      <c r="G338" s="39"/>
      <c r="H338" s="1050"/>
      <c r="I338" s="684" t="str">
        <f t="shared" si="30"/>
        <v/>
      </c>
      <c r="J338" s="754">
        <f t="shared" si="31"/>
        <v>0</v>
      </c>
      <c r="K338" s="1254"/>
      <c r="L338" s="1253"/>
      <c r="M338" s="1253"/>
      <c r="N338" s="773" t="str">
        <f t="shared" si="35"/>
        <v/>
      </c>
      <c r="O338" s="774" t="str">
        <f>IF('Set up ~ Config'!$G$32=6,IF(OR($N338=7,$N338=8,$N338=9),1,IF(OR($N338=10,$N338=11,$N338=12),2,IF(OR($N338=1,$N338=2,$N338=3),3,IF(OR($N338=4,$N338=5,$N338=6),4,"")))),IF(OR($N338=9,$N338=10,$N338=11),1,IF(OR($N338=12,$N338=1,$N338=2),2,IF(OR($N338=3,$N338=4,$N338=5),3,IF(OR($N338=6,$N338=7,$N338=8),4,"")))))</f>
        <v/>
      </c>
      <c r="P338" s="40"/>
      <c r="Q338" s="67"/>
      <c r="R338" s="68"/>
      <c r="S338" s="755">
        <f t="shared" si="32"/>
        <v>0</v>
      </c>
      <c r="T338" s="68"/>
      <c r="U338" s="68"/>
      <c r="V338" s="68"/>
      <c r="W338" s="68"/>
      <c r="X338" s="68"/>
      <c r="Y338" s="68"/>
      <c r="Z338" s="68"/>
      <c r="AA338" s="68"/>
      <c r="AB338" s="69"/>
      <c r="AC338" s="70"/>
      <c r="AD338" s="71"/>
      <c r="AE338" s="68"/>
      <c r="AF338" s="68"/>
      <c r="AG338" s="68"/>
      <c r="AH338" s="68"/>
      <c r="AI338" s="69"/>
      <c r="AJ338" s="69"/>
      <c r="AK338" s="68"/>
      <c r="AL338" s="77"/>
      <c r="AM338" s="71"/>
      <c r="AN338" s="68"/>
      <c r="AO338" s="68"/>
      <c r="AP338" s="68"/>
      <c r="AQ338" s="68"/>
      <c r="AR338" s="68"/>
      <c r="AS338" s="68"/>
      <c r="AT338" s="68"/>
      <c r="AU338" s="70"/>
      <c r="AV338" s="72"/>
      <c r="AW338" s="69"/>
      <c r="AX338" s="69"/>
      <c r="AY338" s="69"/>
      <c r="AZ338" s="69"/>
      <c r="BA338" s="69"/>
      <c r="BB338" s="69"/>
      <c r="BC338" s="69"/>
      <c r="BD338" s="70"/>
      <c r="BE338" s="71"/>
      <c r="BF338" s="68"/>
      <c r="BG338" s="68"/>
      <c r="BH338" s="70"/>
      <c r="BI338" s="67"/>
      <c r="BJ338" s="68"/>
      <c r="BK338" s="70"/>
      <c r="BL338" s="71"/>
      <c r="BM338" s="68"/>
      <c r="BN338" s="69"/>
      <c r="BO338" s="78"/>
      <c r="BP338" s="37">
        <f t="shared" si="33"/>
        <v>0</v>
      </c>
    </row>
    <row r="339" spans="1:68" ht="25.5" customHeight="1" thickTop="1" thickBot="1" x14ac:dyDescent="0.2">
      <c r="A339" s="17">
        <f t="shared" si="34"/>
        <v>324</v>
      </c>
      <c r="B339" s="1044"/>
      <c r="C339" s="1045"/>
      <c r="D339" s="38"/>
      <c r="E339" s="954"/>
      <c r="F339" s="53"/>
      <c r="G339" s="39"/>
      <c r="H339" s="1050"/>
      <c r="I339" s="684" t="str">
        <f t="shared" si="30"/>
        <v/>
      </c>
      <c r="J339" s="754">
        <f t="shared" si="31"/>
        <v>0</v>
      </c>
      <c r="K339" s="1254"/>
      <c r="L339" s="1253"/>
      <c r="M339" s="1253"/>
      <c r="N339" s="773" t="str">
        <f t="shared" si="35"/>
        <v/>
      </c>
      <c r="O339" s="774" t="str">
        <f>IF('Set up ~ Config'!$G$32=6,IF(OR($N339=7,$N339=8,$N339=9),1,IF(OR($N339=10,$N339=11,$N339=12),2,IF(OR($N339=1,$N339=2,$N339=3),3,IF(OR($N339=4,$N339=5,$N339=6),4,"")))),IF(OR($N339=9,$N339=10,$N339=11),1,IF(OR($N339=12,$N339=1,$N339=2),2,IF(OR($N339=3,$N339=4,$N339=5),3,IF(OR($N339=6,$N339=7,$N339=8),4,"")))))</f>
        <v/>
      </c>
      <c r="P339" s="40"/>
      <c r="Q339" s="67"/>
      <c r="R339" s="68"/>
      <c r="S339" s="755">
        <f t="shared" si="32"/>
        <v>0</v>
      </c>
      <c r="T339" s="68"/>
      <c r="U339" s="68"/>
      <c r="V339" s="68"/>
      <c r="W339" s="68"/>
      <c r="X339" s="68"/>
      <c r="Y339" s="68"/>
      <c r="Z339" s="68"/>
      <c r="AA339" s="68"/>
      <c r="AB339" s="69"/>
      <c r="AC339" s="70"/>
      <c r="AD339" s="71"/>
      <c r="AE339" s="68"/>
      <c r="AF339" s="68"/>
      <c r="AG339" s="68"/>
      <c r="AH339" s="68"/>
      <c r="AI339" s="69"/>
      <c r="AJ339" s="69"/>
      <c r="AK339" s="68"/>
      <c r="AL339" s="77"/>
      <c r="AM339" s="71"/>
      <c r="AN339" s="68"/>
      <c r="AO339" s="68"/>
      <c r="AP339" s="68"/>
      <c r="AQ339" s="68"/>
      <c r="AR339" s="68"/>
      <c r="AS339" s="68"/>
      <c r="AT339" s="68"/>
      <c r="AU339" s="70"/>
      <c r="AV339" s="72"/>
      <c r="AW339" s="69"/>
      <c r="AX339" s="69"/>
      <c r="AY339" s="69"/>
      <c r="AZ339" s="69"/>
      <c r="BA339" s="69"/>
      <c r="BB339" s="69"/>
      <c r="BC339" s="69"/>
      <c r="BD339" s="70"/>
      <c r="BE339" s="71"/>
      <c r="BF339" s="68"/>
      <c r="BG339" s="68"/>
      <c r="BH339" s="70"/>
      <c r="BI339" s="67"/>
      <c r="BJ339" s="68"/>
      <c r="BK339" s="70"/>
      <c r="BL339" s="71"/>
      <c r="BM339" s="68"/>
      <c r="BN339" s="69"/>
      <c r="BO339" s="78"/>
      <c r="BP339" s="37">
        <f t="shared" si="33"/>
        <v>0</v>
      </c>
    </row>
    <row r="340" spans="1:68" ht="25.5" customHeight="1" thickTop="1" thickBot="1" x14ac:dyDescent="0.2">
      <c r="A340" s="17">
        <f t="shared" si="34"/>
        <v>325</v>
      </c>
      <c r="B340" s="1044"/>
      <c r="C340" s="1045"/>
      <c r="D340" s="38"/>
      <c r="E340" s="954"/>
      <c r="F340" s="53"/>
      <c r="G340" s="39"/>
      <c r="H340" s="1050"/>
      <c r="I340" s="684" t="str">
        <f t="shared" si="30"/>
        <v/>
      </c>
      <c r="J340" s="754">
        <f t="shared" si="31"/>
        <v>0</v>
      </c>
      <c r="K340" s="1254"/>
      <c r="L340" s="1253"/>
      <c r="M340" s="1253"/>
      <c r="N340" s="773" t="str">
        <f t="shared" si="35"/>
        <v/>
      </c>
      <c r="O340" s="774" t="str">
        <f>IF('Set up ~ Config'!$G$32=6,IF(OR($N340=7,$N340=8,$N340=9),1,IF(OR($N340=10,$N340=11,$N340=12),2,IF(OR($N340=1,$N340=2,$N340=3),3,IF(OR($N340=4,$N340=5,$N340=6),4,"")))),IF(OR($N340=9,$N340=10,$N340=11),1,IF(OR($N340=12,$N340=1,$N340=2),2,IF(OR($N340=3,$N340=4,$N340=5),3,IF(OR($N340=6,$N340=7,$N340=8),4,"")))))</f>
        <v/>
      </c>
      <c r="P340" s="40"/>
      <c r="Q340" s="67"/>
      <c r="R340" s="68"/>
      <c r="S340" s="755">
        <f t="shared" si="32"/>
        <v>0</v>
      </c>
      <c r="T340" s="68"/>
      <c r="U340" s="68"/>
      <c r="V340" s="68"/>
      <c r="W340" s="68"/>
      <c r="X340" s="68"/>
      <c r="Y340" s="68"/>
      <c r="Z340" s="68"/>
      <c r="AA340" s="68"/>
      <c r="AB340" s="69"/>
      <c r="AC340" s="70"/>
      <c r="AD340" s="71"/>
      <c r="AE340" s="68"/>
      <c r="AF340" s="68"/>
      <c r="AG340" s="68"/>
      <c r="AH340" s="68"/>
      <c r="AI340" s="69"/>
      <c r="AJ340" s="69"/>
      <c r="AK340" s="68"/>
      <c r="AL340" s="77"/>
      <c r="AM340" s="71"/>
      <c r="AN340" s="68"/>
      <c r="AO340" s="68"/>
      <c r="AP340" s="68"/>
      <c r="AQ340" s="68"/>
      <c r="AR340" s="68"/>
      <c r="AS340" s="68"/>
      <c r="AT340" s="68"/>
      <c r="AU340" s="70"/>
      <c r="AV340" s="72"/>
      <c r="AW340" s="69"/>
      <c r="AX340" s="69"/>
      <c r="AY340" s="69"/>
      <c r="AZ340" s="69"/>
      <c r="BA340" s="69"/>
      <c r="BB340" s="69"/>
      <c r="BC340" s="69"/>
      <c r="BD340" s="70"/>
      <c r="BE340" s="71"/>
      <c r="BF340" s="68"/>
      <c r="BG340" s="68"/>
      <c r="BH340" s="70"/>
      <c r="BI340" s="67"/>
      <c r="BJ340" s="68"/>
      <c r="BK340" s="70"/>
      <c r="BL340" s="71"/>
      <c r="BM340" s="68"/>
      <c r="BN340" s="69"/>
      <c r="BO340" s="78"/>
      <c r="BP340" s="37">
        <f t="shared" si="33"/>
        <v>0</v>
      </c>
    </row>
    <row r="341" spans="1:68" ht="25.5" customHeight="1" thickTop="1" thickBot="1" x14ac:dyDescent="0.2">
      <c r="A341" s="17">
        <f t="shared" si="34"/>
        <v>326</v>
      </c>
      <c r="B341" s="1044"/>
      <c r="C341" s="1045"/>
      <c r="D341" s="38"/>
      <c r="E341" s="954"/>
      <c r="F341" s="53"/>
      <c r="G341" s="39"/>
      <c r="H341" s="1050"/>
      <c r="I341" s="684" t="str">
        <f t="shared" si="30"/>
        <v/>
      </c>
      <c r="J341" s="754">
        <f t="shared" si="31"/>
        <v>0</v>
      </c>
      <c r="K341" s="1254"/>
      <c r="L341" s="1253"/>
      <c r="M341" s="1253"/>
      <c r="N341" s="773" t="str">
        <f t="shared" si="35"/>
        <v/>
      </c>
      <c r="O341" s="774" t="str">
        <f>IF('Set up ~ Config'!$G$32=6,IF(OR($N341=7,$N341=8,$N341=9),1,IF(OR($N341=10,$N341=11,$N341=12),2,IF(OR($N341=1,$N341=2,$N341=3),3,IF(OR($N341=4,$N341=5,$N341=6),4,"")))),IF(OR($N341=9,$N341=10,$N341=11),1,IF(OR($N341=12,$N341=1,$N341=2),2,IF(OR($N341=3,$N341=4,$N341=5),3,IF(OR($N341=6,$N341=7,$N341=8),4,"")))))</f>
        <v/>
      </c>
      <c r="P341" s="40"/>
      <c r="Q341" s="67"/>
      <c r="R341" s="68"/>
      <c r="S341" s="755">
        <f t="shared" si="32"/>
        <v>0</v>
      </c>
      <c r="T341" s="68"/>
      <c r="U341" s="68"/>
      <c r="V341" s="68"/>
      <c r="W341" s="68"/>
      <c r="X341" s="68"/>
      <c r="Y341" s="68"/>
      <c r="Z341" s="68"/>
      <c r="AA341" s="68"/>
      <c r="AB341" s="69"/>
      <c r="AC341" s="70"/>
      <c r="AD341" s="71"/>
      <c r="AE341" s="68"/>
      <c r="AF341" s="68"/>
      <c r="AG341" s="68"/>
      <c r="AH341" s="68"/>
      <c r="AI341" s="69"/>
      <c r="AJ341" s="69"/>
      <c r="AK341" s="68"/>
      <c r="AL341" s="77"/>
      <c r="AM341" s="71"/>
      <c r="AN341" s="68"/>
      <c r="AO341" s="68"/>
      <c r="AP341" s="68"/>
      <c r="AQ341" s="68"/>
      <c r="AR341" s="68"/>
      <c r="AS341" s="68"/>
      <c r="AT341" s="68"/>
      <c r="AU341" s="70"/>
      <c r="AV341" s="72"/>
      <c r="AW341" s="69"/>
      <c r="AX341" s="69"/>
      <c r="AY341" s="69"/>
      <c r="AZ341" s="69"/>
      <c r="BA341" s="69"/>
      <c r="BB341" s="69"/>
      <c r="BC341" s="69"/>
      <c r="BD341" s="70"/>
      <c r="BE341" s="71"/>
      <c r="BF341" s="68"/>
      <c r="BG341" s="68"/>
      <c r="BH341" s="70"/>
      <c r="BI341" s="67"/>
      <c r="BJ341" s="68"/>
      <c r="BK341" s="70"/>
      <c r="BL341" s="71"/>
      <c r="BM341" s="68"/>
      <c r="BN341" s="69"/>
      <c r="BO341" s="78"/>
      <c r="BP341" s="37">
        <f t="shared" si="33"/>
        <v>0</v>
      </c>
    </row>
    <row r="342" spans="1:68" ht="25.5" customHeight="1" thickTop="1" thickBot="1" x14ac:dyDescent="0.2">
      <c r="A342" s="17">
        <f t="shared" si="34"/>
        <v>327</v>
      </c>
      <c r="B342" s="1044"/>
      <c r="C342" s="1045"/>
      <c r="D342" s="38"/>
      <c r="E342" s="954"/>
      <c r="F342" s="53"/>
      <c r="G342" s="39"/>
      <c r="H342" s="1050"/>
      <c r="I342" s="684" t="str">
        <f t="shared" si="30"/>
        <v/>
      </c>
      <c r="J342" s="754">
        <f t="shared" si="31"/>
        <v>0</v>
      </c>
      <c r="K342" s="1254"/>
      <c r="L342" s="1253"/>
      <c r="M342" s="1253"/>
      <c r="N342" s="773" t="str">
        <f t="shared" si="35"/>
        <v/>
      </c>
      <c r="O342" s="774" t="str">
        <f>IF('Set up ~ Config'!$G$32=6,IF(OR($N342=7,$N342=8,$N342=9),1,IF(OR($N342=10,$N342=11,$N342=12),2,IF(OR($N342=1,$N342=2,$N342=3),3,IF(OR($N342=4,$N342=5,$N342=6),4,"")))),IF(OR($N342=9,$N342=10,$N342=11),1,IF(OR($N342=12,$N342=1,$N342=2),2,IF(OR($N342=3,$N342=4,$N342=5),3,IF(OR($N342=6,$N342=7,$N342=8),4,"")))))</f>
        <v/>
      </c>
      <c r="P342" s="40"/>
      <c r="Q342" s="67"/>
      <c r="R342" s="68"/>
      <c r="S342" s="755">
        <f t="shared" si="32"/>
        <v>0</v>
      </c>
      <c r="T342" s="68"/>
      <c r="U342" s="68"/>
      <c r="V342" s="68"/>
      <c r="W342" s="68"/>
      <c r="X342" s="68"/>
      <c r="Y342" s="68"/>
      <c r="Z342" s="68"/>
      <c r="AA342" s="68"/>
      <c r="AB342" s="69"/>
      <c r="AC342" s="70"/>
      <c r="AD342" s="71"/>
      <c r="AE342" s="68"/>
      <c r="AF342" s="68"/>
      <c r="AG342" s="68"/>
      <c r="AH342" s="68"/>
      <c r="AI342" s="69"/>
      <c r="AJ342" s="69"/>
      <c r="AK342" s="68"/>
      <c r="AL342" s="77"/>
      <c r="AM342" s="71"/>
      <c r="AN342" s="68"/>
      <c r="AO342" s="68"/>
      <c r="AP342" s="68"/>
      <c r="AQ342" s="68"/>
      <c r="AR342" s="68"/>
      <c r="AS342" s="68"/>
      <c r="AT342" s="68"/>
      <c r="AU342" s="70"/>
      <c r="AV342" s="72"/>
      <c r="AW342" s="69"/>
      <c r="AX342" s="69"/>
      <c r="AY342" s="69"/>
      <c r="AZ342" s="69"/>
      <c r="BA342" s="69"/>
      <c r="BB342" s="69"/>
      <c r="BC342" s="69"/>
      <c r="BD342" s="70"/>
      <c r="BE342" s="71"/>
      <c r="BF342" s="68"/>
      <c r="BG342" s="68"/>
      <c r="BH342" s="70"/>
      <c r="BI342" s="67"/>
      <c r="BJ342" s="68"/>
      <c r="BK342" s="70"/>
      <c r="BL342" s="71"/>
      <c r="BM342" s="68"/>
      <c r="BN342" s="69"/>
      <c r="BO342" s="78"/>
      <c r="BP342" s="37">
        <f t="shared" si="33"/>
        <v>0</v>
      </c>
    </row>
    <row r="343" spans="1:68" ht="25.5" customHeight="1" thickTop="1" thickBot="1" x14ac:dyDescent="0.2">
      <c r="A343" s="17">
        <f t="shared" si="34"/>
        <v>328</v>
      </c>
      <c r="B343" s="1044"/>
      <c r="C343" s="1045"/>
      <c r="D343" s="38"/>
      <c r="E343" s="954"/>
      <c r="F343" s="53"/>
      <c r="G343" s="39"/>
      <c r="H343" s="1050"/>
      <c r="I343" s="684" t="str">
        <f t="shared" si="30"/>
        <v/>
      </c>
      <c r="J343" s="754">
        <f t="shared" si="31"/>
        <v>0</v>
      </c>
      <c r="K343" s="1254"/>
      <c r="L343" s="1253"/>
      <c r="M343" s="1253"/>
      <c r="N343" s="773" t="str">
        <f t="shared" si="35"/>
        <v/>
      </c>
      <c r="O343" s="774" t="str">
        <f>IF('Set up ~ Config'!$G$32=6,IF(OR($N343=7,$N343=8,$N343=9),1,IF(OR($N343=10,$N343=11,$N343=12),2,IF(OR($N343=1,$N343=2,$N343=3),3,IF(OR($N343=4,$N343=5,$N343=6),4,"")))),IF(OR($N343=9,$N343=10,$N343=11),1,IF(OR($N343=12,$N343=1,$N343=2),2,IF(OR($N343=3,$N343=4,$N343=5),3,IF(OR($N343=6,$N343=7,$N343=8),4,"")))))</f>
        <v/>
      </c>
      <c r="P343" s="40"/>
      <c r="Q343" s="67"/>
      <c r="R343" s="68"/>
      <c r="S343" s="755">
        <f t="shared" si="32"/>
        <v>0</v>
      </c>
      <c r="T343" s="68"/>
      <c r="U343" s="68"/>
      <c r="V343" s="68"/>
      <c r="W343" s="68"/>
      <c r="X343" s="68"/>
      <c r="Y343" s="68"/>
      <c r="Z343" s="68"/>
      <c r="AA343" s="68"/>
      <c r="AB343" s="69"/>
      <c r="AC343" s="70"/>
      <c r="AD343" s="71"/>
      <c r="AE343" s="68"/>
      <c r="AF343" s="68"/>
      <c r="AG343" s="68"/>
      <c r="AH343" s="68"/>
      <c r="AI343" s="69"/>
      <c r="AJ343" s="69"/>
      <c r="AK343" s="68"/>
      <c r="AL343" s="77"/>
      <c r="AM343" s="71"/>
      <c r="AN343" s="68"/>
      <c r="AO343" s="68"/>
      <c r="AP343" s="68"/>
      <c r="AQ343" s="68"/>
      <c r="AR343" s="68"/>
      <c r="AS343" s="68"/>
      <c r="AT343" s="68"/>
      <c r="AU343" s="70"/>
      <c r="AV343" s="72"/>
      <c r="AW343" s="69"/>
      <c r="AX343" s="69"/>
      <c r="AY343" s="69"/>
      <c r="AZ343" s="69"/>
      <c r="BA343" s="69"/>
      <c r="BB343" s="69"/>
      <c r="BC343" s="69"/>
      <c r="BD343" s="70"/>
      <c r="BE343" s="71"/>
      <c r="BF343" s="68"/>
      <c r="BG343" s="68"/>
      <c r="BH343" s="70"/>
      <c r="BI343" s="67"/>
      <c r="BJ343" s="68"/>
      <c r="BK343" s="70"/>
      <c r="BL343" s="71"/>
      <c r="BM343" s="68"/>
      <c r="BN343" s="69"/>
      <c r="BO343" s="78"/>
      <c r="BP343" s="37">
        <f t="shared" si="33"/>
        <v>0</v>
      </c>
    </row>
    <row r="344" spans="1:68" ht="25.5" customHeight="1" thickTop="1" thickBot="1" x14ac:dyDescent="0.2">
      <c r="A344" s="17">
        <f t="shared" si="34"/>
        <v>329</v>
      </c>
      <c r="B344" s="1044"/>
      <c r="C344" s="1045"/>
      <c r="D344" s="38"/>
      <c r="E344" s="954"/>
      <c r="F344" s="53"/>
      <c r="G344" s="39"/>
      <c r="H344" s="1050"/>
      <c r="I344" s="684" t="str">
        <f t="shared" si="30"/>
        <v/>
      </c>
      <c r="J344" s="754">
        <f t="shared" si="31"/>
        <v>0</v>
      </c>
      <c r="K344" s="1254"/>
      <c r="L344" s="1253"/>
      <c r="M344" s="1253"/>
      <c r="N344" s="773" t="str">
        <f t="shared" si="35"/>
        <v/>
      </c>
      <c r="O344" s="774" t="str">
        <f>IF('Set up ~ Config'!$G$32=6,IF(OR($N344=7,$N344=8,$N344=9),1,IF(OR($N344=10,$N344=11,$N344=12),2,IF(OR($N344=1,$N344=2,$N344=3),3,IF(OR($N344=4,$N344=5,$N344=6),4,"")))),IF(OR($N344=9,$N344=10,$N344=11),1,IF(OR($N344=12,$N344=1,$N344=2),2,IF(OR($N344=3,$N344=4,$N344=5),3,IF(OR($N344=6,$N344=7,$N344=8),4,"")))))</f>
        <v/>
      </c>
      <c r="P344" s="40"/>
      <c r="Q344" s="67"/>
      <c r="R344" s="68"/>
      <c r="S344" s="755">
        <f t="shared" si="32"/>
        <v>0</v>
      </c>
      <c r="T344" s="68"/>
      <c r="U344" s="68"/>
      <c r="V344" s="68"/>
      <c r="W344" s="68"/>
      <c r="X344" s="68"/>
      <c r="Y344" s="68"/>
      <c r="Z344" s="68"/>
      <c r="AA344" s="68"/>
      <c r="AB344" s="69"/>
      <c r="AC344" s="70"/>
      <c r="AD344" s="71"/>
      <c r="AE344" s="68"/>
      <c r="AF344" s="68"/>
      <c r="AG344" s="68"/>
      <c r="AH344" s="68"/>
      <c r="AI344" s="69"/>
      <c r="AJ344" s="69"/>
      <c r="AK344" s="68"/>
      <c r="AL344" s="77"/>
      <c r="AM344" s="71"/>
      <c r="AN344" s="68"/>
      <c r="AO344" s="68"/>
      <c r="AP344" s="68"/>
      <c r="AQ344" s="68"/>
      <c r="AR344" s="68"/>
      <c r="AS344" s="68"/>
      <c r="AT344" s="68"/>
      <c r="AU344" s="70"/>
      <c r="AV344" s="72"/>
      <c r="AW344" s="69"/>
      <c r="AX344" s="69"/>
      <c r="AY344" s="69"/>
      <c r="AZ344" s="69"/>
      <c r="BA344" s="69"/>
      <c r="BB344" s="69"/>
      <c r="BC344" s="69"/>
      <c r="BD344" s="70"/>
      <c r="BE344" s="71"/>
      <c r="BF344" s="68"/>
      <c r="BG344" s="68"/>
      <c r="BH344" s="70"/>
      <c r="BI344" s="67"/>
      <c r="BJ344" s="68"/>
      <c r="BK344" s="70"/>
      <c r="BL344" s="71"/>
      <c r="BM344" s="68"/>
      <c r="BN344" s="69"/>
      <c r="BO344" s="78"/>
      <c r="BP344" s="37">
        <f t="shared" si="33"/>
        <v>0</v>
      </c>
    </row>
    <row r="345" spans="1:68" ht="25.5" customHeight="1" thickTop="1" thickBot="1" x14ac:dyDescent="0.2">
      <c r="A345" s="17">
        <f t="shared" si="34"/>
        <v>330</v>
      </c>
      <c r="B345" s="1044"/>
      <c r="C345" s="1045"/>
      <c r="D345" s="38"/>
      <c r="E345" s="954"/>
      <c r="F345" s="53"/>
      <c r="G345" s="39"/>
      <c r="H345" s="1050"/>
      <c r="I345" s="684" t="str">
        <f t="shared" si="30"/>
        <v/>
      </c>
      <c r="J345" s="754">
        <f t="shared" si="31"/>
        <v>0</v>
      </c>
      <c r="K345" s="1254"/>
      <c r="L345" s="1253"/>
      <c r="M345" s="1253"/>
      <c r="N345" s="773" t="str">
        <f t="shared" si="35"/>
        <v/>
      </c>
      <c r="O345" s="774" t="str">
        <f>IF('Set up ~ Config'!$G$32=6,IF(OR($N345=7,$N345=8,$N345=9),1,IF(OR($N345=10,$N345=11,$N345=12),2,IF(OR($N345=1,$N345=2,$N345=3),3,IF(OR($N345=4,$N345=5,$N345=6),4,"")))),IF(OR($N345=9,$N345=10,$N345=11),1,IF(OR($N345=12,$N345=1,$N345=2),2,IF(OR($N345=3,$N345=4,$N345=5),3,IF(OR($N345=6,$N345=7,$N345=8),4,"")))))</f>
        <v/>
      </c>
      <c r="P345" s="40"/>
      <c r="Q345" s="67"/>
      <c r="R345" s="68"/>
      <c r="S345" s="755">
        <f t="shared" si="32"/>
        <v>0</v>
      </c>
      <c r="T345" s="68"/>
      <c r="U345" s="68"/>
      <c r="V345" s="68"/>
      <c r="W345" s="68"/>
      <c r="X345" s="68"/>
      <c r="Y345" s="68"/>
      <c r="Z345" s="68"/>
      <c r="AA345" s="68"/>
      <c r="AB345" s="69"/>
      <c r="AC345" s="70"/>
      <c r="AD345" s="71"/>
      <c r="AE345" s="68"/>
      <c r="AF345" s="68"/>
      <c r="AG345" s="68"/>
      <c r="AH345" s="68"/>
      <c r="AI345" s="69"/>
      <c r="AJ345" s="69"/>
      <c r="AK345" s="68"/>
      <c r="AL345" s="77"/>
      <c r="AM345" s="71"/>
      <c r="AN345" s="68"/>
      <c r="AO345" s="68"/>
      <c r="AP345" s="68"/>
      <c r="AQ345" s="68"/>
      <c r="AR345" s="68"/>
      <c r="AS345" s="68"/>
      <c r="AT345" s="68"/>
      <c r="AU345" s="70"/>
      <c r="AV345" s="72"/>
      <c r="AW345" s="69"/>
      <c r="AX345" s="69"/>
      <c r="AY345" s="69"/>
      <c r="AZ345" s="69"/>
      <c r="BA345" s="69"/>
      <c r="BB345" s="69"/>
      <c r="BC345" s="69"/>
      <c r="BD345" s="70"/>
      <c r="BE345" s="71"/>
      <c r="BF345" s="68"/>
      <c r="BG345" s="68"/>
      <c r="BH345" s="70"/>
      <c r="BI345" s="67"/>
      <c r="BJ345" s="68"/>
      <c r="BK345" s="70"/>
      <c r="BL345" s="71"/>
      <c r="BM345" s="68"/>
      <c r="BN345" s="69"/>
      <c r="BO345" s="78"/>
      <c r="BP345" s="37">
        <f t="shared" si="33"/>
        <v>0</v>
      </c>
    </row>
    <row r="346" spans="1:68" ht="25.5" customHeight="1" thickTop="1" thickBot="1" x14ac:dyDescent="0.2">
      <c r="A346" s="17">
        <f t="shared" si="34"/>
        <v>331</v>
      </c>
      <c r="B346" s="1044"/>
      <c r="C346" s="1045"/>
      <c r="D346" s="38"/>
      <c r="E346" s="954"/>
      <c r="F346" s="53"/>
      <c r="G346" s="39"/>
      <c r="H346" s="1050"/>
      <c r="I346" s="684" t="str">
        <f t="shared" si="30"/>
        <v/>
      </c>
      <c r="J346" s="754">
        <f t="shared" si="31"/>
        <v>0</v>
      </c>
      <c r="K346" s="1254"/>
      <c r="L346" s="1253"/>
      <c r="M346" s="1253"/>
      <c r="N346" s="773" t="str">
        <f t="shared" si="35"/>
        <v/>
      </c>
      <c r="O346" s="774" t="str">
        <f>IF('Set up ~ Config'!$G$32=6,IF(OR($N346=7,$N346=8,$N346=9),1,IF(OR($N346=10,$N346=11,$N346=12),2,IF(OR($N346=1,$N346=2,$N346=3),3,IF(OR($N346=4,$N346=5,$N346=6),4,"")))),IF(OR($N346=9,$N346=10,$N346=11),1,IF(OR($N346=12,$N346=1,$N346=2),2,IF(OR($N346=3,$N346=4,$N346=5),3,IF(OR($N346=6,$N346=7,$N346=8),4,"")))))</f>
        <v/>
      </c>
      <c r="P346" s="40"/>
      <c r="Q346" s="67"/>
      <c r="R346" s="68"/>
      <c r="S346" s="755">
        <f t="shared" si="32"/>
        <v>0</v>
      </c>
      <c r="T346" s="68"/>
      <c r="U346" s="68"/>
      <c r="V346" s="68"/>
      <c r="W346" s="68"/>
      <c r="X346" s="68"/>
      <c r="Y346" s="68"/>
      <c r="Z346" s="68"/>
      <c r="AA346" s="68"/>
      <c r="AB346" s="69"/>
      <c r="AC346" s="70"/>
      <c r="AD346" s="71"/>
      <c r="AE346" s="68"/>
      <c r="AF346" s="68"/>
      <c r="AG346" s="68"/>
      <c r="AH346" s="68"/>
      <c r="AI346" s="69"/>
      <c r="AJ346" s="69"/>
      <c r="AK346" s="68"/>
      <c r="AL346" s="77"/>
      <c r="AM346" s="71"/>
      <c r="AN346" s="68"/>
      <c r="AO346" s="68"/>
      <c r="AP346" s="68"/>
      <c r="AQ346" s="68"/>
      <c r="AR346" s="68"/>
      <c r="AS346" s="68"/>
      <c r="AT346" s="68"/>
      <c r="AU346" s="70"/>
      <c r="AV346" s="72"/>
      <c r="AW346" s="69"/>
      <c r="AX346" s="69"/>
      <c r="AY346" s="69"/>
      <c r="AZ346" s="69"/>
      <c r="BA346" s="69"/>
      <c r="BB346" s="69"/>
      <c r="BC346" s="69"/>
      <c r="BD346" s="70"/>
      <c r="BE346" s="71"/>
      <c r="BF346" s="68"/>
      <c r="BG346" s="68"/>
      <c r="BH346" s="70"/>
      <c r="BI346" s="67"/>
      <c r="BJ346" s="68"/>
      <c r="BK346" s="70"/>
      <c r="BL346" s="71"/>
      <c r="BM346" s="68"/>
      <c r="BN346" s="69"/>
      <c r="BO346" s="78"/>
      <c r="BP346" s="37">
        <f t="shared" si="33"/>
        <v>0</v>
      </c>
    </row>
    <row r="347" spans="1:68" ht="25.5" customHeight="1" thickTop="1" thickBot="1" x14ac:dyDescent="0.2">
      <c r="A347" s="17">
        <f t="shared" si="34"/>
        <v>332</v>
      </c>
      <c r="B347" s="1044"/>
      <c r="C347" s="1045"/>
      <c r="D347" s="38"/>
      <c r="E347" s="954"/>
      <c r="F347" s="53"/>
      <c r="G347" s="39"/>
      <c r="H347" s="1050"/>
      <c r="I347" s="684" t="str">
        <f t="shared" si="30"/>
        <v/>
      </c>
      <c r="J347" s="754">
        <f t="shared" si="31"/>
        <v>0</v>
      </c>
      <c r="K347" s="1254"/>
      <c r="L347" s="1253"/>
      <c r="M347" s="1253"/>
      <c r="N347" s="773" t="str">
        <f t="shared" si="35"/>
        <v/>
      </c>
      <c r="O347" s="774" t="str">
        <f>IF('Set up ~ Config'!$G$32=6,IF(OR($N347=7,$N347=8,$N347=9),1,IF(OR($N347=10,$N347=11,$N347=12),2,IF(OR($N347=1,$N347=2,$N347=3),3,IF(OR($N347=4,$N347=5,$N347=6),4,"")))),IF(OR($N347=9,$N347=10,$N347=11),1,IF(OR($N347=12,$N347=1,$N347=2),2,IF(OR($N347=3,$N347=4,$N347=5),3,IF(OR($N347=6,$N347=7,$N347=8),4,"")))))</f>
        <v/>
      </c>
      <c r="P347" s="40"/>
      <c r="Q347" s="67"/>
      <c r="R347" s="68"/>
      <c r="S347" s="755">
        <f t="shared" si="32"/>
        <v>0</v>
      </c>
      <c r="T347" s="68"/>
      <c r="U347" s="68"/>
      <c r="V347" s="68"/>
      <c r="W347" s="68"/>
      <c r="X347" s="68"/>
      <c r="Y347" s="68"/>
      <c r="Z347" s="68"/>
      <c r="AA347" s="68"/>
      <c r="AB347" s="69"/>
      <c r="AC347" s="70"/>
      <c r="AD347" s="71"/>
      <c r="AE347" s="68"/>
      <c r="AF347" s="68"/>
      <c r="AG347" s="68"/>
      <c r="AH347" s="68"/>
      <c r="AI347" s="69"/>
      <c r="AJ347" s="69"/>
      <c r="AK347" s="68"/>
      <c r="AL347" s="77"/>
      <c r="AM347" s="71"/>
      <c r="AN347" s="68"/>
      <c r="AO347" s="68"/>
      <c r="AP347" s="68"/>
      <c r="AQ347" s="68"/>
      <c r="AR347" s="68"/>
      <c r="AS347" s="68"/>
      <c r="AT347" s="68"/>
      <c r="AU347" s="70"/>
      <c r="AV347" s="72"/>
      <c r="AW347" s="69"/>
      <c r="AX347" s="69"/>
      <c r="AY347" s="69"/>
      <c r="AZ347" s="69"/>
      <c r="BA347" s="69"/>
      <c r="BB347" s="69"/>
      <c r="BC347" s="69"/>
      <c r="BD347" s="70"/>
      <c r="BE347" s="71"/>
      <c r="BF347" s="68"/>
      <c r="BG347" s="68"/>
      <c r="BH347" s="70"/>
      <c r="BI347" s="67"/>
      <c r="BJ347" s="68"/>
      <c r="BK347" s="70"/>
      <c r="BL347" s="71"/>
      <c r="BM347" s="68"/>
      <c r="BN347" s="69"/>
      <c r="BO347" s="78"/>
      <c r="BP347" s="37">
        <f t="shared" si="33"/>
        <v>0</v>
      </c>
    </row>
    <row r="348" spans="1:68" ht="25.5" customHeight="1" thickTop="1" thickBot="1" x14ac:dyDescent="0.2">
      <c r="A348" s="17">
        <f t="shared" si="34"/>
        <v>333</v>
      </c>
      <c r="B348" s="1044"/>
      <c r="C348" s="1045"/>
      <c r="D348" s="38"/>
      <c r="E348" s="954"/>
      <c r="F348" s="53"/>
      <c r="G348" s="39"/>
      <c r="H348" s="1050"/>
      <c r="I348" s="684" t="str">
        <f t="shared" si="30"/>
        <v/>
      </c>
      <c r="J348" s="754">
        <f t="shared" si="31"/>
        <v>0</v>
      </c>
      <c r="K348" s="1254"/>
      <c r="L348" s="1253"/>
      <c r="M348" s="1253"/>
      <c r="N348" s="773" t="str">
        <f t="shared" si="35"/>
        <v/>
      </c>
      <c r="O348" s="774" t="str">
        <f>IF('Set up ~ Config'!$G$32=6,IF(OR($N348=7,$N348=8,$N348=9),1,IF(OR($N348=10,$N348=11,$N348=12),2,IF(OR($N348=1,$N348=2,$N348=3),3,IF(OR($N348=4,$N348=5,$N348=6),4,"")))),IF(OR($N348=9,$N348=10,$N348=11),1,IF(OR($N348=12,$N348=1,$N348=2),2,IF(OR($N348=3,$N348=4,$N348=5),3,IF(OR($N348=6,$N348=7,$N348=8),4,"")))))</f>
        <v/>
      </c>
      <c r="P348" s="40"/>
      <c r="Q348" s="67"/>
      <c r="R348" s="68"/>
      <c r="S348" s="755">
        <f t="shared" si="32"/>
        <v>0</v>
      </c>
      <c r="T348" s="68"/>
      <c r="U348" s="68"/>
      <c r="V348" s="68"/>
      <c r="W348" s="68"/>
      <c r="X348" s="68"/>
      <c r="Y348" s="68"/>
      <c r="Z348" s="68"/>
      <c r="AA348" s="68"/>
      <c r="AB348" s="69"/>
      <c r="AC348" s="70"/>
      <c r="AD348" s="71"/>
      <c r="AE348" s="68"/>
      <c r="AF348" s="68"/>
      <c r="AG348" s="68"/>
      <c r="AH348" s="68"/>
      <c r="AI348" s="69"/>
      <c r="AJ348" s="69"/>
      <c r="AK348" s="68"/>
      <c r="AL348" s="77"/>
      <c r="AM348" s="71"/>
      <c r="AN348" s="68"/>
      <c r="AO348" s="68"/>
      <c r="AP348" s="68"/>
      <c r="AQ348" s="68"/>
      <c r="AR348" s="68"/>
      <c r="AS348" s="68"/>
      <c r="AT348" s="68"/>
      <c r="AU348" s="70"/>
      <c r="AV348" s="72"/>
      <c r="AW348" s="69"/>
      <c r="AX348" s="69"/>
      <c r="AY348" s="69"/>
      <c r="AZ348" s="69"/>
      <c r="BA348" s="69"/>
      <c r="BB348" s="69"/>
      <c r="BC348" s="69"/>
      <c r="BD348" s="70"/>
      <c r="BE348" s="71"/>
      <c r="BF348" s="68"/>
      <c r="BG348" s="68"/>
      <c r="BH348" s="70"/>
      <c r="BI348" s="67"/>
      <c r="BJ348" s="68"/>
      <c r="BK348" s="70"/>
      <c r="BL348" s="71"/>
      <c r="BM348" s="68"/>
      <c r="BN348" s="69"/>
      <c r="BO348" s="78"/>
      <c r="BP348" s="37">
        <f t="shared" si="33"/>
        <v>0</v>
      </c>
    </row>
    <row r="349" spans="1:68" ht="25.5" customHeight="1" thickTop="1" thickBot="1" x14ac:dyDescent="0.2">
      <c r="A349" s="17">
        <f t="shared" si="34"/>
        <v>334</v>
      </c>
      <c r="B349" s="1044"/>
      <c r="C349" s="1045"/>
      <c r="D349" s="38"/>
      <c r="E349" s="954"/>
      <c r="F349" s="53"/>
      <c r="G349" s="39"/>
      <c r="H349" s="1050"/>
      <c r="I349" s="684" t="str">
        <f t="shared" si="30"/>
        <v/>
      </c>
      <c r="J349" s="754">
        <f t="shared" si="31"/>
        <v>0</v>
      </c>
      <c r="K349" s="1254"/>
      <c r="L349" s="1253"/>
      <c r="M349" s="1253"/>
      <c r="N349" s="773" t="str">
        <f t="shared" si="35"/>
        <v/>
      </c>
      <c r="O349" s="774" t="str">
        <f>IF('Set up ~ Config'!$G$32=6,IF(OR($N349=7,$N349=8,$N349=9),1,IF(OR($N349=10,$N349=11,$N349=12),2,IF(OR($N349=1,$N349=2,$N349=3),3,IF(OR($N349=4,$N349=5,$N349=6),4,"")))),IF(OR($N349=9,$N349=10,$N349=11),1,IF(OR($N349=12,$N349=1,$N349=2),2,IF(OR($N349=3,$N349=4,$N349=5),3,IF(OR($N349=6,$N349=7,$N349=8),4,"")))))</f>
        <v/>
      </c>
      <c r="P349" s="40"/>
      <c r="Q349" s="67"/>
      <c r="R349" s="68"/>
      <c r="S349" s="755">
        <f t="shared" si="32"/>
        <v>0</v>
      </c>
      <c r="T349" s="68"/>
      <c r="U349" s="68"/>
      <c r="V349" s="68"/>
      <c r="W349" s="68"/>
      <c r="X349" s="68"/>
      <c r="Y349" s="68"/>
      <c r="Z349" s="68"/>
      <c r="AA349" s="68"/>
      <c r="AB349" s="69"/>
      <c r="AC349" s="70"/>
      <c r="AD349" s="71"/>
      <c r="AE349" s="68"/>
      <c r="AF349" s="68"/>
      <c r="AG349" s="68"/>
      <c r="AH349" s="68"/>
      <c r="AI349" s="69"/>
      <c r="AJ349" s="69"/>
      <c r="AK349" s="68"/>
      <c r="AL349" s="77"/>
      <c r="AM349" s="71"/>
      <c r="AN349" s="68"/>
      <c r="AO349" s="68"/>
      <c r="AP349" s="68"/>
      <c r="AQ349" s="68"/>
      <c r="AR349" s="68"/>
      <c r="AS349" s="68"/>
      <c r="AT349" s="68"/>
      <c r="AU349" s="70"/>
      <c r="AV349" s="72"/>
      <c r="AW349" s="69"/>
      <c r="AX349" s="69"/>
      <c r="AY349" s="69"/>
      <c r="AZ349" s="69"/>
      <c r="BA349" s="69"/>
      <c r="BB349" s="69"/>
      <c r="BC349" s="69"/>
      <c r="BD349" s="70"/>
      <c r="BE349" s="71"/>
      <c r="BF349" s="68"/>
      <c r="BG349" s="68"/>
      <c r="BH349" s="70"/>
      <c r="BI349" s="67"/>
      <c r="BJ349" s="68"/>
      <c r="BK349" s="70"/>
      <c r="BL349" s="71"/>
      <c r="BM349" s="68"/>
      <c r="BN349" s="69"/>
      <c r="BO349" s="78"/>
      <c r="BP349" s="37">
        <f t="shared" si="33"/>
        <v>0</v>
      </c>
    </row>
    <row r="350" spans="1:68" ht="25.5" customHeight="1" thickTop="1" thickBot="1" x14ac:dyDescent="0.2">
      <c r="A350" s="17">
        <f t="shared" si="34"/>
        <v>335</v>
      </c>
      <c r="B350" s="1044"/>
      <c r="C350" s="1045"/>
      <c r="D350" s="38"/>
      <c r="E350" s="954"/>
      <c r="F350" s="53"/>
      <c r="G350" s="39"/>
      <c r="H350" s="1050"/>
      <c r="I350" s="684" t="str">
        <f t="shared" si="30"/>
        <v/>
      </c>
      <c r="J350" s="754">
        <f t="shared" si="31"/>
        <v>0</v>
      </c>
      <c r="K350" s="1254"/>
      <c r="L350" s="1253"/>
      <c r="M350" s="1253"/>
      <c r="N350" s="773" t="str">
        <f t="shared" si="35"/>
        <v/>
      </c>
      <c r="O350" s="774" t="str">
        <f>IF('Set up ~ Config'!$G$32=6,IF(OR($N350=7,$N350=8,$N350=9),1,IF(OR($N350=10,$N350=11,$N350=12),2,IF(OR($N350=1,$N350=2,$N350=3),3,IF(OR($N350=4,$N350=5,$N350=6),4,"")))),IF(OR($N350=9,$N350=10,$N350=11),1,IF(OR($N350=12,$N350=1,$N350=2),2,IF(OR($N350=3,$N350=4,$N350=5),3,IF(OR($N350=6,$N350=7,$N350=8),4,"")))))</f>
        <v/>
      </c>
      <c r="P350" s="40"/>
      <c r="Q350" s="67"/>
      <c r="R350" s="68"/>
      <c r="S350" s="755">
        <f t="shared" si="32"/>
        <v>0</v>
      </c>
      <c r="T350" s="68"/>
      <c r="U350" s="68"/>
      <c r="V350" s="68"/>
      <c r="W350" s="68"/>
      <c r="X350" s="68"/>
      <c r="Y350" s="68"/>
      <c r="Z350" s="68"/>
      <c r="AA350" s="68"/>
      <c r="AB350" s="69"/>
      <c r="AC350" s="70"/>
      <c r="AD350" s="71"/>
      <c r="AE350" s="68"/>
      <c r="AF350" s="68"/>
      <c r="AG350" s="68"/>
      <c r="AH350" s="68"/>
      <c r="AI350" s="69"/>
      <c r="AJ350" s="69"/>
      <c r="AK350" s="68"/>
      <c r="AL350" s="77"/>
      <c r="AM350" s="71"/>
      <c r="AN350" s="68"/>
      <c r="AO350" s="68"/>
      <c r="AP350" s="68"/>
      <c r="AQ350" s="68"/>
      <c r="AR350" s="68"/>
      <c r="AS350" s="68"/>
      <c r="AT350" s="68"/>
      <c r="AU350" s="70"/>
      <c r="AV350" s="72"/>
      <c r="AW350" s="69"/>
      <c r="AX350" s="69"/>
      <c r="AY350" s="69"/>
      <c r="AZ350" s="69"/>
      <c r="BA350" s="69"/>
      <c r="BB350" s="69"/>
      <c r="BC350" s="69"/>
      <c r="BD350" s="70"/>
      <c r="BE350" s="71"/>
      <c r="BF350" s="68"/>
      <c r="BG350" s="68"/>
      <c r="BH350" s="70"/>
      <c r="BI350" s="67"/>
      <c r="BJ350" s="68"/>
      <c r="BK350" s="70"/>
      <c r="BL350" s="71"/>
      <c r="BM350" s="68"/>
      <c r="BN350" s="69"/>
      <c r="BO350" s="78"/>
      <c r="BP350" s="37">
        <f t="shared" si="33"/>
        <v>0</v>
      </c>
    </row>
    <row r="351" spans="1:68" ht="25.5" customHeight="1" thickTop="1" thickBot="1" x14ac:dyDescent="0.2">
      <c r="A351" s="17">
        <f t="shared" si="34"/>
        <v>336</v>
      </c>
      <c r="B351" s="1044"/>
      <c r="C351" s="1045"/>
      <c r="D351" s="38"/>
      <c r="E351" s="954"/>
      <c r="F351" s="53"/>
      <c r="G351" s="39"/>
      <c r="H351" s="1050"/>
      <c r="I351" s="684" t="str">
        <f t="shared" si="30"/>
        <v/>
      </c>
      <c r="J351" s="754">
        <f t="shared" si="31"/>
        <v>0</v>
      </c>
      <c r="K351" s="1254"/>
      <c r="L351" s="1253"/>
      <c r="M351" s="1253"/>
      <c r="N351" s="773" t="str">
        <f t="shared" si="35"/>
        <v/>
      </c>
      <c r="O351" s="774" t="str">
        <f>IF('Set up ~ Config'!$G$32=6,IF(OR($N351=7,$N351=8,$N351=9),1,IF(OR($N351=10,$N351=11,$N351=12),2,IF(OR($N351=1,$N351=2,$N351=3),3,IF(OR($N351=4,$N351=5,$N351=6),4,"")))),IF(OR($N351=9,$N351=10,$N351=11),1,IF(OR($N351=12,$N351=1,$N351=2),2,IF(OR($N351=3,$N351=4,$N351=5),3,IF(OR($N351=6,$N351=7,$N351=8),4,"")))))</f>
        <v/>
      </c>
      <c r="P351" s="40"/>
      <c r="Q351" s="67"/>
      <c r="R351" s="68"/>
      <c r="S351" s="755">
        <f t="shared" si="32"/>
        <v>0</v>
      </c>
      <c r="T351" s="68"/>
      <c r="U351" s="68"/>
      <c r="V351" s="68"/>
      <c r="W351" s="68"/>
      <c r="X351" s="68"/>
      <c r="Y351" s="68"/>
      <c r="Z351" s="68"/>
      <c r="AA351" s="68"/>
      <c r="AB351" s="69"/>
      <c r="AC351" s="70"/>
      <c r="AD351" s="71"/>
      <c r="AE351" s="68"/>
      <c r="AF351" s="68"/>
      <c r="AG351" s="68"/>
      <c r="AH351" s="68"/>
      <c r="AI351" s="69"/>
      <c r="AJ351" s="69"/>
      <c r="AK351" s="68"/>
      <c r="AL351" s="77"/>
      <c r="AM351" s="71"/>
      <c r="AN351" s="68"/>
      <c r="AO351" s="68"/>
      <c r="AP351" s="68"/>
      <c r="AQ351" s="68"/>
      <c r="AR351" s="68"/>
      <c r="AS351" s="68"/>
      <c r="AT351" s="68"/>
      <c r="AU351" s="70"/>
      <c r="AV351" s="72"/>
      <c r="AW351" s="69"/>
      <c r="AX351" s="69"/>
      <c r="AY351" s="69"/>
      <c r="AZ351" s="69"/>
      <c r="BA351" s="69"/>
      <c r="BB351" s="69"/>
      <c r="BC351" s="69"/>
      <c r="BD351" s="70"/>
      <c r="BE351" s="71"/>
      <c r="BF351" s="68"/>
      <c r="BG351" s="68"/>
      <c r="BH351" s="70"/>
      <c r="BI351" s="67"/>
      <c r="BJ351" s="68"/>
      <c r="BK351" s="70"/>
      <c r="BL351" s="71"/>
      <c r="BM351" s="68"/>
      <c r="BN351" s="69"/>
      <c r="BO351" s="78"/>
      <c r="BP351" s="37">
        <f t="shared" si="33"/>
        <v>0</v>
      </c>
    </row>
    <row r="352" spans="1:68" ht="25.5" customHeight="1" thickTop="1" thickBot="1" x14ac:dyDescent="0.2">
      <c r="A352" s="17">
        <f t="shared" si="34"/>
        <v>337</v>
      </c>
      <c r="B352" s="1044"/>
      <c r="C352" s="1045"/>
      <c r="D352" s="38"/>
      <c r="E352" s="954"/>
      <c r="F352" s="53"/>
      <c r="G352" s="39"/>
      <c r="H352" s="1050"/>
      <c r="I352" s="684" t="str">
        <f t="shared" si="30"/>
        <v/>
      </c>
      <c r="J352" s="754">
        <f t="shared" si="31"/>
        <v>0</v>
      </c>
      <c r="K352" s="1254"/>
      <c r="L352" s="1253"/>
      <c r="M352" s="1253"/>
      <c r="N352" s="773" t="str">
        <f t="shared" si="35"/>
        <v/>
      </c>
      <c r="O352" s="774" t="str">
        <f>IF('Set up ~ Config'!$G$32=6,IF(OR($N352=7,$N352=8,$N352=9),1,IF(OR($N352=10,$N352=11,$N352=12),2,IF(OR($N352=1,$N352=2,$N352=3),3,IF(OR($N352=4,$N352=5,$N352=6),4,"")))),IF(OR($N352=9,$N352=10,$N352=11),1,IF(OR($N352=12,$N352=1,$N352=2),2,IF(OR($N352=3,$N352=4,$N352=5),3,IF(OR($N352=6,$N352=7,$N352=8),4,"")))))</f>
        <v/>
      </c>
      <c r="P352" s="40"/>
      <c r="Q352" s="67"/>
      <c r="R352" s="68"/>
      <c r="S352" s="755">
        <f t="shared" si="32"/>
        <v>0</v>
      </c>
      <c r="T352" s="68"/>
      <c r="U352" s="68"/>
      <c r="V352" s="68"/>
      <c r="W352" s="68"/>
      <c r="X352" s="68"/>
      <c r="Y352" s="68"/>
      <c r="Z352" s="68"/>
      <c r="AA352" s="68"/>
      <c r="AB352" s="69"/>
      <c r="AC352" s="70"/>
      <c r="AD352" s="71"/>
      <c r="AE352" s="68"/>
      <c r="AF352" s="68"/>
      <c r="AG352" s="68"/>
      <c r="AH352" s="68"/>
      <c r="AI352" s="69"/>
      <c r="AJ352" s="69"/>
      <c r="AK352" s="68"/>
      <c r="AL352" s="77"/>
      <c r="AM352" s="71"/>
      <c r="AN352" s="68"/>
      <c r="AO352" s="68"/>
      <c r="AP352" s="68"/>
      <c r="AQ352" s="68"/>
      <c r="AR352" s="68"/>
      <c r="AS352" s="68"/>
      <c r="AT352" s="68"/>
      <c r="AU352" s="70"/>
      <c r="AV352" s="72"/>
      <c r="AW352" s="69"/>
      <c r="AX352" s="69"/>
      <c r="AY352" s="69"/>
      <c r="AZ352" s="69"/>
      <c r="BA352" s="69"/>
      <c r="BB352" s="69"/>
      <c r="BC352" s="69"/>
      <c r="BD352" s="70"/>
      <c r="BE352" s="71"/>
      <c r="BF352" s="68"/>
      <c r="BG352" s="68"/>
      <c r="BH352" s="70"/>
      <c r="BI352" s="67"/>
      <c r="BJ352" s="68"/>
      <c r="BK352" s="70"/>
      <c r="BL352" s="71"/>
      <c r="BM352" s="68"/>
      <c r="BN352" s="69"/>
      <c r="BO352" s="78"/>
      <c r="BP352" s="37">
        <f t="shared" si="33"/>
        <v>0</v>
      </c>
    </row>
    <row r="353" spans="1:68" ht="25.5" customHeight="1" thickTop="1" thickBot="1" x14ac:dyDescent="0.2">
      <c r="A353" s="17">
        <f t="shared" si="34"/>
        <v>338</v>
      </c>
      <c r="B353" s="1044"/>
      <c r="C353" s="1045"/>
      <c r="D353" s="38"/>
      <c r="E353" s="954"/>
      <c r="F353" s="53"/>
      <c r="G353" s="39"/>
      <c r="H353" s="1050"/>
      <c r="I353" s="684" t="str">
        <f t="shared" si="30"/>
        <v/>
      </c>
      <c r="J353" s="754">
        <f t="shared" si="31"/>
        <v>0</v>
      </c>
      <c r="K353" s="1254"/>
      <c r="L353" s="1253"/>
      <c r="M353" s="1253"/>
      <c r="N353" s="773" t="str">
        <f t="shared" si="35"/>
        <v/>
      </c>
      <c r="O353" s="774" t="str">
        <f>IF('Set up ~ Config'!$G$32=6,IF(OR($N353=7,$N353=8,$N353=9),1,IF(OR($N353=10,$N353=11,$N353=12),2,IF(OR($N353=1,$N353=2,$N353=3),3,IF(OR($N353=4,$N353=5,$N353=6),4,"")))),IF(OR($N353=9,$N353=10,$N353=11),1,IF(OR($N353=12,$N353=1,$N353=2),2,IF(OR($N353=3,$N353=4,$N353=5),3,IF(OR($N353=6,$N353=7,$N353=8),4,"")))))</f>
        <v/>
      </c>
      <c r="P353" s="40"/>
      <c r="Q353" s="67"/>
      <c r="R353" s="68"/>
      <c r="S353" s="755">
        <f t="shared" si="32"/>
        <v>0</v>
      </c>
      <c r="T353" s="68"/>
      <c r="U353" s="68"/>
      <c r="V353" s="68"/>
      <c r="W353" s="68"/>
      <c r="X353" s="68"/>
      <c r="Y353" s="68"/>
      <c r="Z353" s="68"/>
      <c r="AA353" s="68"/>
      <c r="AB353" s="69"/>
      <c r="AC353" s="70"/>
      <c r="AD353" s="71"/>
      <c r="AE353" s="68"/>
      <c r="AF353" s="68"/>
      <c r="AG353" s="68"/>
      <c r="AH353" s="68"/>
      <c r="AI353" s="69"/>
      <c r="AJ353" s="69"/>
      <c r="AK353" s="68"/>
      <c r="AL353" s="77"/>
      <c r="AM353" s="71"/>
      <c r="AN353" s="68"/>
      <c r="AO353" s="68"/>
      <c r="AP353" s="68"/>
      <c r="AQ353" s="68"/>
      <c r="AR353" s="68"/>
      <c r="AS353" s="68"/>
      <c r="AT353" s="68"/>
      <c r="AU353" s="70"/>
      <c r="AV353" s="72"/>
      <c r="AW353" s="69"/>
      <c r="AX353" s="69"/>
      <c r="AY353" s="69"/>
      <c r="AZ353" s="69"/>
      <c r="BA353" s="69"/>
      <c r="BB353" s="69"/>
      <c r="BC353" s="69"/>
      <c r="BD353" s="70"/>
      <c r="BE353" s="71"/>
      <c r="BF353" s="68"/>
      <c r="BG353" s="68"/>
      <c r="BH353" s="70"/>
      <c r="BI353" s="67"/>
      <c r="BJ353" s="68"/>
      <c r="BK353" s="70"/>
      <c r="BL353" s="71"/>
      <c r="BM353" s="68"/>
      <c r="BN353" s="69"/>
      <c r="BO353" s="78"/>
      <c r="BP353" s="37">
        <f t="shared" si="33"/>
        <v>0</v>
      </c>
    </row>
    <row r="354" spans="1:68" ht="25.5" customHeight="1" thickTop="1" thickBot="1" x14ac:dyDescent="0.2">
      <c r="A354" s="17">
        <f t="shared" si="34"/>
        <v>339</v>
      </c>
      <c r="B354" s="1044"/>
      <c r="C354" s="1045"/>
      <c r="D354" s="38"/>
      <c r="E354" s="954"/>
      <c r="F354" s="53"/>
      <c r="G354" s="39"/>
      <c r="H354" s="1050"/>
      <c r="I354" s="684" t="str">
        <f t="shared" si="30"/>
        <v/>
      </c>
      <c r="J354" s="754">
        <f t="shared" si="31"/>
        <v>0</v>
      </c>
      <c r="K354" s="1254"/>
      <c r="L354" s="1253"/>
      <c r="M354" s="1253"/>
      <c r="N354" s="773" t="str">
        <f t="shared" si="35"/>
        <v/>
      </c>
      <c r="O354" s="774" t="str">
        <f>IF('Set up ~ Config'!$G$32=6,IF(OR($N354=7,$N354=8,$N354=9),1,IF(OR($N354=10,$N354=11,$N354=12),2,IF(OR($N354=1,$N354=2,$N354=3),3,IF(OR($N354=4,$N354=5,$N354=6),4,"")))),IF(OR($N354=9,$N354=10,$N354=11),1,IF(OR($N354=12,$N354=1,$N354=2),2,IF(OR($N354=3,$N354=4,$N354=5),3,IF(OR($N354=6,$N354=7,$N354=8),4,"")))))</f>
        <v/>
      </c>
      <c r="P354" s="40"/>
      <c r="Q354" s="67"/>
      <c r="R354" s="68"/>
      <c r="S354" s="755">
        <f t="shared" si="32"/>
        <v>0</v>
      </c>
      <c r="T354" s="68"/>
      <c r="U354" s="68"/>
      <c r="V354" s="68"/>
      <c r="W354" s="68"/>
      <c r="X354" s="68"/>
      <c r="Y354" s="68"/>
      <c r="Z354" s="68"/>
      <c r="AA354" s="68"/>
      <c r="AB354" s="69"/>
      <c r="AC354" s="70"/>
      <c r="AD354" s="71"/>
      <c r="AE354" s="68"/>
      <c r="AF354" s="68"/>
      <c r="AG354" s="68"/>
      <c r="AH354" s="68"/>
      <c r="AI354" s="69"/>
      <c r="AJ354" s="69"/>
      <c r="AK354" s="68"/>
      <c r="AL354" s="77"/>
      <c r="AM354" s="71"/>
      <c r="AN354" s="68"/>
      <c r="AO354" s="68"/>
      <c r="AP354" s="68"/>
      <c r="AQ354" s="68"/>
      <c r="AR354" s="68"/>
      <c r="AS354" s="68"/>
      <c r="AT354" s="68"/>
      <c r="AU354" s="70"/>
      <c r="AV354" s="72"/>
      <c r="AW354" s="69"/>
      <c r="AX354" s="69"/>
      <c r="AY354" s="69"/>
      <c r="AZ354" s="69"/>
      <c r="BA354" s="69"/>
      <c r="BB354" s="69"/>
      <c r="BC354" s="69"/>
      <c r="BD354" s="70"/>
      <c r="BE354" s="71"/>
      <c r="BF354" s="68"/>
      <c r="BG354" s="68"/>
      <c r="BH354" s="70"/>
      <c r="BI354" s="67"/>
      <c r="BJ354" s="68"/>
      <c r="BK354" s="70"/>
      <c r="BL354" s="71"/>
      <c r="BM354" s="68"/>
      <c r="BN354" s="69"/>
      <c r="BO354" s="78"/>
      <c r="BP354" s="37">
        <f t="shared" si="33"/>
        <v>0</v>
      </c>
    </row>
    <row r="355" spans="1:68" ht="25.5" customHeight="1" thickTop="1" thickBot="1" x14ac:dyDescent="0.2">
      <c r="A355" s="17">
        <f t="shared" si="34"/>
        <v>340</v>
      </c>
      <c r="B355" s="1044"/>
      <c r="C355" s="1045"/>
      <c r="D355" s="38"/>
      <c r="E355" s="954"/>
      <c r="F355" s="53"/>
      <c r="G355" s="39"/>
      <c r="H355" s="1050"/>
      <c r="I355" s="684" t="str">
        <f t="shared" si="30"/>
        <v/>
      </c>
      <c r="J355" s="754">
        <f t="shared" si="31"/>
        <v>0</v>
      </c>
      <c r="K355" s="1254"/>
      <c r="L355" s="1253"/>
      <c r="M355" s="1253"/>
      <c r="N355" s="773" t="str">
        <f t="shared" si="35"/>
        <v/>
      </c>
      <c r="O355" s="774" t="str">
        <f>IF('Set up ~ Config'!$G$32=6,IF(OR($N355=7,$N355=8,$N355=9),1,IF(OR($N355=10,$N355=11,$N355=12),2,IF(OR($N355=1,$N355=2,$N355=3),3,IF(OR($N355=4,$N355=5,$N355=6),4,"")))),IF(OR($N355=9,$N355=10,$N355=11),1,IF(OR($N355=12,$N355=1,$N355=2),2,IF(OR($N355=3,$N355=4,$N355=5),3,IF(OR($N355=6,$N355=7,$N355=8),4,"")))))</f>
        <v/>
      </c>
      <c r="P355" s="40"/>
      <c r="Q355" s="67"/>
      <c r="R355" s="68"/>
      <c r="S355" s="755">
        <f t="shared" si="32"/>
        <v>0</v>
      </c>
      <c r="T355" s="68"/>
      <c r="U355" s="68"/>
      <c r="V355" s="68"/>
      <c r="W355" s="68"/>
      <c r="X355" s="68"/>
      <c r="Y355" s="68"/>
      <c r="Z355" s="68"/>
      <c r="AA355" s="68"/>
      <c r="AB355" s="69"/>
      <c r="AC355" s="70"/>
      <c r="AD355" s="71"/>
      <c r="AE355" s="68"/>
      <c r="AF355" s="68"/>
      <c r="AG355" s="68"/>
      <c r="AH355" s="68"/>
      <c r="AI355" s="69"/>
      <c r="AJ355" s="69"/>
      <c r="AK355" s="68"/>
      <c r="AL355" s="77"/>
      <c r="AM355" s="71"/>
      <c r="AN355" s="68"/>
      <c r="AO355" s="68"/>
      <c r="AP355" s="68"/>
      <c r="AQ355" s="68"/>
      <c r="AR355" s="68"/>
      <c r="AS355" s="68"/>
      <c r="AT355" s="68"/>
      <c r="AU355" s="70"/>
      <c r="AV355" s="72"/>
      <c r="AW355" s="69"/>
      <c r="AX355" s="69"/>
      <c r="AY355" s="69"/>
      <c r="AZ355" s="69"/>
      <c r="BA355" s="69"/>
      <c r="BB355" s="69"/>
      <c r="BC355" s="69"/>
      <c r="BD355" s="70"/>
      <c r="BE355" s="71"/>
      <c r="BF355" s="68"/>
      <c r="BG355" s="68"/>
      <c r="BH355" s="70"/>
      <c r="BI355" s="67"/>
      <c r="BJ355" s="68"/>
      <c r="BK355" s="70"/>
      <c r="BL355" s="71"/>
      <c r="BM355" s="68"/>
      <c r="BN355" s="69"/>
      <c r="BO355" s="78"/>
      <c r="BP355" s="37">
        <f t="shared" si="33"/>
        <v>0</v>
      </c>
    </row>
    <row r="356" spans="1:68" ht="25.5" customHeight="1" thickTop="1" thickBot="1" x14ac:dyDescent="0.2">
      <c r="A356" s="17">
        <f t="shared" si="34"/>
        <v>341</v>
      </c>
      <c r="B356" s="1044"/>
      <c r="C356" s="1045"/>
      <c r="D356" s="38"/>
      <c r="E356" s="954"/>
      <c r="F356" s="53"/>
      <c r="G356" s="39"/>
      <c r="H356" s="1050"/>
      <c r="I356" s="684" t="str">
        <f t="shared" si="30"/>
        <v/>
      </c>
      <c r="J356" s="754">
        <f t="shared" si="31"/>
        <v>0</v>
      </c>
      <c r="K356" s="1254"/>
      <c r="L356" s="1253"/>
      <c r="M356" s="1253"/>
      <c r="N356" s="773" t="str">
        <f t="shared" si="35"/>
        <v/>
      </c>
      <c r="O356" s="774" t="str">
        <f>IF('Set up ~ Config'!$G$32=6,IF(OR($N356=7,$N356=8,$N356=9),1,IF(OR($N356=10,$N356=11,$N356=12),2,IF(OR($N356=1,$N356=2,$N356=3),3,IF(OR($N356=4,$N356=5,$N356=6),4,"")))),IF(OR($N356=9,$N356=10,$N356=11),1,IF(OR($N356=12,$N356=1,$N356=2),2,IF(OR($N356=3,$N356=4,$N356=5),3,IF(OR($N356=6,$N356=7,$N356=8),4,"")))))</f>
        <v/>
      </c>
      <c r="P356" s="40"/>
      <c r="Q356" s="67"/>
      <c r="R356" s="68"/>
      <c r="S356" s="755">
        <f t="shared" si="32"/>
        <v>0</v>
      </c>
      <c r="T356" s="68"/>
      <c r="U356" s="68"/>
      <c r="V356" s="68"/>
      <c r="W356" s="68"/>
      <c r="X356" s="68"/>
      <c r="Y356" s="68"/>
      <c r="Z356" s="68"/>
      <c r="AA356" s="68"/>
      <c r="AB356" s="69"/>
      <c r="AC356" s="70"/>
      <c r="AD356" s="71"/>
      <c r="AE356" s="68"/>
      <c r="AF356" s="68"/>
      <c r="AG356" s="68"/>
      <c r="AH356" s="68"/>
      <c r="AI356" s="69"/>
      <c r="AJ356" s="69"/>
      <c r="AK356" s="68"/>
      <c r="AL356" s="77"/>
      <c r="AM356" s="71"/>
      <c r="AN356" s="68"/>
      <c r="AO356" s="68"/>
      <c r="AP356" s="68"/>
      <c r="AQ356" s="68"/>
      <c r="AR356" s="68"/>
      <c r="AS356" s="68"/>
      <c r="AT356" s="68"/>
      <c r="AU356" s="70"/>
      <c r="AV356" s="72"/>
      <c r="AW356" s="69"/>
      <c r="AX356" s="69"/>
      <c r="AY356" s="69"/>
      <c r="AZ356" s="69"/>
      <c r="BA356" s="69"/>
      <c r="BB356" s="69"/>
      <c r="BC356" s="69"/>
      <c r="BD356" s="70"/>
      <c r="BE356" s="71"/>
      <c r="BF356" s="68"/>
      <c r="BG356" s="68"/>
      <c r="BH356" s="70"/>
      <c r="BI356" s="67"/>
      <c r="BJ356" s="68"/>
      <c r="BK356" s="70"/>
      <c r="BL356" s="71"/>
      <c r="BM356" s="68"/>
      <c r="BN356" s="69"/>
      <c r="BO356" s="78"/>
      <c r="BP356" s="37">
        <f t="shared" si="33"/>
        <v>0</v>
      </c>
    </row>
    <row r="357" spans="1:68" ht="25.5" customHeight="1" thickTop="1" thickBot="1" x14ac:dyDescent="0.2">
      <c r="A357" s="17">
        <f t="shared" si="34"/>
        <v>342</v>
      </c>
      <c r="B357" s="1044"/>
      <c r="C357" s="1045"/>
      <c r="D357" s="38"/>
      <c r="E357" s="954"/>
      <c r="F357" s="53"/>
      <c r="G357" s="39"/>
      <c r="H357" s="1050"/>
      <c r="I357" s="684" t="str">
        <f t="shared" si="30"/>
        <v/>
      </c>
      <c r="J357" s="754">
        <f t="shared" si="31"/>
        <v>0</v>
      </c>
      <c r="K357" s="1254"/>
      <c r="L357" s="1253"/>
      <c r="M357" s="1253"/>
      <c r="N357" s="773" t="str">
        <f t="shared" si="35"/>
        <v/>
      </c>
      <c r="O357" s="774" t="str">
        <f>IF('Set up ~ Config'!$G$32=6,IF(OR($N357=7,$N357=8,$N357=9),1,IF(OR($N357=10,$N357=11,$N357=12),2,IF(OR($N357=1,$N357=2,$N357=3),3,IF(OR($N357=4,$N357=5,$N357=6),4,"")))),IF(OR($N357=9,$N357=10,$N357=11),1,IF(OR($N357=12,$N357=1,$N357=2),2,IF(OR($N357=3,$N357=4,$N357=5),3,IF(OR($N357=6,$N357=7,$N357=8),4,"")))))</f>
        <v/>
      </c>
      <c r="P357" s="40"/>
      <c r="Q357" s="67"/>
      <c r="R357" s="68"/>
      <c r="S357" s="755">
        <f t="shared" si="32"/>
        <v>0</v>
      </c>
      <c r="T357" s="68"/>
      <c r="U357" s="68"/>
      <c r="V357" s="68"/>
      <c r="W357" s="68"/>
      <c r="X357" s="68"/>
      <c r="Y357" s="68"/>
      <c r="Z357" s="68"/>
      <c r="AA357" s="68"/>
      <c r="AB357" s="69"/>
      <c r="AC357" s="70"/>
      <c r="AD357" s="71"/>
      <c r="AE357" s="68"/>
      <c r="AF357" s="68"/>
      <c r="AG357" s="68"/>
      <c r="AH357" s="68"/>
      <c r="AI357" s="69"/>
      <c r="AJ357" s="69"/>
      <c r="AK357" s="68"/>
      <c r="AL357" s="77"/>
      <c r="AM357" s="71"/>
      <c r="AN357" s="68"/>
      <c r="AO357" s="68"/>
      <c r="AP357" s="68"/>
      <c r="AQ357" s="68"/>
      <c r="AR357" s="68"/>
      <c r="AS357" s="68"/>
      <c r="AT357" s="68"/>
      <c r="AU357" s="70"/>
      <c r="AV357" s="72"/>
      <c r="AW357" s="69"/>
      <c r="AX357" s="69"/>
      <c r="AY357" s="69"/>
      <c r="AZ357" s="69"/>
      <c r="BA357" s="69"/>
      <c r="BB357" s="69"/>
      <c r="BC357" s="69"/>
      <c r="BD357" s="70"/>
      <c r="BE357" s="71"/>
      <c r="BF357" s="68"/>
      <c r="BG357" s="68"/>
      <c r="BH357" s="70"/>
      <c r="BI357" s="67"/>
      <c r="BJ357" s="68"/>
      <c r="BK357" s="70"/>
      <c r="BL357" s="71"/>
      <c r="BM357" s="68"/>
      <c r="BN357" s="69"/>
      <c r="BO357" s="78"/>
      <c r="BP357" s="37">
        <f t="shared" si="33"/>
        <v>0</v>
      </c>
    </row>
    <row r="358" spans="1:68" ht="25.5" customHeight="1" thickTop="1" thickBot="1" x14ac:dyDescent="0.2">
      <c r="A358" s="17">
        <f t="shared" si="34"/>
        <v>343</v>
      </c>
      <c r="B358" s="1044"/>
      <c r="C358" s="1045"/>
      <c r="D358" s="38"/>
      <c r="E358" s="954"/>
      <c r="F358" s="53"/>
      <c r="G358" s="39"/>
      <c r="H358" s="1050"/>
      <c r="I358" s="684" t="str">
        <f t="shared" si="30"/>
        <v/>
      </c>
      <c r="J358" s="754">
        <f t="shared" si="31"/>
        <v>0</v>
      </c>
      <c r="K358" s="1254"/>
      <c r="L358" s="1253"/>
      <c r="M358" s="1253"/>
      <c r="N358" s="773" t="str">
        <f t="shared" si="35"/>
        <v/>
      </c>
      <c r="O358" s="774" t="str">
        <f>IF('Set up ~ Config'!$G$32=6,IF(OR($N358=7,$N358=8,$N358=9),1,IF(OR($N358=10,$N358=11,$N358=12),2,IF(OR($N358=1,$N358=2,$N358=3),3,IF(OR($N358=4,$N358=5,$N358=6),4,"")))),IF(OR($N358=9,$N358=10,$N358=11),1,IF(OR($N358=12,$N358=1,$N358=2),2,IF(OR($N358=3,$N358=4,$N358=5),3,IF(OR($N358=6,$N358=7,$N358=8),4,"")))))</f>
        <v/>
      </c>
      <c r="P358" s="40"/>
      <c r="Q358" s="67"/>
      <c r="R358" s="68"/>
      <c r="S358" s="755">
        <f t="shared" si="32"/>
        <v>0</v>
      </c>
      <c r="T358" s="68"/>
      <c r="U358" s="68"/>
      <c r="V358" s="68"/>
      <c r="W358" s="68"/>
      <c r="X358" s="68"/>
      <c r="Y358" s="68"/>
      <c r="Z358" s="68"/>
      <c r="AA358" s="68"/>
      <c r="AB358" s="69"/>
      <c r="AC358" s="70"/>
      <c r="AD358" s="71"/>
      <c r="AE358" s="68"/>
      <c r="AF358" s="68"/>
      <c r="AG358" s="68"/>
      <c r="AH358" s="68"/>
      <c r="AI358" s="69"/>
      <c r="AJ358" s="69"/>
      <c r="AK358" s="68"/>
      <c r="AL358" s="77"/>
      <c r="AM358" s="71"/>
      <c r="AN358" s="68"/>
      <c r="AO358" s="68"/>
      <c r="AP358" s="68"/>
      <c r="AQ358" s="68"/>
      <c r="AR358" s="68"/>
      <c r="AS358" s="68"/>
      <c r="AT358" s="68"/>
      <c r="AU358" s="70"/>
      <c r="AV358" s="72"/>
      <c r="AW358" s="69"/>
      <c r="AX358" s="69"/>
      <c r="AY358" s="69"/>
      <c r="AZ358" s="69"/>
      <c r="BA358" s="69"/>
      <c r="BB358" s="69"/>
      <c r="BC358" s="69"/>
      <c r="BD358" s="70"/>
      <c r="BE358" s="71"/>
      <c r="BF358" s="68"/>
      <c r="BG358" s="68"/>
      <c r="BH358" s="70"/>
      <c r="BI358" s="67"/>
      <c r="BJ358" s="68"/>
      <c r="BK358" s="70"/>
      <c r="BL358" s="71"/>
      <c r="BM358" s="68"/>
      <c r="BN358" s="69"/>
      <c r="BO358" s="78"/>
      <c r="BP358" s="37">
        <f t="shared" si="33"/>
        <v>0</v>
      </c>
    </row>
    <row r="359" spans="1:68" ht="25.5" customHeight="1" thickTop="1" thickBot="1" x14ac:dyDescent="0.2">
      <c r="A359" s="17">
        <f t="shared" si="34"/>
        <v>344</v>
      </c>
      <c r="B359" s="1044"/>
      <c r="C359" s="1045"/>
      <c r="D359" s="38"/>
      <c r="E359" s="954"/>
      <c r="F359" s="53"/>
      <c r="G359" s="39"/>
      <c r="H359" s="1050"/>
      <c r="I359" s="684" t="str">
        <f t="shared" si="30"/>
        <v/>
      </c>
      <c r="J359" s="754">
        <f t="shared" si="31"/>
        <v>0</v>
      </c>
      <c r="K359" s="1254"/>
      <c r="L359" s="1253"/>
      <c r="M359" s="1253"/>
      <c r="N359" s="773" t="str">
        <f t="shared" si="35"/>
        <v/>
      </c>
      <c r="O359" s="774" t="str">
        <f>IF('Set up ~ Config'!$G$32=6,IF(OR($N359=7,$N359=8,$N359=9),1,IF(OR($N359=10,$N359=11,$N359=12),2,IF(OR($N359=1,$N359=2,$N359=3),3,IF(OR($N359=4,$N359=5,$N359=6),4,"")))),IF(OR($N359=9,$N359=10,$N359=11),1,IF(OR($N359=12,$N359=1,$N359=2),2,IF(OR($N359=3,$N359=4,$N359=5),3,IF(OR($N359=6,$N359=7,$N359=8),4,"")))))</f>
        <v/>
      </c>
      <c r="P359" s="40"/>
      <c r="Q359" s="67"/>
      <c r="R359" s="68"/>
      <c r="S359" s="755">
        <f t="shared" si="32"/>
        <v>0</v>
      </c>
      <c r="T359" s="68"/>
      <c r="U359" s="68"/>
      <c r="V359" s="68"/>
      <c r="W359" s="68"/>
      <c r="X359" s="68"/>
      <c r="Y359" s="68"/>
      <c r="Z359" s="68"/>
      <c r="AA359" s="68"/>
      <c r="AB359" s="69"/>
      <c r="AC359" s="70"/>
      <c r="AD359" s="71"/>
      <c r="AE359" s="68"/>
      <c r="AF359" s="68"/>
      <c r="AG359" s="68"/>
      <c r="AH359" s="68"/>
      <c r="AI359" s="69"/>
      <c r="AJ359" s="69"/>
      <c r="AK359" s="68"/>
      <c r="AL359" s="77"/>
      <c r="AM359" s="71"/>
      <c r="AN359" s="68"/>
      <c r="AO359" s="68"/>
      <c r="AP359" s="68"/>
      <c r="AQ359" s="68"/>
      <c r="AR359" s="68"/>
      <c r="AS359" s="68"/>
      <c r="AT359" s="68"/>
      <c r="AU359" s="70"/>
      <c r="AV359" s="72"/>
      <c r="AW359" s="69"/>
      <c r="AX359" s="69"/>
      <c r="AY359" s="69"/>
      <c r="AZ359" s="69"/>
      <c r="BA359" s="69"/>
      <c r="BB359" s="69"/>
      <c r="BC359" s="69"/>
      <c r="BD359" s="70"/>
      <c r="BE359" s="71"/>
      <c r="BF359" s="68"/>
      <c r="BG359" s="68"/>
      <c r="BH359" s="70"/>
      <c r="BI359" s="67"/>
      <c r="BJ359" s="68"/>
      <c r="BK359" s="70"/>
      <c r="BL359" s="71"/>
      <c r="BM359" s="68"/>
      <c r="BN359" s="69"/>
      <c r="BO359" s="78"/>
      <c r="BP359" s="37">
        <f t="shared" si="33"/>
        <v>0</v>
      </c>
    </row>
    <row r="360" spans="1:68" ht="25.5" customHeight="1" thickTop="1" thickBot="1" x14ac:dyDescent="0.2">
      <c r="A360" s="17">
        <f t="shared" si="34"/>
        <v>345</v>
      </c>
      <c r="B360" s="1044"/>
      <c r="C360" s="1045"/>
      <c r="D360" s="38"/>
      <c r="E360" s="954"/>
      <c r="F360" s="53"/>
      <c r="G360" s="39"/>
      <c r="H360" s="1050"/>
      <c r="I360" s="684" t="str">
        <f t="shared" si="30"/>
        <v/>
      </c>
      <c r="J360" s="754">
        <f t="shared" si="31"/>
        <v>0</v>
      </c>
      <c r="K360" s="1254"/>
      <c r="L360" s="1253"/>
      <c r="M360" s="1253"/>
      <c r="N360" s="773" t="str">
        <f t="shared" si="35"/>
        <v/>
      </c>
      <c r="O360" s="774" t="str">
        <f>IF('Set up ~ Config'!$G$32=6,IF(OR($N360=7,$N360=8,$N360=9),1,IF(OR($N360=10,$N360=11,$N360=12),2,IF(OR($N360=1,$N360=2,$N360=3),3,IF(OR($N360=4,$N360=5,$N360=6),4,"")))),IF(OR($N360=9,$N360=10,$N360=11),1,IF(OR($N360=12,$N360=1,$N360=2),2,IF(OR($N360=3,$N360=4,$N360=5),3,IF(OR($N360=6,$N360=7,$N360=8),4,"")))))</f>
        <v/>
      </c>
      <c r="P360" s="40"/>
      <c r="Q360" s="67"/>
      <c r="R360" s="68"/>
      <c r="S360" s="755">
        <f t="shared" si="32"/>
        <v>0</v>
      </c>
      <c r="T360" s="68"/>
      <c r="U360" s="68"/>
      <c r="V360" s="68"/>
      <c r="W360" s="68"/>
      <c r="X360" s="68"/>
      <c r="Y360" s="68"/>
      <c r="Z360" s="68"/>
      <c r="AA360" s="68"/>
      <c r="AB360" s="69"/>
      <c r="AC360" s="70"/>
      <c r="AD360" s="71"/>
      <c r="AE360" s="68"/>
      <c r="AF360" s="68"/>
      <c r="AG360" s="68"/>
      <c r="AH360" s="68"/>
      <c r="AI360" s="69"/>
      <c r="AJ360" s="69"/>
      <c r="AK360" s="68"/>
      <c r="AL360" s="77"/>
      <c r="AM360" s="71"/>
      <c r="AN360" s="68"/>
      <c r="AO360" s="68"/>
      <c r="AP360" s="68"/>
      <c r="AQ360" s="68"/>
      <c r="AR360" s="68"/>
      <c r="AS360" s="68"/>
      <c r="AT360" s="68"/>
      <c r="AU360" s="70"/>
      <c r="AV360" s="72"/>
      <c r="AW360" s="69"/>
      <c r="AX360" s="69"/>
      <c r="AY360" s="69"/>
      <c r="AZ360" s="69"/>
      <c r="BA360" s="69"/>
      <c r="BB360" s="69"/>
      <c r="BC360" s="69"/>
      <c r="BD360" s="70"/>
      <c r="BE360" s="71"/>
      <c r="BF360" s="68"/>
      <c r="BG360" s="68"/>
      <c r="BH360" s="70"/>
      <c r="BI360" s="67"/>
      <c r="BJ360" s="68"/>
      <c r="BK360" s="70"/>
      <c r="BL360" s="71"/>
      <c r="BM360" s="68"/>
      <c r="BN360" s="69"/>
      <c r="BO360" s="78"/>
      <c r="BP360" s="37">
        <f t="shared" si="33"/>
        <v>0</v>
      </c>
    </row>
    <row r="361" spans="1:68" ht="25.5" customHeight="1" thickTop="1" thickBot="1" x14ac:dyDescent="0.2">
      <c r="A361" s="17">
        <f t="shared" si="34"/>
        <v>346</v>
      </c>
      <c r="B361" s="1044"/>
      <c r="C361" s="1045"/>
      <c r="D361" s="38"/>
      <c r="E361" s="954"/>
      <c r="F361" s="53"/>
      <c r="G361" s="39"/>
      <c r="H361" s="1050"/>
      <c r="I361" s="684" t="str">
        <f t="shared" si="30"/>
        <v/>
      </c>
      <c r="J361" s="754">
        <f t="shared" si="31"/>
        <v>0</v>
      </c>
      <c r="K361" s="1254"/>
      <c r="L361" s="1253"/>
      <c r="M361" s="1253"/>
      <c r="N361" s="773" t="str">
        <f t="shared" si="35"/>
        <v/>
      </c>
      <c r="O361" s="774" t="str">
        <f>IF('Set up ~ Config'!$G$32=6,IF(OR($N361=7,$N361=8,$N361=9),1,IF(OR($N361=10,$N361=11,$N361=12),2,IF(OR($N361=1,$N361=2,$N361=3),3,IF(OR($N361=4,$N361=5,$N361=6),4,"")))),IF(OR($N361=9,$N361=10,$N361=11),1,IF(OR($N361=12,$N361=1,$N361=2),2,IF(OR($N361=3,$N361=4,$N361=5),3,IF(OR($N361=6,$N361=7,$N361=8),4,"")))))</f>
        <v/>
      </c>
      <c r="P361" s="40"/>
      <c r="Q361" s="67"/>
      <c r="R361" s="68"/>
      <c r="S361" s="755">
        <f t="shared" si="32"/>
        <v>0</v>
      </c>
      <c r="T361" s="68"/>
      <c r="U361" s="68"/>
      <c r="V361" s="68"/>
      <c r="W361" s="68"/>
      <c r="X361" s="68"/>
      <c r="Y361" s="68"/>
      <c r="Z361" s="68"/>
      <c r="AA361" s="68"/>
      <c r="AB361" s="69"/>
      <c r="AC361" s="70"/>
      <c r="AD361" s="71"/>
      <c r="AE361" s="68"/>
      <c r="AF361" s="68"/>
      <c r="AG361" s="68"/>
      <c r="AH361" s="68"/>
      <c r="AI361" s="69"/>
      <c r="AJ361" s="69"/>
      <c r="AK361" s="68"/>
      <c r="AL361" s="77"/>
      <c r="AM361" s="71"/>
      <c r="AN361" s="68"/>
      <c r="AO361" s="68"/>
      <c r="AP361" s="68"/>
      <c r="AQ361" s="68"/>
      <c r="AR361" s="68"/>
      <c r="AS361" s="68"/>
      <c r="AT361" s="68"/>
      <c r="AU361" s="70"/>
      <c r="AV361" s="72"/>
      <c r="AW361" s="69"/>
      <c r="AX361" s="69"/>
      <c r="AY361" s="69"/>
      <c r="AZ361" s="69"/>
      <c r="BA361" s="69"/>
      <c r="BB361" s="69"/>
      <c r="BC361" s="69"/>
      <c r="BD361" s="70"/>
      <c r="BE361" s="71"/>
      <c r="BF361" s="68"/>
      <c r="BG361" s="68"/>
      <c r="BH361" s="70"/>
      <c r="BI361" s="67"/>
      <c r="BJ361" s="68"/>
      <c r="BK361" s="70"/>
      <c r="BL361" s="71"/>
      <c r="BM361" s="68"/>
      <c r="BN361" s="69"/>
      <c r="BO361" s="78"/>
      <c r="BP361" s="37">
        <f t="shared" si="33"/>
        <v>0</v>
      </c>
    </row>
    <row r="362" spans="1:68" ht="25.5" customHeight="1" thickTop="1" thickBot="1" x14ac:dyDescent="0.2">
      <c r="A362" s="17">
        <f t="shared" si="34"/>
        <v>347</v>
      </c>
      <c r="B362" s="1044"/>
      <c r="C362" s="1045"/>
      <c r="D362" s="38"/>
      <c r="E362" s="954"/>
      <c r="F362" s="53"/>
      <c r="G362" s="39"/>
      <c r="H362" s="1050"/>
      <c r="I362" s="684" t="str">
        <f t="shared" si="30"/>
        <v/>
      </c>
      <c r="J362" s="754">
        <f t="shared" si="31"/>
        <v>0</v>
      </c>
      <c r="K362" s="1254"/>
      <c r="L362" s="1253"/>
      <c r="M362" s="1253"/>
      <c r="N362" s="773" t="str">
        <f t="shared" si="35"/>
        <v/>
      </c>
      <c r="O362" s="774" t="str">
        <f>IF('Set up ~ Config'!$G$32=6,IF(OR($N362=7,$N362=8,$N362=9),1,IF(OR($N362=10,$N362=11,$N362=12),2,IF(OR($N362=1,$N362=2,$N362=3),3,IF(OR($N362=4,$N362=5,$N362=6),4,"")))),IF(OR($N362=9,$N362=10,$N362=11),1,IF(OR($N362=12,$N362=1,$N362=2),2,IF(OR($N362=3,$N362=4,$N362=5),3,IF(OR($N362=6,$N362=7,$N362=8),4,"")))))</f>
        <v/>
      </c>
      <c r="P362" s="40"/>
      <c r="Q362" s="67"/>
      <c r="R362" s="68"/>
      <c r="S362" s="755">
        <f t="shared" si="32"/>
        <v>0</v>
      </c>
      <c r="T362" s="68"/>
      <c r="U362" s="68"/>
      <c r="V362" s="68"/>
      <c r="W362" s="68"/>
      <c r="X362" s="68"/>
      <c r="Y362" s="68"/>
      <c r="Z362" s="68"/>
      <c r="AA362" s="68"/>
      <c r="AB362" s="69"/>
      <c r="AC362" s="70"/>
      <c r="AD362" s="71"/>
      <c r="AE362" s="68"/>
      <c r="AF362" s="68"/>
      <c r="AG362" s="68"/>
      <c r="AH362" s="68"/>
      <c r="AI362" s="69"/>
      <c r="AJ362" s="69"/>
      <c r="AK362" s="68"/>
      <c r="AL362" s="77"/>
      <c r="AM362" s="71"/>
      <c r="AN362" s="68"/>
      <c r="AO362" s="68"/>
      <c r="AP362" s="68"/>
      <c r="AQ362" s="68"/>
      <c r="AR362" s="68"/>
      <c r="AS362" s="68"/>
      <c r="AT362" s="68"/>
      <c r="AU362" s="70"/>
      <c r="AV362" s="72"/>
      <c r="AW362" s="69"/>
      <c r="AX362" s="69"/>
      <c r="AY362" s="69"/>
      <c r="AZ362" s="69"/>
      <c r="BA362" s="69"/>
      <c r="BB362" s="69"/>
      <c r="BC362" s="69"/>
      <c r="BD362" s="70"/>
      <c r="BE362" s="71"/>
      <c r="BF362" s="68"/>
      <c r="BG362" s="68"/>
      <c r="BH362" s="70"/>
      <c r="BI362" s="67"/>
      <c r="BJ362" s="68"/>
      <c r="BK362" s="70"/>
      <c r="BL362" s="71"/>
      <c r="BM362" s="68"/>
      <c r="BN362" s="69"/>
      <c r="BO362" s="78"/>
      <c r="BP362" s="37">
        <f t="shared" si="33"/>
        <v>0</v>
      </c>
    </row>
    <row r="363" spans="1:68" ht="25.5" customHeight="1" thickTop="1" thickBot="1" x14ac:dyDescent="0.2">
      <c r="A363" s="17">
        <f t="shared" si="34"/>
        <v>348</v>
      </c>
      <c r="B363" s="1044"/>
      <c r="C363" s="1045"/>
      <c r="D363" s="38"/>
      <c r="E363" s="954"/>
      <c r="F363" s="53"/>
      <c r="G363" s="39"/>
      <c r="H363" s="1050"/>
      <c r="I363" s="684" t="str">
        <f t="shared" si="30"/>
        <v/>
      </c>
      <c r="J363" s="754">
        <f t="shared" si="31"/>
        <v>0</v>
      </c>
      <c r="K363" s="1254"/>
      <c r="L363" s="1253"/>
      <c r="M363" s="1253"/>
      <c r="N363" s="773" t="str">
        <f t="shared" si="35"/>
        <v/>
      </c>
      <c r="O363" s="774" t="str">
        <f>IF('Set up ~ Config'!$G$32=6,IF(OR($N363=7,$N363=8,$N363=9),1,IF(OR($N363=10,$N363=11,$N363=12),2,IF(OR($N363=1,$N363=2,$N363=3),3,IF(OR($N363=4,$N363=5,$N363=6),4,"")))),IF(OR($N363=9,$N363=10,$N363=11),1,IF(OR($N363=12,$N363=1,$N363=2),2,IF(OR($N363=3,$N363=4,$N363=5),3,IF(OR($N363=6,$N363=7,$N363=8),4,"")))))</f>
        <v/>
      </c>
      <c r="P363" s="40"/>
      <c r="Q363" s="67"/>
      <c r="R363" s="68"/>
      <c r="S363" s="755">
        <f t="shared" si="32"/>
        <v>0</v>
      </c>
      <c r="T363" s="68"/>
      <c r="U363" s="68"/>
      <c r="V363" s="68"/>
      <c r="W363" s="68"/>
      <c r="X363" s="68"/>
      <c r="Y363" s="68"/>
      <c r="Z363" s="68"/>
      <c r="AA363" s="68"/>
      <c r="AB363" s="69"/>
      <c r="AC363" s="70"/>
      <c r="AD363" s="71"/>
      <c r="AE363" s="68"/>
      <c r="AF363" s="68"/>
      <c r="AG363" s="68"/>
      <c r="AH363" s="68"/>
      <c r="AI363" s="69"/>
      <c r="AJ363" s="69"/>
      <c r="AK363" s="68"/>
      <c r="AL363" s="77"/>
      <c r="AM363" s="71"/>
      <c r="AN363" s="68"/>
      <c r="AO363" s="68"/>
      <c r="AP363" s="68"/>
      <c r="AQ363" s="68"/>
      <c r="AR363" s="68"/>
      <c r="AS363" s="68"/>
      <c r="AT363" s="68"/>
      <c r="AU363" s="70"/>
      <c r="AV363" s="72"/>
      <c r="AW363" s="69"/>
      <c r="AX363" s="69"/>
      <c r="AY363" s="69"/>
      <c r="AZ363" s="69"/>
      <c r="BA363" s="69"/>
      <c r="BB363" s="69"/>
      <c r="BC363" s="69"/>
      <c r="BD363" s="70"/>
      <c r="BE363" s="71"/>
      <c r="BF363" s="68"/>
      <c r="BG363" s="68"/>
      <c r="BH363" s="70"/>
      <c r="BI363" s="67"/>
      <c r="BJ363" s="68"/>
      <c r="BK363" s="70"/>
      <c r="BL363" s="71"/>
      <c r="BM363" s="68"/>
      <c r="BN363" s="69"/>
      <c r="BO363" s="78"/>
      <c r="BP363" s="37">
        <f t="shared" si="33"/>
        <v>0</v>
      </c>
    </row>
    <row r="364" spans="1:68" ht="25.5" customHeight="1" thickTop="1" thickBot="1" x14ac:dyDescent="0.2">
      <c r="A364" s="17">
        <f t="shared" si="34"/>
        <v>349</v>
      </c>
      <c r="B364" s="1044"/>
      <c r="C364" s="1045"/>
      <c r="D364" s="38"/>
      <c r="E364" s="954"/>
      <c r="F364" s="53"/>
      <c r="G364" s="39"/>
      <c r="H364" s="1050"/>
      <c r="I364" s="684" t="str">
        <f t="shared" si="30"/>
        <v/>
      </c>
      <c r="J364" s="754">
        <f t="shared" si="31"/>
        <v>0</v>
      </c>
      <c r="K364" s="1254"/>
      <c r="L364" s="1253"/>
      <c r="M364" s="1253"/>
      <c r="N364" s="773" t="str">
        <f t="shared" si="35"/>
        <v/>
      </c>
      <c r="O364" s="774" t="str">
        <f>IF('Set up ~ Config'!$G$32=6,IF(OR($N364=7,$N364=8,$N364=9),1,IF(OR($N364=10,$N364=11,$N364=12),2,IF(OR($N364=1,$N364=2,$N364=3),3,IF(OR($N364=4,$N364=5,$N364=6),4,"")))),IF(OR($N364=9,$N364=10,$N364=11),1,IF(OR($N364=12,$N364=1,$N364=2),2,IF(OR($N364=3,$N364=4,$N364=5),3,IF(OR($N364=6,$N364=7,$N364=8),4,"")))))</f>
        <v/>
      </c>
      <c r="P364" s="40"/>
      <c r="Q364" s="67"/>
      <c r="R364" s="68"/>
      <c r="S364" s="755">
        <f t="shared" si="32"/>
        <v>0</v>
      </c>
      <c r="T364" s="68"/>
      <c r="U364" s="68"/>
      <c r="V364" s="68"/>
      <c r="W364" s="68"/>
      <c r="X364" s="68"/>
      <c r="Y364" s="68"/>
      <c r="Z364" s="68"/>
      <c r="AA364" s="68"/>
      <c r="AB364" s="69"/>
      <c r="AC364" s="70"/>
      <c r="AD364" s="71"/>
      <c r="AE364" s="68"/>
      <c r="AF364" s="68"/>
      <c r="AG364" s="68"/>
      <c r="AH364" s="68"/>
      <c r="AI364" s="69"/>
      <c r="AJ364" s="69"/>
      <c r="AK364" s="68"/>
      <c r="AL364" s="77"/>
      <c r="AM364" s="71"/>
      <c r="AN364" s="68"/>
      <c r="AO364" s="68"/>
      <c r="AP364" s="68"/>
      <c r="AQ364" s="68"/>
      <c r="AR364" s="68"/>
      <c r="AS364" s="68"/>
      <c r="AT364" s="68"/>
      <c r="AU364" s="70"/>
      <c r="AV364" s="72"/>
      <c r="AW364" s="69"/>
      <c r="AX364" s="69"/>
      <c r="AY364" s="69"/>
      <c r="AZ364" s="69"/>
      <c r="BA364" s="69"/>
      <c r="BB364" s="69"/>
      <c r="BC364" s="69"/>
      <c r="BD364" s="70"/>
      <c r="BE364" s="71"/>
      <c r="BF364" s="68"/>
      <c r="BG364" s="68"/>
      <c r="BH364" s="70"/>
      <c r="BI364" s="67"/>
      <c r="BJ364" s="68"/>
      <c r="BK364" s="70"/>
      <c r="BL364" s="71"/>
      <c r="BM364" s="68"/>
      <c r="BN364" s="69"/>
      <c r="BO364" s="78"/>
      <c r="BP364" s="37">
        <f t="shared" si="33"/>
        <v>0</v>
      </c>
    </row>
    <row r="365" spans="1:68" ht="25.5" customHeight="1" thickTop="1" thickBot="1" x14ac:dyDescent="0.2">
      <c r="A365" s="17">
        <f t="shared" si="34"/>
        <v>350</v>
      </c>
      <c r="B365" s="1044"/>
      <c r="C365" s="1045"/>
      <c r="D365" s="38"/>
      <c r="E365" s="954"/>
      <c r="F365" s="53"/>
      <c r="G365" s="39"/>
      <c r="H365" s="1050"/>
      <c r="I365" s="684" t="str">
        <f t="shared" si="30"/>
        <v/>
      </c>
      <c r="J365" s="754">
        <f t="shared" si="31"/>
        <v>0</v>
      </c>
      <c r="K365" s="1254"/>
      <c r="L365" s="1253"/>
      <c r="M365" s="1253"/>
      <c r="N365" s="773" t="str">
        <f t="shared" si="35"/>
        <v/>
      </c>
      <c r="O365" s="774" t="str">
        <f>IF('Set up ~ Config'!$G$32=6,IF(OR($N365=7,$N365=8,$N365=9),1,IF(OR($N365=10,$N365=11,$N365=12),2,IF(OR($N365=1,$N365=2,$N365=3),3,IF(OR($N365=4,$N365=5,$N365=6),4,"")))),IF(OR($N365=9,$N365=10,$N365=11),1,IF(OR($N365=12,$N365=1,$N365=2),2,IF(OR($N365=3,$N365=4,$N365=5),3,IF(OR($N365=6,$N365=7,$N365=8),4,"")))))</f>
        <v/>
      </c>
      <c r="P365" s="40"/>
      <c r="Q365" s="67"/>
      <c r="R365" s="68"/>
      <c r="S365" s="755">
        <f t="shared" si="32"/>
        <v>0</v>
      </c>
      <c r="T365" s="68"/>
      <c r="U365" s="68"/>
      <c r="V365" s="68"/>
      <c r="W365" s="68"/>
      <c r="X365" s="68"/>
      <c r="Y365" s="68"/>
      <c r="Z365" s="68"/>
      <c r="AA365" s="68"/>
      <c r="AB365" s="69"/>
      <c r="AC365" s="70"/>
      <c r="AD365" s="71"/>
      <c r="AE365" s="68"/>
      <c r="AF365" s="68"/>
      <c r="AG365" s="68"/>
      <c r="AH365" s="68"/>
      <c r="AI365" s="69"/>
      <c r="AJ365" s="69"/>
      <c r="AK365" s="68"/>
      <c r="AL365" s="77"/>
      <c r="AM365" s="71"/>
      <c r="AN365" s="68"/>
      <c r="AO365" s="68"/>
      <c r="AP365" s="68"/>
      <c r="AQ365" s="68"/>
      <c r="AR365" s="68"/>
      <c r="AS365" s="68"/>
      <c r="AT365" s="68"/>
      <c r="AU365" s="70"/>
      <c r="AV365" s="72"/>
      <c r="AW365" s="69"/>
      <c r="AX365" s="69"/>
      <c r="AY365" s="69"/>
      <c r="AZ365" s="69"/>
      <c r="BA365" s="69"/>
      <c r="BB365" s="69"/>
      <c r="BC365" s="69"/>
      <c r="BD365" s="70"/>
      <c r="BE365" s="71"/>
      <c r="BF365" s="68"/>
      <c r="BG365" s="68"/>
      <c r="BH365" s="70"/>
      <c r="BI365" s="67"/>
      <c r="BJ365" s="68"/>
      <c r="BK365" s="70"/>
      <c r="BL365" s="71"/>
      <c r="BM365" s="68"/>
      <c r="BN365" s="69"/>
      <c r="BO365" s="78"/>
      <c r="BP365" s="37">
        <f t="shared" si="33"/>
        <v>0</v>
      </c>
    </row>
    <row r="366" spans="1:68" ht="25.5" customHeight="1" thickTop="1" thickBot="1" x14ac:dyDescent="0.2">
      <c r="A366" s="17">
        <f t="shared" si="34"/>
        <v>351</v>
      </c>
      <c r="B366" s="1044"/>
      <c r="C366" s="1045"/>
      <c r="D366" s="38"/>
      <c r="E366" s="954"/>
      <c r="F366" s="53"/>
      <c r="G366" s="39"/>
      <c r="H366" s="1050"/>
      <c r="I366" s="684" t="str">
        <f t="shared" si="30"/>
        <v/>
      </c>
      <c r="J366" s="754">
        <f t="shared" si="31"/>
        <v>0</v>
      </c>
      <c r="K366" s="1254"/>
      <c r="L366" s="1253"/>
      <c r="M366" s="1253"/>
      <c r="N366" s="773" t="str">
        <f t="shared" si="35"/>
        <v/>
      </c>
      <c r="O366" s="774" t="str">
        <f>IF('Set up ~ Config'!$G$32=6,IF(OR($N366=7,$N366=8,$N366=9),1,IF(OR($N366=10,$N366=11,$N366=12),2,IF(OR($N366=1,$N366=2,$N366=3),3,IF(OR($N366=4,$N366=5,$N366=6),4,"")))),IF(OR($N366=9,$N366=10,$N366=11),1,IF(OR($N366=12,$N366=1,$N366=2),2,IF(OR($N366=3,$N366=4,$N366=5),3,IF(OR($N366=6,$N366=7,$N366=8),4,"")))))</f>
        <v/>
      </c>
      <c r="P366" s="40"/>
      <c r="Q366" s="67"/>
      <c r="R366" s="68"/>
      <c r="S366" s="755">
        <f t="shared" si="32"/>
        <v>0</v>
      </c>
      <c r="T366" s="68"/>
      <c r="U366" s="68"/>
      <c r="V366" s="68"/>
      <c r="W366" s="68"/>
      <c r="X366" s="68"/>
      <c r="Y366" s="68"/>
      <c r="Z366" s="68"/>
      <c r="AA366" s="68"/>
      <c r="AB366" s="69"/>
      <c r="AC366" s="70"/>
      <c r="AD366" s="71"/>
      <c r="AE366" s="68"/>
      <c r="AF366" s="68"/>
      <c r="AG366" s="68"/>
      <c r="AH366" s="68"/>
      <c r="AI366" s="69"/>
      <c r="AJ366" s="69"/>
      <c r="AK366" s="68"/>
      <c r="AL366" s="77"/>
      <c r="AM366" s="71"/>
      <c r="AN366" s="68"/>
      <c r="AO366" s="68"/>
      <c r="AP366" s="68"/>
      <c r="AQ366" s="68"/>
      <c r="AR366" s="68"/>
      <c r="AS366" s="68"/>
      <c r="AT366" s="68"/>
      <c r="AU366" s="70"/>
      <c r="AV366" s="72"/>
      <c r="AW366" s="69"/>
      <c r="AX366" s="69"/>
      <c r="AY366" s="69"/>
      <c r="AZ366" s="69"/>
      <c r="BA366" s="69"/>
      <c r="BB366" s="69"/>
      <c r="BC366" s="69"/>
      <c r="BD366" s="70"/>
      <c r="BE366" s="71"/>
      <c r="BF366" s="68"/>
      <c r="BG366" s="68"/>
      <c r="BH366" s="70"/>
      <c r="BI366" s="67"/>
      <c r="BJ366" s="68"/>
      <c r="BK366" s="70"/>
      <c r="BL366" s="71"/>
      <c r="BM366" s="68"/>
      <c r="BN366" s="69"/>
      <c r="BO366" s="78"/>
      <c r="BP366" s="37">
        <f t="shared" si="33"/>
        <v>0</v>
      </c>
    </row>
    <row r="367" spans="1:68" ht="25.5" customHeight="1" thickTop="1" thickBot="1" x14ac:dyDescent="0.2">
      <c r="A367" s="17">
        <f t="shared" si="34"/>
        <v>352</v>
      </c>
      <c r="B367" s="1044"/>
      <c r="C367" s="1045"/>
      <c r="D367" s="38"/>
      <c r="E367" s="954"/>
      <c r="F367" s="53"/>
      <c r="G367" s="39"/>
      <c r="H367" s="1050"/>
      <c r="I367" s="684" t="str">
        <f t="shared" si="30"/>
        <v/>
      </c>
      <c r="J367" s="754">
        <f t="shared" si="31"/>
        <v>0</v>
      </c>
      <c r="K367" s="1254"/>
      <c r="L367" s="1253"/>
      <c r="M367" s="1253"/>
      <c r="N367" s="773" t="str">
        <f t="shared" si="35"/>
        <v/>
      </c>
      <c r="O367" s="774" t="str">
        <f>IF('Set up ~ Config'!$G$32=6,IF(OR($N367=7,$N367=8,$N367=9),1,IF(OR($N367=10,$N367=11,$N367=12),2,IF(OR($N367=1,$N367=2,$N367=3),3,IF(OR($N367=4,$N367=5,$N367=6),4,"")))),IF(OR($N367=9,$N367=10,$N367=11),1,IF(OR($N367=12,$N367=1,$N367=2),2,IF(OR($N367=3,$N367=4,$N367=5),3,IF(OR($N367=6,$N367=7,$N367=8),4,"")))))</f>
        <v/>
      </c>
      <c r="P367" s="40"/>
      <c r="Q367" s="67"/>
      <c r="R367" s="68"/>
      <c r="S367" s="755">
        <f t="shared" si="32"/>
        <v>0</v>
      </c>
      <c r="T367" s="68"/>
      <c r="U367" s="68"/>
      <c r="V367" s="68"/>
      <c r="W367" s="68"/>
      <c r="X367" s="68"/>
      <c r="Y367" s="68"/>
      <c r="Z367" s="68"/>
      <c r="AA367" s="68"/>
      <c r="AB367" s="69"/>
      <c r="AC367" s="70"/>
      <c r="AD367" s="71"/>
      <c r="AE367" s="68"/>
      <c r="AF367" s="68"/>
      <c r="AG367" s="68"/>
      <c r="AH367" s="68"/>
      <c r="AI367" s="69"/>
      <c r="AJ367" s="69"/>
      <c r="AK367" s="68"/>
      <c r="AL367" s="77"/>
      <c r="AM367" s="71"/>
      <c r="AN367" s="68"/>
      <c r="AO367" s="68"/>
      <c r="AP367" s="68"/>
      <c r="AQ367" s="68"/>
      <c r="AR367" s="68"/>
      <c r="AS367" s="68"/>
      <c r="AT367" s="68"/>
      <c r="AU367" s="70"/>
      <c r="AV367" s="72"/>
      <c r="AW367" s="69"/>
      <c r="AX367" s="69"/>
      <c r="AY367" s="69"/>
      <c r="AZ367" s="69"/>
      <c r="BA367" s="69"/>
      <c r="BB367" s="69"/>
      <c r="BC367" s="69"/>
      <c r="BD367" s="70"/>
      <c r="BE367" s="71"/>
      <c r="BF367" s="68"/>
      <c r="BG367" s="68"/>
      <c r="BH367" s="70"/>
      <c r="BI367" s="67"/>
      <c r="BJ367" s="68"/>
      <c r="BK367" s="70"/>
      <c r="BL367" s="71"/>
      <c r="BM367" s="68"/>
      <c r="BN367" s="69"/>
      <c r="BO367" s="78"/>
      <c r="BP367" s="37">
        <f t="shared" si="33"/>
        <v>0</v>
      </c>
    </row>
    <row r="368" spans="1:68" ht="25.5" customHeight="1" thickTop="1" thickBot="1" x14ac:dyDescent="0.2">
      <c r="A368" s="17">
        <f t="shared" si="34"/>
        <v>353</v>
      </c>
      <c r="B368" s="1044"/>
      <c r="C368" s="1045"/>
      <c r="D368" s="38"/>
      <c r="E368" s="954"/>
      <c r="F368" s="53"/>
      <c r="G368" s="39"/>
      <c r="H368" s="1050"/>
      <c r="I368" s="684" t="str">
        <f t="shared" si="30"/>
        <v/>
      </c>
      <c r="J368" s="754">
        <f t="shared" si="31"/>
        <v>0</v>
      </c>
      <c r="K368" s="1254"/>
      <c r="L368" s="1253"/>
      <c r="M368" s="1253"/>
      <c r="N368" s="773" t="str">
        <f t="shared" si="35"/>
        <v/>
      </c>
      <c r="O368" s="774" t="str">
        <f>IF('Set up ~ Config'!$G$32=6,IF(OR($N368=7,$N368=8,$N368=9),1,IF(OR($N368=10,$N368=11,$N368=12),2,IF(OR($N368=1,$N368=2,$N368=3),3,IF(OR($N368=4,$N368=5,$N368=6),4,"")))),IF(OR($N368=9,$N368=10,$N368=11),1,IF(OR($N368=12,$N368=1,$N368=2),2,IF(OR($N368=3,$N368=4,$N368=5),3,IF(OR($N368=6,$N368=7,$N368=8),4,"")))))</f>
        <v/>
      </c>
      <c r="P368" s="40"/>
      <c r="Q368" s="67"/>
      <c r="R368" s="68"/>
      <c r="S368" s="755">
        <f t="shared" si="32"/>
        <v>0</v>
      </c>
      <c r="T368" s="68"/>
      <c r="U368" s="68"/>
      <c r="V368" s="68"/>
      <c r="W368" s="68"/>
      <c r="X368" s="68"/>
      <c r="Y368" s="68"/>
      <c r="Z368" s="68"/>
      <c r="AA368" s="68"/>
      <c r="AB368" s="69"/>
      <c r="AC368" s="70"/>
      <c r="AD368" s="71"/>
      <c r="AE368" s="68"/>
      <c r="AF368" s="68"/>
      <c r="AG368" s="68"/>
      <c r="AH368" s="68"/>
      <c r="AI368" s="69"/>
      <c r="AJ368" s="69"/>
      <c r="AK368" s="68"/>
      <c r="AL368" s="77"/>
      <c r="AM368" s="71"/>
      <c r="AN368" s="68"/>
      <c r="AO368" s="68"/>
      <c r="AP368" s="68"/>
      <c r="AQ368" s="68"/>
      <c r="AR368" s="68"/>
      <c r="AS368" s="68"/>
      <c r="AT368" s="68"/>
      <c r="AU368" s="70"/>
      <c r="AV368" s="72"/>
      <c r="AW368" s="69"/>
      <c r="AX368" s="69"/>
      <c r="AY368" s="69"/>
      <c r="AZ368" s="69"/>
      <c r="BA368" s="69"/>
      <c r="BB368" s="69"/>
      <c r="BC368" s="69"/>
      <c r="BD368" s="70"/>
      <c r="BE368" s="71"/>
      <c r="BF368" s="68"/>
      <c r="BG368" s="68"/>
      <c r="BH368" s="70"/>
      <c r="BI368" s="67"/>
      <c r="BJ368" s="68"/>
      <c r="BK368" s="70"/>
      <c r="BL368" s="71"/>
      <c r="BM368" s="68"/>
      <c r="BN368" s="69"/>
      <c r="BO368" s="78"/>
      <c r="BP368" s="37">
        <f t="shared" si="33"/>
        <v>0</v>
      </c>
    </row>
    <row r="369" spans="1:68" ht="25.5" customHeight="1" thickTop="1" thickBot="1" x14ac:dyDescent="0.2">
      <c r="A369" s="17">
        <f t="shared" si="34"/>
        <v>354</v>
      </c>
      <c r="B369" s="1044"/>
      <c r="C369" s="1045"/>
      <c r="D369" s="38"/>
      <c r="E369" s="954"/>
      <c r="F369" s="53"/>
      <c r="G369" s="39"/>
      <c r="H369" s="1050"/>
      <c r="I369" s="684" t="str">
        <f t="shared" si="30"/>
        <v/>
      </c>
      <c r="J369" s="754">
        <f t="shared" si="31"/>
        <v>0</v>
      </c>
      <c r="K369" s="1254"/>
      <c r="L369" s="1253"/>
      <c r="M369" s="1253"/>
      <c r="N369" s="773" t="str">
        <f t="shared" si="35"/>
        <v/>
      </c>
      <c r="O369" s="774" t="str">
        <f>IF('Set up ~ Config'!$G$32=6,IF(OR($N369=7,$N369=8,$N369=9),1,IF(OR($N369=10,$N369=11,$N369=12),2,IF(OR($N369=1,$N369=2,$N369=3),3,IF(OR($N369=4,$N369=5,$N369=6),4,"")))),IF(OR($N369=9,$N369=10,$N369=11),1,IF(OR($N369=12,$N369=1,$N369=2),2,IF(OR($N369=3,$N369=4,$N369=5),3,IF(OR($N369=6,$N369=7,$N369=8),4,"")))))</f>
        <v/>
      </c>
      <c r="P369" s="40"/>
      <c r="Q369" s="67"/>
      <c r="R369" s="68"/>
      <c r="S369" s="755">
        <f t="shared" si="32"/>
        <v>0</v>
      </c>
      <c r="T369" s="68"/>
      <c r="U369" s="68"/>
      <c r="V369" s="68"/>
      <c r="W369" s="68"/>
      <c r="X369" s="68"/>
      <c r="Y369" s="68"/>
      <c r="Z369" s="68"/>
      <c r="AA369" s="68"/>
      <c r="AB369" s="69"/>
      <c r="AC369" s="70"/>
      <c r="AD369" s="71"/>
      <c r="AE369" s="68"/>
      <c r="AF369" s="68"/>
      <c r="AG369" s="68"/>
      <c r="AH369" s="68"/>
      <c r="AI369" s="69"/>
      <c r="AJ369" s="69"/>
      <c r="AK369" s="68"/>
      <c r="AL369" s="77"/>
      <c r="AM369" s="71"/>
      <c r="AN369" s="68"/>
      <c r="AO369" s="68"/>
      <c r="AP369" s="68"/>
      <c r="AQ369" s="68"/>
      <c r="AR369" s="68"/>
      <c r="AS369" s="68"/>
      <c r="AT369" s="68"/>
      <c r="AU369" s="70"/>
      <c r="AV369" s="72"/>
      <c r="AW369" s="69"/>
      <c r="AX369" s="69"/>
      <c r="AY369" s="69"/>
      <c r="AZ369" s="69"/>
      <c r="BA369" s="69"/>
      <c r="BB369" s="69"/>
      <c r="BC369" s="69"/>
      <c r="BD369" s="70"/>
      <c r="BE369" s="71"/>
      <c r="BF369" s="68"/>
      <c r="BG369" s="68"/>
      <c r="BH369" s="70"/>
      <c r="BI369" s="67"/>
      <c r="BJ369" s="68"/>
      <c r="BK369" s="70"/>
      <c r="BL369" s="71"/>
      <c r="BM369" s="68"/>
      <c r="BN369" s="69"/>
      <c r="BO369" s="78"/>
      <c r="BP369" s="37">
        <f t="shared" si="33"/>
        <v>0</v>
      </c>
    </row>
    <row r="370" spans="1:68" ht="25.5" customHeight="1" thickTop="1" thickBot="1" x14ac:dyDescent="0.2">
      <c r="A370" s="17">
        <f t="shared" si="34"/>
        <v>355</v>
      </c>
      <c r="B370" s="1044"/>
      <c r="C370" s="1045"/>
      <c r="D370" s="38"/>
      <c r="E370" s="954"/>
      <c r="F370" s="53"/>
      <c r="G370" s="39"/>
      <c r="H370" s="1050"/>
      <c r="I370" s="684" t="str">
        <f t="shared" si="30"/>
        <v/>
      </c>
      <c r="J370" s="754">
        <f t="shared" si="31"/>
        <v>0</v>
      </c>
      <c r="K370" s="1254"/>
      <c r="L370" s="1253"/>
      <c r="M370" s="1253"/>
      <c r="N370" s="773" t="str">
        <f t="shared" si="35"/>
        <v/>
      </c>
      <c r="O370" s="774" t="str">
        <f>IF('Set up ~ Config'!$G$32=6,IF(OR($N370=7,$N370=8,$N370=9),1,IF(OR($N370=10,$N370=11,$N370=12),2,IF(OR($N370=1,$N370=2,$N370=3),3,IF(OR($N370=4,$N370=5,$N370=6),4,"")))),IF(OR($N370=9,$N370=10,$N370=11),1,IF(OR($N370=12,$N370=1,$N370=2),2,IF(OR($N370=3,$N370=4,$N370=5),3,IF(OR($N370=6,$N370=7,$N370=8),4,"")))))</f>
        <v/>
      </c>
      <c r="P370" s="40"/>
      <c r="Q370" s="67"/>
      <c r="R370" s="68"/>
      <c r="S370" s="755">
        <f t="shared" si="32"/>
        <v>0</v>
      </c>
      <c r="T370" s="68"/>
      <c r="U370" s="68"/>
      <c r="V370" s="68"/>
      <c r="W370" s="68"/>
      <c r="X370" s="68"/>
      <c r="Y370" s="68"/>
      <c r="Z370" s="68"/>
      <c r="AA370" s="68"/>
      <c r="AB370" s="69"/>
      <c r="AC370" s="70"/>
      <c r="AD370" s="71"/>
      <c r="AE370" s="68"/>
      <c r="AF370" s="68"/>
      <c r="AG370" s="68"/>
      <c r="AH370" s="68"/>
      <c r="AI370" s="69"/>
      <c r="AJ370" s="69"/>
      <c r="AK370" s="68"/>
      <c r="AL370" s="77"/>
      <c r="AM370" s="71"/>
      <c r="AN370" s="68"/>
      <c r="AO370" s="68"/>
      <c r="AP370" s="68"/>
      <c r="AQ370" s="68"/>
      <c r="AR370" s="68"/>
      <c r="AS370" s="68"/>
      <c r="AT370" s="68"/>
      <c r="AU370" s="70"/>
      <c r="AV370" s="72"/>
      <c r="AW370" s="69"/>
      <c r="AX370" s="69"/>
      <c r="AY370" s="69"/>
      <c r="AZ370" s="69"/>
      <c r="BA370" s="69"/>
      <c r="BB370" s="69"/>
      <c r="BC370" s="69"/>
      <c r="BD370" s="70"/>
      <c r="BE370" s="71"/>
      <c r="BF370" s="68"/>
      <c r="BG370" s="68"/>
      <c r="BH370" s="70"/>
      <c r="BI370" s="67"/>
      <c r="BJ370" s="68"/>
      <c r="BK370" s="70"/>
      <c r="BL370" s="71"/>
      <c r="BM370" s="68"/>
      <c r="BN370" s="69"/>
      <c r="BO370" s="78"/>
      <c r="BP370" s="37">
        <f t="shared" si="33"/>
        <v>0</v>
      </c>
    </row>
    <row r="371" spans="1:68" ht="25.5" customHeight="1" thickTop="1" thickBot="1" x14ac:dyDescent="0.2">
      <c r="A371" s="17">
        <f t="shared" si="34"/>
        <v>356</v>
      </c>
      <c r="B371" s="1044"/>
      <c r="C371" s="1045"/>
      <c r="D371" s="38"/>
      <c r="E371" s="954"/>
      <c r="F371" s="53"/>
      <c r="G371" s="39"/>
      <c r="H371" s="1050"/>
      <c r="I371" s="684" t="str">
        <f t="shared" si="30"/>
        <v/>
      </c>
      <c r="J371" s="754">
        <f t="shared" si="31"/>
        <v>0</v>
      </c>
      <c r="K371" s="1254"/>
      <c r="L371" s="1253"/>
      <c r="M371" s="1253"/>
      <c r="N371" s="773" t="str">
        <f t="shared" si="35"/>
        <v/>
      </c>
      <c r="O371" s="774" t="str">
        <f>IF('Set up ~ Config'!$G$32=6,IF(OR($N371=7,$N371=8,$N371=9),1,IF(OR($N371=10,$N371=11,$N371=12),2,IF(OR($N371=1,$N371=2,$N371=3),3,IF(OR($N371=4,$N371=5,$N371=6),4,"")))),IF(OR($N371=9,$N371=10,$N371=11),1,IF(OR($N371=12,$N371=1,$N371=2),2,IF(OR($N371=3,$N371=4,$N371=5),3,IF(OR($N371=6,$N371=7,$N371=8),4,"")))))</f>
        <v/>
      </c>
      <c r="P371" s="40"/>
      <c r="Q371" s="67"/>
      <c r="R371" s="68"/>
      <c r="S371" s="755">
        <f t="shared" si="32"/>
        <v>0</v>
      </c>
      <c r="T371" s="68"/>
      <c r="U371" s="68"/>
      <c r="V371" s="68"/>
      <c r="W371" s="68"/>
      <c r="X371" s="68"/>
      <c r="Y371" s="68"/>
      <c r="Z371" s="68"/>
      <c r="AA371" s="68"/>
      <c r="AB371" s="69"/>
      <c r="AC371" s="70"/>
      <c r="AD371" s="71"/>
      <c r="AE371" s="68"/>
      <c r="AF371" s="68"/>
      <c r="AG371" s="68"/>
      <c r="AH371" s="68"/>
      <c r="AI371" s="69"/>
      <c r="AJ371" s="69"/>
      <c r="AK371" s="68"/>
      <c r="AL371" s="77"/>
      <c r="AM371" s="71"/>
      <c r="AN371" s="68"/>
      <c r="AO371" s="68"/>
      <c r="AP371" s="68"/>
      <c r="AQ371" s="68"/>
      <c r="AR371" s="68"/>
      <c r="AS371" s="68"/>
      <c r="AT371" s="68"/>
      <c r="AU371" s="70"/>
      <c r="AV371" s="72"/>
      <c r="AW371" s="69"/>
      <c r="AX371" s="69"/>
      <c r="AY371" s="69"/>
      <c r="AZ371" s="69"/>
      <c r="BA371" s="69"/>
      <c r="BB371" s="69"/>
      <c r="BC371" s="69"/>
      <c r="BD371" s="70"/>
      <c r="BE371" s="71"/>
      <c r="BF371" s="68"/>
      <c r="BG371" s="68"/>
      <c r="BH371" s="70"/>
      <c r="BI371" s="67"/>
      <c r="BJ371" s="68"/>
      <c r="BK371" s="70"/>
      <c r="BL371" s="71"/>
      <c r="BM371" s="68"/>
      <c r="BN371" s="69"/>
      <c r="BO371" s="78"/>
      <c r="BP371" s="37">
        <f t="shared" si="33"/>
        <v>0</v>
      </c>
    </row>
    <row r="372" spans="1:68" ht="25.5" customHeight="1" thickTop="1" thickBot="1" x14ac:dyDescent="0.2">
      <c r="A372" s="17">
        <f t="shared" si="34"/>
        <v>357</v>
      </c>
      <c r="B372" s="1044"/>
      <c r="C372" s="1045"/>
      <c r="D372" s="38"/>
      <c r="E372" s="954"/>
      <c r="F372" s="53"/>
      <c r="G372" s="39"/>
      <c r="H372" s="1050"/>
      <c r="I372" s="684" t="str">
        <f t="shared" si="30"/>
        <v/>
      </c>
      <c r="J372" s="754">
        <f t="shared" si="31"/>
        <v>0</v>
      </c>
      <c r="K372" s="1254"/>
      <c r="L372" s="1253"/>
      <c r="M372" s="1253"/>
      <c r="N372" s="773" t="str">
        <f t="shared" si="35"/>
        <v/>
      </c>
      <c r="O372" s="774" t="str">
        <f>IF('Set up ~ Config'!$G$32=6,IF(OR($N372=7,$N372=8,$N372=9),1,IF(OR($N372=10,$N372=11,$N372=12),2,IF(OR($N372=1,$N372=2,$N372=3),3,IF(OR($N372=4,$N372=5,$N372=6),4,"")))),IF(OR($N372=9,$N372=10,$N372=11),1,IF(OR($N372=12,$N372=1,$N372=2),2,IF(OR($N372=3,$N372=4,$N372=5),3,IF(OR($N372=6,$N372=7,$N372=8),4,"")))))</f>
        <v/>
      </c>
      <c r="P372" s="40"/>
      <c r="Q372" s="67"/>
      <c r="R372" s="68"/>
      <c r="S372" s="755">
        <f t="shared" si="32"/>
        <v>0</v>
      </c>
      <c r="T372" s="68"/>
      <c r="U372" s="68"/>
      <c r="V372" s="68"/>
      <c r="W372" s="68"/>
      <c r="X372" s="68"/>
      <c r="Y372" s="68"/>
      <c r="Z372" s="68"/>
      <c r="AA372" s="68"/>
      <c r="AB372" s="69"/>
      <c r="AC372" s="70"/>
      <c r="AD372" s="71"/>
      <c r="AE372" s="68"/>
      <c r="AF372" s="68"/>
      <c r="AG372" s="68"/>
      <c r="AH372" s="68"/>
      <c r="AI372" s="69"/>
      <c r="AJ372" s="69"/>
      <c r="AK372" s="68"/>
      <c r="AL372" s="77"/>
      <c r="AM372" s="71"/>
      <c r="AN372" s="68"/>
      <c r="AO372" s="68"/>
      <c r="AP372" s="68"/>
      <c r="AQ372" s="68"/>
      <c r="AR372" s="68"/>
      <c r="AS372" s="68"/>
      <c r="AT372" s="68"/>
      <c r="AU372" s="70"/>
      <c r="AV372" s="72"/>
      <c r="AW372" s="69"/>
      <c r="AX372" s="69"/>
      <c r="AY372" s="69"/>
      <c r="AZ372" s="69"/>
      <c r="BA372" s="69"/>
      <c r="BB372" s="69"/>
      <c r="BC372" s="69"/>
      <c r="BD372" s="70"/>
      <c r="BE372" s="71"/>
      <c r="BF372" s="68"/>
      <c r="BG372" s="68"/>
      <c r="BH372" s="70"/>
      <c r="BI372" s="67"/>
      <c r="BJ372" s="68"/>
      <c r="BK372" s="70"/>
      <c r="BL372" s="71"/>
      <c r="BM372" s="68"/>
      <c r="BN372" s="69"/>
      <c r="BO372" s="78"/>
      <c r="BP372" s="37">
        <f t="shared" si="33"/>
        <v>0</v>
      </c>
    </row>
    <row r="373" spans="1:68" ht="25.5" customHeight="1" thickTop="1" thickBot="1" x14ac:dyDescent="0.2">
      <c r="A373" s="17">
        <f t="shared" si="34"/>
        <v>358</v>
      </c>
      <c r="B373" s="1044"/>
      <c r="C373" s="1045"/>
      <c r="D373" s="38"/>
      <c r="E373" s="954"/>
      <c r="F373" s="53"/>
      <c r="G373" s="39"/>
      <c r="H373" s="1050"/>
      <c r="I373" s="684" t="str">
        <f t="shared" si="30"/>
        <v/>
      </c>
      <c r="J373" s="754">
        <f t="shared" si="31"/>
        <v>0</v>
      </c>
      <c r="K373" s="1254"/>
      <c r="L373" s="1253"/>
      <c r="M373" s="1253"/>
      <c r="N373" s="773" t="str">
        <f t="shared" si="35"/>
        <v/>
      </c>
      <c r="O373" s="774" t="str">
        <f>IF('Set up ~ Config'!$G$32=6,IF(OR($N373=7,$N373=8,$N373=9),1,IF(OR($N373=10,$N373=11,$N373=12),2,IF(OR($N373=1,$N373=2,$N373=3),3,IF(OR($N373=4,$N373=5,$N373=6),4,"")))),IF(OR($N373=9,$N373=10,$N373=11),1,IF(OR($N373=12,$N373=1,$N373=2),2,IF(OR($N373=3,$N373=4,$N373=5),3,IF(OR($N373=6,$N373=7,$N373=8),4,"")))))</f>
        <v/>
      </c>
      <c r="P373" s="40"/>
      <c r="Q373" s="67"/>
      <c r="R373" s="68"/>
      <c r="S373" s="755">
        <f t="shared" si="32"/>
        <v>0</v>
      </c>
      <c r="T373" s="68"/>
      <c r="U373" s="68"/>
      <c r="V373" s="68"/>
      <c r="W373" s="68"/>
      <c r="X373" s="68"/>
      <c r="Y373" s="68"/>
      <c r="Z373" s="68"/>
      <c r="AA373" s="68"/>
      <c r="AB373" s="69"/>
      <c r="AC373" s="70"/>
      <c r="AD373" s="71"/>
      <c r="AE373" s="68"/>
      <c r="AF373" s="68"/>
      <c r="AG373" s="68"/>
      <c r="AH373" s="68"/>
      <c r="AI373" s="69"/>
      <c r="AJ373" s="69"/>
      <c r="AK373" s="68"/>
      <c r="AL373" s="77"/>
      <c r="AM373" s="71"/>
      <c r="AN373" s="68"/>
      <c r="AO373" s="68"/>
      <c r="AP373" s="68"/>
      <c r="AQ373" s="68"/>
      <c r="AR373" s="68"/>
      <c r="AS373" s="68"/>
      <c r="AT373" s="68"/>
      <c r="AU373" s="70"/>
      <c r="AV373" s="72"/>
      <c r="AW373" s="69"/>
      <c r="AX373" s="69"/>
      <c r="AY373" s="69"/>
      <c r="AZ373" s="69"/>
      <c r="BA373" s="69"/>
      <c r="BB373" s="69"/>
      <c r="BC373" s="69"/>
      <c r="BD373" s="70"/>
      <c r="BE373" s="71"/>
      <c r="BF373" s="68"/>
      <c r="BG373" s="68"/>
      <c r="BH373" s="70"/>
      <c r="BI373" s="67"/>
      <c r="BJ373" s="68"/>
      <c r="BK373" s="70"/>
      <c r="BL373" s="71"/>
      <c r="BM373" s="68"/>
      <c r="BN373" s="69"/>
      <c r="BO373" s="78"/>
      <c r="BP373" s="37">
        <f t="shared" si="33"/>
        <v>0</v>
      </c>
    </row>
    <row r="374" spans="1:68" ht="25.5" customHeight="1" thickTop="1" thickBot="1" x14ac:dyDescent="0.2">
      <c r="A374" s="17">
        <f t="shared" si="34"/>
        <v>359</v>
      </c>
      <c r="B374" s="1044"/>
      <c r="C374" s="1045"/>
      <c r="D374" s="38"/>
      <c r="E374" s="954"/>
      <c r="F374" s="53"/>
      <c r="G374" s="39"/>
      <c r="H374" s="1050"/>
      <c r="I374" s="684" t="str">
        <f t="shared" si="30"/>
        <v/>
      </c>
      <c r="J374" s="754">
        <f t="shared" si="31"/>
        <v>0</v>
      </c>
      <c r="K374" s="1254"/>
      <c r="L374" s="1253"/>
      <c r="M374" s="1253"/>
      <c r="N374" s="773" t="str">
        <f t="shared" si="35"/>
        <v/>
      </c>
      <c r="O374" s="774" t="str">
        <f>IF('Set up ~ Config'!$G$32=6,IF(OR($N374=7,$N374=8,$N374=9),1,IF(OR($N374=10,$N374=11,$N374=12),2,IF(OR($N374=1,$N374=2,$N374=3),3,IF(OR($N374=4,$N374=5,$N374=6),4,"")))),IF(OR($N374=9,$N374=10,$N374=11),1,IF(OR($N374=12,$N374=1,$N374=2),2,IF(OR($N374=3,$N374=4,$N374=5),3,IF(OR($N374=6,$N374=7,$N374=8),4,"")))))</f>
        <v/>
      </c>
      <c r="P374" s="40"/>
      <c r="Q374" s="67"/>
      <c r="R374" s="68"/>
      <c r="S374" s="755">
        <f t="shared" si="32"/>
        <v>0</v>
      </c>
      <c r="T374" s="68"/>
      <c r="U374" s="68"/>
      <c r="V374" s="68"/>
      <c r="W374" s="68"/>
      <c r="X374" s="68"/>
      <c r="Y374" s="68"/>
      <c r="Z374" s="68"/>
      <c r="AA374" s="68"/>
      <c r="AB374" s="69"/>
      <c r="AC374" s="70"/>
      <c r="AD374" s="71"/>
      <c r="AE374" s="68"/>
      <c r="AF374" s="68"/>
      <c r="AG374" s="68"/>
      <c r="AH374" s="68"/>
      <c r="AI374" s="69"/>
      <c r="AJ374" s="69"/>
      <c r="AK374" s="68"/>
      <c r="AL374" s="77"/>
      <c r="AM374" s="71"/>
      <c r="AN374" s="68"/>
      <c r="AO374" s="68"/>
      <c r="AP374" s="68"/>
      <c r="AQ374" s="68"/>
      <c r="AR374" s="68"/>
      <c r="AS374" s="68"/>
      <c r="AT374" s="68"/>
      <c r="AU374" s="70"/>
      <c r="AV374" s="72"/>
      <c r="AW374" s="69"/>
      <c r="AX374" s="69"/>
      <c r="AY374" s="69"/>
      <c r="AZ374" s="69"/>
      <c r="BA374" s="69"/>
      <c r="BB374" s="69"/>
      <c r="BC374" s="69"/>
      <c r="BD374" s="70"/>
      <c r="BE374" s="71"/>
      <c r="BF374" s="68"/>
      <c r="BG374" s="68"/>
      <c r="BH374" s="70"/>
      <c r="BI374" s="67"/>
      <c r="BJ374" s="68"/>
      <c r="BK374" s="70"/>
      <c r="BL374" s="71"/>
      <c r="BM374" s="68"/>
      <c r="BN374" s="69"/>
      <c r="BO374" s="78"/>
      <c r="BP374" s="37">
        <f t="shared" si="33"/>
        <v>0</v>
      </c>
    </row>
    <row r="375" spans="1:68" ht="25.5" customHeight="1" thickTop="1" thickBot="1" x14ac:dyDescent="0.2">
      <c r="A375" s="17">
        <f t="shared" si="34"/>
        <v>360</v>
      </c>
      <c r="B375" s="1044"/>
      <c r="C375" s="1045"/>
      <c r="D375" s="38"/>
      <c r="E375" s="954"/>
      <c r="F375" s="53"/>
      <c r="G375" s="39"/>
      <c r="H375" s="1050"/>
      <c r="I375" s="684" t="str">
        <f t="shared" si="30"/>
        <v/>
      </c>
      <c r="J375" s="754">
        <f t="shared" si="31"/>
        <v>0</v>
      </c>
      <c r="K375" s="1254"/>
      <c r="L375" s="1253"/>
      <c r="M375" s="1253"/>
      <c r="N375" s="773" t="str">
        <f t="shared" si="35"/>
        <v/>
      </c>
      <c r="O375" s="774" t="str">
        <f>IF('Set up ~ Config'!$G$32=6,IF(OR($N375=7,$N375=8,$N375=9),1,IF(OR($N375=10,$N375=11,$N375=12),2,IF(OR($N375=1,$N375=2,$N375=3),3,IF(OR($N375=4,$N375=5,$N375=6),4,"")))),IF(OR($N375=9,$N375=10,$N375=11),1,IF(OR($N375=12,$N375=1,$N375=2),2,IF(OR($N375=3,$N375=4,$N375=5),3,IF(OR($N375=6,$N375=7,$N375=8),4,"")))))</f>
        <v/>
      </c>
      <c r="P375" s="40"/>
      <c r="Q375" s="67"/>
      <c r="R375" s="68"/>
      <c r="S375" s="755">
        <f t="shared" si="32"/>
        <v>0</v>
      </c>
      <c r="T375" s="68"/>
      <c r="U375" s="68"/>
      <c r="V375" s="68"/>
      <c r="W375" s="68"/>
      <c r="X375" s="68"/>
      <c r="Y375" s="68"/>
      <c r="Z375" s="68"/>
      <c r="AA375" s="68"/>
      <c r="AB375" s="69"/>
      <c r="AC375" s="70"/>
      <c r="AD375" s="71"/>
      <c r="AE375" s="68"/>
      <c r="AF375" s="68"/>
      <c r="AG375" s="68"/>
      <c r="AH375" s="68"/>
      <c r="AI375" s="69"/>
      <c r="AJ375" s="69"/>
      <c r="AK375" s="68"/>
      <c r="AL375" s="77"/>
      <c r="AM375" s="71"/>
      <c r="AN375" s="68"/>
      <c r="AO375" s="68"/>
      <c r="AP375" s="68"/>
      <c r="AQ375" s="68"/>
      <c r="AR375" s="68"/>
      <c r="AS375" s="68"/>
      <c r="AT375" s="68"/>
      <c r="AU375" s="70"/>
      <c r="AV375" s="72"/>
      <c r="AW375" s="69"/>
      <c r="AX375" s="69"/>
      <c r="AY375" s="69"/>
      <c r="AZ375" s="69"/>
      <c r="BA375" s="69"/>
      <c r="BB375" s="69"/>
      <c r="BC375" s="69"/>
      <c r="BD375" s="70"/>
      <c r="BE375" s="71"/>
      <c r="BF375" s="68"/>
      <c r="BG375" s="68"/>
      <c r="BH375" s="70"/>
      <c r="BI375" s="67"/>
      <c r="BJ375" s="68"/>
      <c r="BK375" s="70"/>
      <c r="BL375" s="71"/>
      <c r="BM375" s="68"/>
      <c r="BN375" s="69"/>
      <c r="BO375" s="78"/>
      <c r="BP375" s="37">
        <f t="shared" si="33"/>
        <v>0</v>
      </c>
    </row>
    <row r="376" spans="1:68" ht="25.5" customHeight="1" thickTop="1" thickBot="1" x14ac:dyDescent="0.2">
      <c r="A376" s="17">
        <f t="shared" si="34"/>
        <v>361</v>
      </c>
      <c r="B376" s="1044"/>
      <c r="C376" s="1045"/>
      <c r="D376" s="38"/>
      <c r="E376" s="954"/>
      <c r="F376" s="53"/>
      <c r="G376" s="39"/>
      <c r="H376" s="1050"/>
      <c r="I376" s="684" t="str">
        <f t="shared" si="30"/>
        <v/>
      </c>
      <c r="J376" s="754">
        <f t="shared" si="31"/>
        <v>0</v>
      </c>
      <c r="K376" s="1254"/>
      <c r="L376" s="1253"/>
      <c r="M376" s="1253"/>
      <c r="N376" s="773" t="str">
        <f t="shared" si="35"/>
        <v/>
      </c>
      <c r="O376" s="774" t="str">
        <f>IF('Set up ~ Config'!$G$32=6,IF(OR($N376=7,$N376=8,$N376=9),1,IF(OR($N376=10,$N376=11,$N376=12),2,IF(OR($N376=1,$N376=2,$N376=3),3,IF(OR($N376=4,$N376=5,$N376=6),4,"")))),IF(OR($N376=9,$N376=10,$N376=11),1,IF(OR($N376=12,$N376=1,$N376=2),2,IF(OR($N376=3,$N376=4,$N376=5),3,IF(OR($N376=6,$N376=7,$N376=8),4,"")))))</f>
        <v/>
      </c>
      <c r="P376" s="40"/>
      <c r="Q376" s="67"/>
      <c r="R376" s="68"/>
      <c r="S376" s="755">
        <f t="shared" si="32"/>
        <v>0</v>
      </c>
      <c r="T376" s="68"/>
      <c r="U376" s="68"/>
      <c r="V376" s="68"/>
      <c r="W376" s="68"/>
      <c r="X376" s="68"/>
      <c r="Y376" s="68"/>
      <c r="Z376" s="68"/>
      <c r="AA376" s="68"/>
      <c r="AB376" s="69"/>
      <c r="AC376" s="70"/>
      <c r="AD376" s="71"/>
      <c r="AE376" s="68"/>
      <c r="AF376" s="68"/>
      <c r="AG376" s="68"/>
      <c r="AH376" s="68"/>
      <c r="AI376" s="69"/>
      <c r="AJ376" s="69"/>
      <c r="AK376" s="68"/>
      <c r="AL376" s="77"/>
      <c r="AM376" s="71"/>
      <c r="AN376" s="68"/>
      <c r="AO376" s="68"/>
      <c r="AP376" s="68"/>
      <c r="AQ376" s="68"/>
      <c r="AR376" s="68"/>
      <c r="AS376" s="68"/>
      <c r="AT376" s="68"/>
      <c r="AU376" s="70"/>
      <c r="AV376" s="72"/>
      <c r="AW376" s="69"/>
      <c r="AX376" s="69"/>
      <c r="AY376" s="69"/>
      <c r="AZ376" s="69"/>
      <c r="BA376" s="69"/>
      <c r="BB376" s="69"/>
      <c r="BC376" s="69"/>
      <c r="BD376" s="70"/>
      <c r="BE376" s="71"/>
      <c r="BF376" s="68"/>
      <c r="BG376" s="68"/>
      <c r="BH376" s="70"/>
      <c r="BI376" s="67"/>
      <c r="BJ376" s="68"/>
      <c r="BK376" s="70"/>
      <c r="BL376" s="71"/>
      <c r="BM376" s="68"/>
      <c r="BN376" s="69"/>
      <c r="BO376" s="78"/>
      <c r="BP376" s="37">
        <f t="shared" si="33"/>
        <v>0</v>
      </c>
    </row>
    <row r="377" spans="1:68" ht="25.5" customHeight="1" thickTop="1" thickBot="1" x14ac:dyDescent="0.2">
      <c r="A377" s="17">
        <f t="shared" si="34"/>
        <v>362</v>
      </c>
      <c r="B377" s="1044"/>
      <c r="C377" s="1045"/>
      <c r="D377" s="38"/>
      <c r="E377" s="954"/>
      <c r="F377" s="53"/>
      <c r="G377" s="39"/>
      <c r="H377" s="1050"/>
      <c r="I377" s="684" t="str">
        <f t="shared" si="30"/>
        <v/>
      </c>
      <c r="J377" s="754">
        <f t="shared" si="31"/>
        <v>0</v>
      </c>
      <c r="K377" s="1254"/>
      <c r="L377" s="1253"/>
      <c r="M377" s="1253"/>
      <c r="N377" s="773" t="str">
        <f t="shared" si="35"/>
        <v/>
      </c>
      <c r="O377" s="774" t="str">
        <f>IF('Set up ~ Config'!$G$32=6,IF(OR($N377=7,$N377=8,$N377=9),1,IF(OR($N377=10,$N377=11,$N377=12),2,IF(OR($N377=1,$N377=2,$N377=3),3,IF(OR($N377=4,$N377=5,$N377=6),4,"")))),IF(OR($N377=9,$N377=10,$N377=11),1,IF(OR($N377=12,$N377=1,$N377=2),2,IF(OR($N377=3,$N377=4,$N377=5),3,IF(OR($N377=6,$N377=7,$N377=8),4,"")))))</f>
        <v/>
      </c>
      <c r="P377" s="40"/>
      <c r="Q377" s="67"/>
      <c r="R377" s="68"/>
      <c r="S377" s="755">
        <f t="shared" si="32"/>
        <v>0</v>
      </c>
      <c r="T377" s="68"/>
      <c r="U377" s="68"/>
      <c r="V377" s="68"/>
      <c r="W377" s="68"/>
      <c r="X377" s="68"/>
      <c r="Y377" s="68"/>
      <c r="Z377" s="68"/>
      <c r="AA377" s="68"/>
      <c r="AB377" s="69"/>
      <c r="AC377" s="70"/>
      <c r="AD377" s="71"/>
      <c r="AE377" s="68"/>
      <c r="AF377" s="68"/>
      <c r="AG377" s="68"/>
      <c r="AH377" s="68"/>
      <c r="AI377" s="69"/>
      <c r="AJ377" s="69"/>
      <c r="AK377" s="68"/>
      <c r="AL377" s="77"/>
      <c r="AM377" s="71"/>
      <c r="AN377" s="68"/>
      <c r="AO377" s="68"/>
      <c r="AP377" s="68"/>
      <c r="AQ377" s="68"/>
      <c r="AR377" s="68"/>
      <c r="AS377" s="68"/>
      <c r="AT377" s="68"/>
      <c r="AU377" s="70"/>
      <c r="AV377" s="72"/>
      <c r="AW377" s="69"/>
      <c r="AX377" s="69"/>
      <c r="AY377" s="69"/>
      <c r="AZ377" s="69"/>
      <c r="BA377" s="69"/>
      <c r="BB377" s="69"/>
      <c r="BC377" s="69"/>
      <c r="BD377" s="70"/>
      <c r="BE377" s="71"/>
      <c r="BF377" s="68"/>
      <c r="BG377" s="68"/>
      <c r="BH377" s="70"/>
      <c r="BI377" s="67"/>
      <c r="BJ377" s="68"/>
      <c r="BK377" s="70"/>
      <c r="BL377" s="71"/>
      <c r="BM377" s="68"/>
      <c r="BN377" s="69"/>
      <c r="BO377" s="78"/>
      <c r="BP377" s="37">
        <f t="shared" si="33"/>
        <v>0</v>
      </c>
    </row>
    <row r="378" spans="1:68" ht="25.5" customHeight="1" thickTop="1" thickBot="1" x14ac:dyDescent="0.2">
      <c r="A378" s="17">
        <f t="shared" si="34"/>
        <v>363</v>
      </c>
      <c r="B378" s="1044"/>
      <c r="C378" s="1045"/>
      <c r="D378" s="38"/>
      <c r="E378" s="954"/>
      <c r="F378" s="53"/>
      <c r="G378" s="39"/>
      <c r="H378" s="1050"/>
      <c r="I378" s="684" t="str">
        <f t="shared" si="30"/>
        <v/>
      </c>
      <c r="J378" s="754">
        <f t="shared" si="31"/>
        <v>0</v>
      </c>
      <c r="K378" s="1254"/>
      <c r="L378" s="1253"/>
      <c r="M378" s="1253"/>
      <c r="N378" s="773" t="str">
        <f t="shared" si="35"/>
        <v/>
      </c>
      <c r="O378" s="774" t="str">
        <f>IF('Set up ~ Config'!$G$32=6,IF(OR($N378=7,$N378=8,$N378=9),1,IF(OR($N378=10,$N378=11,$N378=12),2,IF(OR($N378=1,$N378=2,$N378=3),3,IF(OR($N378=4,$N378=5,$N378=6),4,"")))),IF(OR($N378=9,$N378=10,$N378=11),1,IF(OR($N378=12,$N378=1,$N378=2),2,IF(OR($N378=3,$N378=4,$N378=5),3,IF(OR($N378=6,$N378=7,$N378=8),4,"")))))</f>
        <v/>
      </c>
      <c r="P378" s="40"/>
      <c r="Q378" s="67"/>
      <c r="R378" s="68"/>
      <c r="S378" s="755">
        <f t="shared" si="32"/>
        <v>0</v>
      </c>
      <c r="T378" s="68"/>
      <c r="U378" s="68"/>
      <c r="V378" s="68"/>
      <c r="W378" s="68"/>
      <c r="X378" s="68"/>
      <c r="Y378" s="68"/>
      <c r="Z378" s="68"/>
      <c r="AA378" s="68"/>
      <c r="AB378" s="69"/>
      <c r="AC378" s="70"/>
      <c r="AD378" s="71"/>
      <c r="AE378" s="68"/>
      <c r="AF378" s="68"/>
      <c r="AG378" s="68"/>
      <c r="AH378" s="68"/>
      <c r="AI378" s="69"/>
      <c r="AJ378" s="69"/>
      <c r="AK378" s="68"/>
      <c r="AL378" s="77"/>
      <c r="AM378" s="71"/>
      <c r="AN378" s="68"/>
      <c r="AO378" s="68"/>
      <c r="AP378" s="68"/>
      <c r="AQ378" s="68"/>
      <c r="AR378" s="68"/>
      <c r="AS378" s="68"/>
      <c r="AT378" s="68"/>
      <c r="AU378" s="70"/>
      <c r="AV378" s="72"/>
      <c r="AW378" s="69"/>
      <c r="AX378" s="69"/>
      <c r="AY378" s="69"/>
      <c r="AZ378" s="69"/>
      <c r="BA378" s="69"/>
      <c r="BB378" s="69"/>
      <c r="BC378" s="69"/>
      <c r="BD378" s="70"/>
      <c r="BE378" s="71"/>
      <c r="BF378" s="68"/>
      <c r="BG378" s="68"/>
      <c r="BH378" s="70"/>
      <c r="BI378" s="67"/>
      <c r="BJ378" s="68"/>
      <c r="BK378" s="70"/>
      <c r="BL378" s="71"/>
      <c r="BM378" s="68"/>
      <c r="BN378" s="69"/>
      <c r="BO378" s="78"/>
      <c r="BP378" s="37">
        <f t="shared" si="33"/>
        <v>0</v>
      </c>
    </row>
    <row r="379" spans="1:68" ht="25.5" customHeight="1" thickTop="1" thickBot="1" x14ac:dyDescent="0.2">
      <c r="A379" s="17">
        <f t="shared" si="34"/>
        <v>364</v>
      </c>
      <c r="B379" s="1044"/>
      <c r="C379" s="1045"/>
      <c r="D379" s="38"/>
      <c r="E379" s="954"/>
      <c r="F379" s="53"/>
      <c r="G379" s="39"/>
      <c r="H379" s="1050"/>
      <c r="I379" s="684" t="str">
        <f t="shared" si="30"/>
        <v/>
      </c>
      <c r="J379" s="754">
        <f t="shared" si="31"/>
        <v>0</v>
      </c>
      <c r="K379" s="1254"/>
      <c r="L379" s="1253"/>
      <c r="M379" s="1253"/>
      <c r="N379" s="773" t="str">
        <f t="shared" si="35"/>
        <v/>
      </c>
      <c r="O379" s="774" t="str">
        <f>IF('Set up ~ Config'!$G$32=6,IF(OR($N379=7,$N379=8,$N379=9),1,IF(OR($N379=10,$N379=11,$N379=12),2,IF(OR($N379=1,$N379=2,$N379=3),3,IF(OR($N379=4,$N379=5,$N379=6),4,"")))),IF(OR($N379=9,$N379=10,$N379=11),1,IF(OR($N379=12,$N379=1,$N379=2),2,IF(OR($N379=3,$N379=4,$N379=5),3,IF(OR($N379=6,$N379=7,$N379=8),4,"")))))</f>
        <v/>
      </c>
      <c r="P379" s="40"/>
      <c r="Q379" s="67"/>
      <c r="R379" s="68"/>
      <c r="S379" s="755">
        <f t="shared" si="32"/>
        <v>0</v>
      </c>
      <c r="T379" s="68"/>
      <c r="U379" s="68"/>
      <c r="V379" s="68"/>
      <c r="W379" s="68"/>
      <c r="X379" s="68"/>
      <c r="Y379" s="68"/>
      <c r="Z379" s="68"/>
      <c r="AA379" s="68"/>
      <c r="AB379" s="69"/>
      <c r="AC379" s="70"/>
      <c r="AD379" s="71"/>
      <c r="AE379" s="68"/>
      <c r="AF379" s="68"/>
      <c r="AG379" s="68"/>
      <c r="AH379" s="68"/>
      <c r="AI379" s="69"/>
      <c r="AJ379" s="69"/>
      <c r="AK379" s="68"/>
      <c r="AL379" s="77"/>
      <c r="AM379" s="71"/>
      <c r="AN379" s="68"/>
      <c r="AO379" s="68"/>
      <c r="AP379" s="68"/>
      <c r="AQ379" s="68"/>
      <c r="AR379" s="68"/>
      <c r="AS379" s="68"/>
      <c r="AT379" s="68"/>
      <c r="AU379" s="70"/>
      <c r="AV379" s="72"/>
      <c r="AW379" s="69"/>
      <c r="AX379" s="69"/>
      <c r="AY379" s="69"/>
      <c r="AZ379" s="69"/>
      <c r="BA379" s="69"/>
      <c r="BB379" s="69"/>
      <c r="BC379" s="69"/>
      <c r="BD379" s="70"/>
      <c r="BE379" s="71"/>
      <c r="BF379" s="68"/>
      <c r="BG379" s="68"/>
      <c r="BH379" s="70"/>
      <c r="BI379" s="67"/>
      <c r="BJ379" s="68"/>
      <c r="BK379" s="70"/>
      <c r="BL379" s="71"/>
      <c r="BM379" s="68"/>
      <c r="BN379" s="69"/>
      <c r="BO379" s="78"/>
      <c r="BP379" s="37">
        <f t="shared" si="33"/>
        <v>0</v>
      </c>
    </row>
    <row r="380" spans="1:68" ht="25.5" customHeight="1" thickTop="1" thickBot="1" x14ac:dyDescent="0.2">
      <c r="A380" s="17">
        <f t="shared" si="34"/>
        <v>365</v>
      </c>
      <c r="B380" s="1044"/>
      <c r="C380" s="1045"/>
      <c r="D380" s="38"/>
      <c r="E380" s="954"/>
      <c r="F380" s="53"/>
      <c r="G380" s="39"/>
      <c r="H380" s="1050"/>
      <c r="I380" s="684" t="str">
        <f t="shared" si="30"/>
        <v/>
      </c>
      <c r="J380" s="754">
        <f t="shared" si="31"/>
        <v>0</v>
      </c>
      <c r="K380" s="1254"/>
      <c r="L380" s="1253"/>
      <c r="M380" s="1253"/>
      <c r="N380" s="773" t="str">
        <f t="shared" si="35"/>
        <v/>
      </c>
      <c r="O380" s="774" t="str">
        <f>IF('Set up ~ Config'!$G$32=6,IF(OR($N380=7,$N380=8,$N380=9),1,IF(OR($N380=10,$N380=11,$N380=12),2,IF(OR($N380=1,$N380=2,$N380=3),3,IF(OR($N380=4,$N380=5,$N380=6),4,"")))),IF(OR($N380=9,$N380=10,$N380=11),1,IF(OR($N380=12,$N380=1,$N380=2),2,IF(OR($N380=3,$N380=4,$N380=5),3,IF(OR($N380=6,$N380=7,$N380=8),4,"")))))</f>
        <v/>
      </c>
      <c r="P380" s="40"/>
      <c r="Q380" s="67"/>
      <c r="R380" s="68"/>
      <c r="S380" s="755">
        <f t="shared" si="32"/>
        <v>0</v>
      </c>
      <c r="T380" s="68"/>
      <c r="U380" s="68"/>
      <c r="V380" s="68"/>
      <c r="W380" s="68"/>
      <c r="X380" s="68"/>
      <c r="Y380" s="68"/>
      <c r="Z380" s="68"/>
      <c r="AA380" s="68"/>
      <c r="AB380" s="69"/>
      <c r="AC380" s="70"/>
      <c r="AD380" s="71"/>
      <c r="AE380" s="68"/>
      <c r="AF380" s="68"/>
      <c r="AG380" s="68"/>
      <c r="AH380" s="68"/>
      <c r="AI380" s="69"/>
      <c r="AJ380" s="69"/>
      <c r="AK380" s="68"/>
      <c r="AL380" s="77"/>
      <c r="AM380" s="71"/>
      <c r="AN380" s="68"/>
      <c r="AO380" s="68"/>
      <c r="AP380" s="68"/>
      <c r="AQ380" s="68"/>
      <c r="AR380" s="68"/>
      <c r="AS380" s="68"/>
      <c r="AT380" s="68"/>
      <c r="AU380" s="70"/>
      <c r="AV380" s="72"/>
      <c r="AW380" s="69"/>
      <c r="AX380" s="69"/>
      <c r="AY380" s="69"/>
      <c r="AZ380" s="69"/>
      <c r="BA380" s="69"/>
      <c r="BB380" s="69"/>
      <c r="BC380" s="69"/>
      <c r="BD380" s="70"/>
      <c r="BE380" s="71"/>
      <c r="BF380" s="68"/>
      <c r="BG380" s="68"/>
      <c r="BH380" s="70"/>
      <c r="BI380" s="67"/>
      <c r="BJ380" s="68"/>
      <c r="BK380" s="70"/>
      <c r="BL380" s="71"/>
      <c r="BM380" s="68"/>
      <c r="BN380" s="69"/>
      <c r="BO380" s="78"/>
      <c r="BP380" s="37">
        <f t="shared" si="33"/>
        <v>0</v>
      </c>
    </row>
    <row r="381" spans="1:68" ht="25.5" customHeight="1" thickTop="1" thickBot="1" x14ac:dyDescent="0.2">
      <c r="A381" s="17">
        <f t="shared" si="34"/>
        <v>366</v>
      </c>
      <c r="B381" s="1044"/>
      <c r="C381" s="1045"/>
      <c r="D381" s="38"/>
      <c r="E381" s="954"/>
      <c r="F381" s="53"/>
      <c r="G381" s="39"/>
      <c r="H381" s="1050"/>
      <c r="I381" s="684" t="str">
        <f t="shared" si="30"/>
        <v/>
      </c>
      <c r="J381" s="754">
        <f t="shared" si="31"/>
        <v>0</v>
      </c>
      <c r="K381" s="1254"/>
      <c r="L381" s="1253"/>
      <c r="M381" s="1253"/>
      <c r="N381" s="773" t="str">
        <f t="shared" si="35"/>
        <v/>
      </c>
      <c r="O381" s="774" t="str">
        <f>IF('Set up ~ Config'!$G$32=6,IF(OR($N381=7,$N381=8,$N381=9),1,IF(OR($N381=10,$N381=11,$N381=12),2,IF(OR($N381=1,$N381=2,$N381=3),3,IF(OR($N381=4,$N381=5,$N381=6),4,"")))),IF(OR($N381=9,$N381=10,$N381=11),1,IF(OR($N381=12,$N381=1,$N381=2),2,IF(OR($N381=3,$N381=4,$N381=5),3,IF(OR($N381=6,$N381=7,$N381=8),4,"")))))</f>
        <v/>
      </c>
      <c r="P381" s="40"/>
      <c r="Q381" s="67"/>
      <c r="R381" s="68"/>
      <c r="S381" s="755">
        <f t="shared" si="32"/>
        <v>0</v>
      </c>
      <c r="T381" s="68"/>
      <c r="U381" s="68"/>
      <c r="V381" s="68"/>
      <c r="W381" s="68"/>
      <c r="X381" s="68"/>
      <c r="Y381" s="68"/>
      <c r="Z381" s="68"/>
      <c r="AA381" s="68"/>
      <c r="AB381" s="69"/>
      <c r="AC381" s="70"/>
      <c r="AD381" s="71"/>
      <c r="AE381" s="68"/>
      <c r="AF381" s="68"/>
      <c r="AG381" s="68"/>
      <c r="AH381" s="68"/>
      <c r="AI381" s="69"/>
      <c r="AJ381" s="69"/>
      <c r="AK381" s="68"/>
      <c r="AL381" s="77"/>
      <c r="AM381" s="71"/>
      <c r="AN381" s="68"/>
      <c r="AO381" s="68"/>
      <c r="AP381" s="68"/>
      <c r="AQ381" s="68"/>
      <c r="AR381" s="68"/>
      <c r="AS381" s="68"/>
      <c r="AT381" s="68"/>
      <c r="AU381" s="70"/>
      <c r="AV381" s="72"/>
      <c r="AW381" s="69"/>
      <c r="AX381" s="69"/>
      <c r="AY381" s="69"/>
      <c r="AZ381" s="69"/>
      <c r="BA381" s="69"/>
      <c r="BB381" s="69"/>
      <c r="BC381" s="69"/>
      <c r="BD381" s="70"/>
      <c r="BE381" s="71"/>
      <c r="BF381" s="68"/>
      <c r="BG381" s="68"/>
      <c r="BH381" s="70"/>
      <c r="BI381" s="67"/>
      <c r="BJ381" s="68"/>
      <c r="BK381" s="70"/>
      <c r="BL381" s="71"/>
      <c r="BM381" s="68"/>
      <c r="BN381" s="69"/>
      <c r="BO381" s="78"/>
      <c r="BP381" s="37">
        <f t="shared" si="33"/>
        <v>0</v>
      </c>
    </row>
    <row r="382" spans="1:68" ht="25.5" customHeight="1" thickTop="1" thickBot="1" x14ac:dyDescent="0.2">
      <c r="A382" s="17">
        <f t="shared" si="34"/>
        <v>367</v>
      </c>
      <c r="B382" s="1044"/>
      <c r="C382" s="1045"/>
      <c r="D382" s="38"/>
      <c r="E382" s="954"/>
      <c r="F382" s="53"/>
      <c r="G382" s="39"/>
      <c r="H382" s="1050"/>
      <c r="I382" s="684" t="str">
        <f t="shared" si="30"/>
        <v/>
      </c>
      <c r="J382" s="754">
        <f t="shared" si="31"/>
        <v>0</v>
      </c>
      <c r="K382" s="1254"/>
      <c r="L382" s="1253"/>
      <c r="M382" s="1253"/>
      <c r="N382" s="773" t="str">
        <f t="shared" si="35"/>
        <v/>
      </c>
      <c r="O382" s="774" t="str">
        <f>IF('Set up ~ Config'!$G$32=6,IF(OR($N382=7,$N382=8,$N382=9),1,IF(OR($N382=10,$N382=11,$N382=12),2,IF(OR($N382=1,$N382=2,$N382=3),3,IF(OR($N382=4,$N382=5,$N382=6),4,"")))),IF(OR($N382=9,$N382=10,$N382=11),1,IF(OR($N382=12,$N382=1,$N382=2),2,IF(OR($N382=3,$N382=4,$N382=5),3,IF(OR($N382=6,$N382=7,$N382=8),4,"")))))</f>
        <v/>
      </c>
      <c r="P382" s="40"/>
      <c r="Q382" s="67"/>
      <c r="R382" s="68"/>
      <c r="S382" s="755">
        <f t="shared" si="32"/>
        <v>0</v>
      </c>
      <c r="T382" s="68"/>
      <c r="U382" s="68"/>
      <c r="V382" s="68"/>
      <c r="W382" s="68"/>
      <c r="X382" s="68"/>
      <c r="Y382" s="68"/>
      <c r="Z382" s="68"/>
      <c r="AA382" s="68"/>
      <c r="AB382" s="69"/>
      <c r="AC382" s="70"/>
      <c r="AD382" s="71"/>
      <c r="AE382" s="68"/>
      <c r="AF382" s="68"/>
      <c r="AG382" s="68"/>
      <c r="AH382" s="68"/>
      <c r="AI382" s="69"/>
      <c r="AJ382" s="69"/>
      <c r="AK382" s="68"/>
      <c r="AL382" s="77"/>
      <c r="AM382" s="71"/>
      <c r="AN382" s="68"/>
      <c r="AO382" s="68"/>
      <c r="AP382" s="68"/>
      <c r="AQ382" s="68"/>
      <c r="AR382" s="68"/>
      <c r="AS382" s="68"/>
      <c r="AT382" s="68"/>
      <c r="AU382" s="70"/>
      <c r="AV382" s="72"/>
      <c r="AW382" s="69"/>
      <c r="AX382" s="69"/>
      <c r="AY382" s="69"/>
      <c r="AZ382" s="69"/>
      <c r="BA382" s="69"/>
      <c r="BB382" s="69"/>
      <c r="BC382" s="69"/>
      <c r="BD382" s="70"/>
      <c r="BE382" s="71"/>
      <c r="BF382" s="68"/>
      <c r="BG382" s="68"/>
      <c r="BH382" s="70"/>
      <c r="BI382" s="67"/>
      <c r="BJ382" s="68"/>
      <c r="BK382" s="70"/>
      <c r="BL382" s="71"/>
      <c r="BM382" s="68"/>
      <c r="BN382" s="69"/>
      <c r="BO382" s="78"/>
      <c r="BP382" s="37">
        <f t="shared" si="33"/>
        <v>0</v>
      </c>
    </row>
    <row r="383" spans="1:68" ht="25.5" customHeight="1" thickTop="1" thickBot="1" x14ac:dyDescent="0.2">
      <c r="A383" s="17">
        <f t="shared" si="34"/>
        <v>368</v>
      </c>
      <c r="B383" s="1044"/>
      <c r="C383" s="1045"/>
      <c r="D383" s="38"/>
      <c r="E383" s="954"/>
      <c r="F383" s="53"/>
      <c r="G383" s="39"/>
      <c r="H383" s="1050"/>
      <c r="I383" s="684" t="str">
        <f t="shared" si="30"/>
        <v/>
      </c>
      <c r="J383" s="754">
        <f t="shared" si="31"/>
        <v>0</v>
      </c>
      <c r="K383" s="1254"/>
      <c r="L383" s="1253"/>
      <c r="M383" s="1253"/>
      <c r="N383" s="773" t="str">
        <f t="shared" si="35"/>
        <v/>
      </c>
      <c r="O383" s="774" t="str">
        <f>IF('Set up ~ Config'!$G$32=6,IF(OR($N383=7,$N383=8,$N383=9),1,IF(OR($N383=10,$N383=11,$N383=12),2,IF(OR($N383=1,$N383=2,$N383=3),3,IF(OR($N383=4,$N383=5,$N383=6),4,"")))),IF(OR($N383=9,$N383=10,$N383=11),1,IF(OR($N383=12,$N383=1,$N383=2),2,IF(OR($N383=3,$N383=4,$N383=5),3,IF(OR($N383=6,$N383=7,$N383=8),4,"")))))</f>
        <v/>
      </c>
      <c r="P383" s="40"/>
      <c r="Q383" s="67"/>
      <c r="R383" s="68"/>
      <c r="S383" s="755">
        <f t="shared" si="32"/>
        <v>0</v>
      </c>
      <c r="T383" s="68"/>
      <c r="U383" s="68"/>
      <c r="V383" s="68"/>
      <c r="W383" s="68"/>
      <c r="X383" s="68"/>
      <c r="Y383" s="68"/>
      <c r="Z383" s="68"/>
      <c r="AA383" s="68"/>
      <c r="AB383" s="69"/>
      <c r="AC383" s="70"/>
      <c r="AD383" s="71"/>
      <c r="AE383" s="68"/>
      <c r="AF383" s="68"/>
      <c r="AG383" s="68"/>
      <c r="AH383" s="68"/>
      <c r="AI383" s="69"/>
      <c r="AJ383" s="69"/>
      <c r="AK383" s="68"/>
      <c r="AL383" s="77"/>
      <c r="AM383" s="71"/>
      <c r="AN383" s="68"/>
      <c r="AO383" s="68"/>
      <c r="AP383" s="68"/>
      <c r="AQ383" s="68"/>
      <c r="AR383" s="68"/>
      <c r="AS383" s="68"/>
      <c r="AT383" s="68"/>
      <c r="AU383" s="70"/>
      <c r="AV383" s="72"/>
      <c r="AW383" s="69"/>
      <c r="AX383" s="69"/>
      <c r="AY383" s="69"/>
      <c r="AZ383" s="69"/>
      <c r="BA383" s="69"/>
      <c r="BB383" s="69"/>
      <c r="BC383" s="69"/>
      <c r="BD383" s="70"/>
      <c r="BE383" s="71"/>
      <c r="BF383" s="68"/>
      <c r="BG383" s="68"/>
      <c r="BH383" s="70"/>
      <c r="BI383" s="67"/>
      <c r="BJ383" s="68"/>
      <c r="BK383" s="70"/>
      <c r="BL383" s="71"/>
      <c r="BM383" s="68"/>
      <c r="BN383" s="69"/>
      <c r="BO383" s="78"/>
      <c r="BP383" s="37">
        <f t="shared" si="33"/>
        <v>0</v>
      </c>
    </row>
    <row r="384" spans="1:68" ht="25.5" customHeight="1" thickTop="1" thickBot="1" x14ac:dyDescent="0.2">
      <c r="A384" s="17">
        <f t="shared" si="34"/>
        <v>369</v>
      </c>
      <c r="B384" s="1044"/>
      <c r="C384" s="1045"/>
      <c r="D384" s="38"/>
      <c r="E384" s="954"/>
      <c r="F384" s="53"/>
      <c r="G384" s="39"/>
      <c r="H384" s="1050"/>
      <c r="I384" s="684" t="str">
        <f t="shared" si="30"/>
        <v/>
      </c>
      <c r="J384" s="754">
        <f t="shared" si="31"/>
        <v>0</v>
      </c>
      <c r="K384" s="1254"/>
      <c r="L384" s="1253"/>
      <c r="M384" s="1253"/>
      <c r="N384" s="773" t="str">
        <f t="shared" si="35"/>
        <v/>
      </c>
      <c r="O384" s="774" t="str">
        <f>IF('Set up ~ Config'!$G$32=6,IF(OR($N384=7,$N384=8,$N384=9),1,IF(OR($N384=10,$N384=11,$N384=12),2,IF(OR($N384=1,$N384=2,$N384=3),3,IF(OR($N384=4,$N384=5,$N384=6),4,"")))),IF(OR($N384=9,$N384=10,$N384=11),1,IF(OR($N384=12,$N384=1,$N384=2),2,IF(OR($N384=3,$N384=4,$N384=5),3,IF(OR($N384=6,$N384=7,$N384=8),4,"")))))</f>
        <v/>
      </c>
      <c r="P384" s="40"/>
      <c r="Q384" s="67"/>
      <c r="R384" s="68"/>
      <c r="S384" s="755">
        <f t="shared" si="32"/>
        <v>0</v>
      </c>
      <c r="T384" s="68"/>
      <c r="U384" s="68"/>
      <c r="V384" s="68"/>
      <c r="W384" s="68"/>
      <c r="X384" s="68"/>
      <c r="Y384" s="68"/>
      <c r="Z384" s="68"/>
      <c r="AA384" s="68"/>
      <c r="AB384" s="69"/>
      <c r="AC384" s="70"/>
      <c r="AD384" s="71"/>
      <c r="AE384" s="68"/>
      <c r="AF384" s="68"/>
      <c r="AG384" s="68"/>
      <c r="AH384" s="68"/>
      <c r="AI384" s="69"/>
      <c r="AJ384" s="69"/>
      <c r="AK384" s="68"/>
      <c r="AL384" s="77"/>
      <c r="AM384" s="71"/>
      <c r="AN384" s="68"/>
      <c r="AO384" s="68"/>
      <c r="AP384" s="68"/>
      <c r="AQ384" s="68"/>
      <c r="AR384" s="68"/>
      <c r="AS384" s="68"/>
      <c r="AT384" s="68"/>
      <c r="AU384" s="70"/>
      <c r="AV384" s="72"/>
      <c r="AW384" s="69"/>
      <c r="AX384" s="69"/>
      <c r="AY384" s="69"/>
      <c r="AZ384" s="69"/>
      <c r="BA384" s="69"/>
      <c r="BB384" s="69"/>
      <c r="BC384" s="69"/>
      <c r="BD384" s="70"/>
      <c r="BE384" s="71"/>
      <c r="BF384" s="68"/>
      <c r="BG384" s="68"/>
      <c r="BH384" s="70"/>
      <c r="BI384" s="67"/>
      <c r="BJ384" s="68"/>
      <c r="BK384" s="70"/>
      <c r="BL384" s="71"/>
      <c r="BM384" s="68"/>
      <c r="BN384" s="69"/>
      <c r="BO384" s="78"/>
      <c r="BP384" s="37">
        <f t="shared" si="33"/>
        <v>0</v>
      </c>
    </row>
    <row r="385" spans="1:68" ht="25.5" customHeight="1" thickTop="1" thickBot="1" x14ac:dyDescent="0.2">
      <c r="A385" s="17">
        <f t="shared" si="34"/>
        <v>370</v>
      </c>
      <c r="B385" s="1044"/>
      <c r="C385" s="1045"/>
      <c r="D385" s="38"/>
      <c r="E385" s="954"/>
      <c r="F385" s="53"/>
      <c r="G385" s="39"/>
      <c r="H385" s="1050"/>
      <c r="I385" s="684" t="str">
        <f t="shared" si="30"/>
        <v/>
      </c>
      <c r="J385" s="754">
        <f t="shared" si="31"/>
        <v>0</v>
      </c>
      <c r="K385" s="1254"/>
      <c r="L385" s="1253"/>
      <c r="M385" s="1253"/>
      <c r="N385" s="773" t="str">
        <f t="shared" si="35"/>
        <v/>
      </c>
      <c r="O385" s="774" t="str">
        <f>IF('Set up ~ Config'!$G$32=6,IF(OR($N385=7,$N385=8,$N385=9),1,IF(OR($N385=10,$N385=11,$N385=12),2,IF(OR($N385=1,$N385=2,$N385=3),3,IF(OR($N385=4,$N385=5,$N385=6),4,"")))),IF(OR($N385=9,$N385=10,$N385=11),1,IF(OR($N385=12,$N385=1,$N385=2),2,IF(OR($N385=3,$N385=4,$N385=5),3,IF(OR($N385=6,$N385=7,$N385=8),4,"")))))</f>
        <v/>
      </c>
      <c r="P385" s="40"/>
      <c r="Q385" s="67"/>
      <c r="R385" s="68"/>
      <c r="S385" s="755">
        <f t="shared" si="32"/>
        <v>0</v>
      </c>
      <c r="T385" s="68"/>
      <c r="U385" s="68"/>
      <c r="V385" s="68"/>
      <c r="W385" s="68"/>
      <c r="X385" s="68"/>
      <c r="Y385" s="68"/>
      <c r="Z385" s="68"/>
      <c r="AA385" s="68"/>
      <c r="AB385" s="69"/>
      <c r="AC385" s="70"/>
      <c r="AD385" s="71"/>
      <c r="AE385" s="68"/>
      <c r="AF385" s="68"/>
      <c r="AG385" s="68"/>
      <c r="AH385" s="68"/>
      <c r="AI385" s="69"/>
      <c r="AJ385" s="69"/>
      <c r="AK385" s="68"/>
      <c r="AL385" s="77"/>
      <c r="AM385" s="71"/>
      <c r="AN385" s="68"/>
      <c r="AO385" s="68"/>
      <c r="AP385" s="68"/>
      <c r="AQ385" s="68"/>
      <c r="AR385" s="68"/>
      <c r="AS385" s="68"/>
      <c r="AT385" s="68"/>
      <c r="AU385" s="70"/>
      <c r="AV385" s="72"/>
      <c r="AW385" s="69"/>
      <c r="AX385" s="69"/>
      <c r="AY385" s="69"/>
      <c r="AZ385" s="69"/>
      <c r="BA385" s="69"/>
      <c r="BB385" s="69"/>
      <c r="BC385" s="69"/>
      <c r="BD385" s="70"/>
      <c r="BE385" s="71"/>
      <c r="BF385" s="68"/>
      <c r="BG385" s="68"/>
      <c r="BH385" s="70"/>
      <c r="BI385" s="67"/>
      <c r="BJ385" s="68"/>
      <c r="BK385" s="70"/>
      <c r="BL385" s="71"/>
      <c r="BM385" s="68"/>
      <c r="BN385" s="69"/>
      <c r="BO385" s="78"/>
      <c r="BP385" s="37">
        <f t="shared" si="33"/>
        <v>0</v>
      </c>
    </row>
    <row r="386" spans="1:68" ht="25.5" customHeight="1" thickTop="1" thickBot="1" x14ac:dyDescent="0.2">
      <c r="A386" s="17">
        <f t="shared" si="34"/>
        <v>371</v>
      </c>
      <c r="B386" s="1044"/>
      <c r="C386" s="1045"/>
      <c r="D386" s="38"/>
      <c r="E386" s="954"/>
      <c r="F386" s="53"/>
      <c r="G386" s="39"/>
      <c r="H386" s="1050"/>
      <c r="I386" s="684" t="str">
        <f t="shared" si="30"/>
        <v/>
      </c>
      <c r="J386" s="754">
        <f t="shared" si="31"/>
        <v>0</v>
      </c>
      <c r="K386" s="1254"/>
      <c r="L386" s="1253"/>
      <c r="M386" s="1253"/>
      <c r="N386" s="773" t="str">
        <f t="shared" si="35"/>
        <v/>
      </c>
      <c r="O386" s="774" t="str">
        <f>IF('Set up ~ Config'!$G$32=6,IF(OR($N386=7,$N386=8,$N386=9),1,IF(OR($N386=10,$N386=11,$N386=12),2,IF(OR($N386=1,$N386=2,$N386=3),3,IF(OR($N386=4,$N386=5,$N386=6),4,"")))),IF(OR($N386=9,$N386=10,$N386=11),1,IF(OR($N386=12,$N386=1,$N386=2),2,IF(OR($N386=3,$N386=4,$N386=5),3,IF(OR($N386=6,$N386=7,$N386=8),4,"")))))</f>
        <v/>
      </c>
      <c r="P386" s="40"/>
      <c r="Q386" s="67"/>
      <c r="R386" s="68"/>
      <c r="S386" s="755">
        <f t="shared" si="32"/>
        <v>0</v>
      </c>
      <c r="T386" s="68"/>
      <c r="U386" s="68"/>
      <c r="V386" s="68"/>
      <c r="W386" s="68"/>
      <c r="X386" s="68"/>
      <c r="Y386" s="68"/>
      <c r="Z386" s="68"/>
      <c r="AA386" s="68"/>
      <c r="AB386" s="69"/>
      <c r="AC386" s="70"/>
      <c r="AD386" s="71"/>
      <c r="AE386" s="68"/>
      <c r="AF386" s="68"/>
      <c r="AG386" s="68"/>
      <c r="AH386" s="68"/>
      <c r="AI386" s="69"/>
      <c r="AJ386" s="69"/>
      <c r="AK386" s="68"/>
      <c r="AL386" s="77"/>
      <c r="AM386" s="71"/>
      <c r="AN386" s="68"/>
      <c r="AO386" s="68"/>
      <c r="AP386" s="68"/>
      <c r="AQ386" s="68"/>
      <c r="AR386" s="68"/>
      <c r="AS386" s="68"/>
      <c r="AT386" s="68"/>
      <c r="AU386" s="70"/>
      <c r="AV386" s="72"/>
      <c r="AW386" s="69"/>
      <c r="AX386" s="69"/>
      <c r="AY386" s="69"/>
      <c r="AZ386" s="69"/>
      <c r="BA386" s="69"/>
      <c r="BB386" s="69"/>
      <c r="BC386" s="69"/>
      <c r="BD386" s="70"/>
      <c r="BE386" s="71"/>
      <c r="BF386" s="68"/>
      <c r="BG386" s="68"/>
      <c r="BH386" s="70"/>
      <c r="BI386" s="67"/>
      <c r="BJ386" s="68"/>
      <c r="BK386" s="70"/>
      <c r="BL386" s="71"/>
      <c r="BM386" s="68"/>
      <c r="BN386" s="69"/>
      <c r="BO386" s="78"/>
      <c r="BP386" s="37">
        <f t="shared" si="33"/>
        <v>0</v>
      </c>
    </row>
    <row r="387" spans="1:68" ht="25.5" customHeight="1" thickTop="1" thickBot="1" x14ac:dyDescent="0.2">
      <c r="A387" s="17">
        <f t="shared" si="34"/>
        <v>372</v>
      </c>
      <c r="B387" s="1044"/>
      <c r="C387" s="1045"/>
      <c r="D387" s="38"/>
      <c r="E387" s="954"/>
      <c r="F387" s="53"/>
      <c r="G387" s="39"/>
      <c r="H387" s="1050"/>
      <c r="I387" s="684" t="str">
        <f t="shared" si="30"/>
        <v/>
      </c>
      <c r="J387" s="754">
        <f t="shared" si="31"/>
        <v>0</v>
      </c>
      <c r="K387" s="1254"/>
      <c r="L387" s="1253"/>
      <c r="M387" s="1253"/>
      <c r="N387" s="773" t="str">
        <f t="shared" si="35"/>
        <v/>
      </c>
      <c r="O387" s="774" t="str">
        <f>IF('Set up ~ Config'!$G$32=6,IF(OR($N387=7,$N387=8,$N387=9),1,IF(OR($N387=10,$N387=11,$N387=12),2,IF(OR($N387=1,$N387=2,$N387=3),3,IF(OR($N387=4,$N387=5,$N387=6),4,"")))),IF(OR($N387=9,$N387=10,$N387=11),1,IF(OR($N387=12,$N387=1,$N387=2),2,IF(OR($N387=3,$N387=4,$N387=5),3,IF(OR($N387=6,$N387=7,$N387=8),4,"")))))</f>
        <v/>
      </c>
      <c r="P387" s="40"/>
      <c r="Q387" s="67"/>
      <c r="R387" s="68"/>
      <c r="S387" s="755">
        <f t="shared" si="32"/>
        <v>0</v>
      </c>
      <c r="T387" s="68"/>
      <c r="U387" s="68"/>
      <c r="V387" s="68"/>
      <c r="W387" s="68"/>
      <c r="X387" s="68"/>
      <c r="Y387" s="68"/>
      <c r="Z387" s="68"/>
      <c r="AA387" s="68"/>
      <c r="AB387" s="69"/>
      <c r="AC387" s="70"/>
      <c r="AD387" s="71"/>
      <c r="AE387" s="68"/>
      <c r="AF387" s="68"/>
      <c r="AG387" s="68"/>
      <c r="AH387" s="68"/>
      <c r="AI387" s="69"/>
      <c r="AJ387" s="69"/>
      <c r="AK387" s="68"/>
      <c r="AL387" s="77"/>
      <c r="AM387" s="71"/>
      <c r="AN387" s="68"/>
      <c r="AO387" s="68"/>
      <c r="AP387" s="68"/>
      <c r="AQ387" s="68"/>
      <c r="AR387" s="68"/>
      <c r="AS387" s="68"/>
      <c r="AT387" s="68"/>
      <c r="AU387" s="70"/>
      <c r="AV387" s="72"/>
      <c r="AW387" s="69"/>
      <c r="AX387" s="69"/>
      <c r="AY387" s="69"/>
      <c r="AZ387" s="69"/>
      <c r="BA387" s="69"/>
      <c r="BB387" s="69"/>
      <c r="BC387" s="69"/>
      <c r="BD387" s="70"/>
      <c r="BE387" s="71"/>
      <c r="BF387" s="68"/>
      <c r="BG387" s="68"/>
      <c r="BH387" s="70"/>
      <c r="BI387" s="67"/>
      <c r="BJ387" s="68"/>
      <c r="BK387" s="70"/>
      <c r="BL387" s="71"/>
      <c r="BM387" s="68"/>
      <c r="BN387" s="69"/>
      <c r="BO387" s="78"/>
      <c r="BP387" s="37">
        <f t="shared" si="33"/>
        <v>0</v>
      </c>
    </row>
    <row r="388" spans="1:68" ht="25.5" customHeight="1" thickTop="1" thickBot="1" x14ac:dyDescent="0.2">
      <c r="A388" s="17">
        <f t="shared" si="34"/>
        <v>373</v>
      </c>
      <c r="B388" s="1044"/>
      <c r="C388" s="1045"/>
      <c r="D388" s="38"/>
      <c r="E388" s="954"/>
      <c r="F388" s="53"/>
      <c r="G388" s="39"/>
      <c r="H388" s="1050"/>
      <c r="I388" s="684" t="str">
        <f t="shared" si="30"/>
        <v/>
      </c>
      <c r="J388" s="754">
        <f t="shared" si="31"/>
        <v>0</v>
      </c>
      <c r="K388" s="1254"/>
      <c r="L388" s="1253"/>
      <c r="M388" s="1253"/>
      <c r="N388" s="773" t="str">
        <f t="shared" si="35"/>
        <v/>
      </c>
      <c r="O388" s="774" t="str">
        <f>IF('Set up ~ Config'!$G$32=6,IF(OR($N388=7,$N388=8,$N388=9),1,IF(OR($N388=10,$N388=11,$N388=12),2,IF(OR($N388=1,$N388=2,$N388=3),3,IF(OR($N388=4,$N388=5,$N388=6),4,"")))),IF(OR($N388=9,$N388=10,$N388=11),1,IF(OR($N388=12,$N388=1,$N388=2),2,IF(OR($N388=3,$N388=4,$N388=5),3,IF(OR($N388=6,$N388=7,$N388=8),4,"")))))</f>
        <v/>
      </c>
      <c r="P388" s="40"/>
      <c r="Q388" s="67"/>
      <c r="R388" s="68"/>
      <c r="S388" s="755">
        <f t="shared" si="32"/>
        <v>0</v>
      </c>
      <c r="T388" s="68"/>
      <c r="U388" s="68"/>
      <c r="V388" s="68"/>
      <c r="W388" s="68"/>
      <c r="X388" s="68"/>
      <c r="Y388" s="68"/>
      <c r="Z388" s="68"/>
      <c r="AA388" s="68"/>
      <c r="AB388" s="69"/>
      <c r="AC388" s="70"/>
      <c r="AD388" s="71"/>
      <c r="AE388" s="68"/>
      <c r="AF388" s="68"/>
      <c r="AG388" s="68"/>
      <c r="AH388" s="68"/>
      <c r="AI388" s="69"/>
      <c r="AJ388" s="69"/>
      <c r="AK388" s="68"/>
      <c r="AL388" s="77"/>
      <c r="AM388" s="71"/>
      <c r="AN388" s="68"/>
      <c r="AO388" s="68"/>
      <c r="AP388" s="68"/>
      <c r="AQ388" s="68"/>
      <c r="AR388" s="68"/>
      <c r="AS388" s="68"/>
      <c r="AT388" s="68"/>
      <c r="AU388" s="70"/>
      <c r="AV388" s="72"/>
      <c r="AW388" s="69"/>
      <c r="AX388" s="69"/>
      <c r="AY388" s="69"/>
      <c r="AZ388" s="69"/>
      <c r="BA388" s="69"/>
      <c r="BB388" s="69"/>
      <c r="BC388" s="69"/>
      <c r="BD388" s="70"/>
      <c r="BE388" s="71"/>
      <c r="BF388" s="68"/>
      <c r="BG388" s="68"/>
      <c r="BH388" s="70"/>
      <c r="BI388" s="67"/>
      <c r="BJ388" s="68"/>
      <c r="BK388" s="70"/>
      <c r="BL388" s="71"/>
      <c r="BM388" s="68"/>
      <c r="BN388" s="69"/>
      <c r="BO388" s="78"/>
      <c r="BP388" s="37">
        <f t="shared" si="33"/>
        <v>0</v>
      </c>
    </row>
    <row r="389" spans="1:68" ht="25.5" customHeight="1" thickTop="1" thickBot="1" x14ac:dyDescent="0.2">
      <c r="A389" s="17">
        <f t="shared" si="34"/>
        <v>374</v>
      </c>
      <c r="B389" s="1044"/>
      <c r="C389" s="1045"/>
      <c r="D389" s="38"/>
      <c r="E389" s="954"/>
      <c r="F389" s="53"/>
      <c r="G389" s="39"/>
      <c r="H389" s="1050"/>
      <c r="I389" s="684" t="str">
        <f t="shared" si="30"/>
        <v/>
      </c>
      <c r="J389" s="754">
        <f t="shared" si="31"/>
        <v>0</v>
      </c>
      <c r="K389" s="1254"/>
      <c r="L389" s="1253"/>
      <c r="M389" s="1253"/>
      <c r="N389" s="773" t="str">
        <f t="shared" si="35"/>
        <v/>
      </c>
      <c r="O389" s="774" t="str">
        <f>IF('Set up ~ Config'!$G$32=6,IF(OR($N389=7,$N389=8,$N389=9),1,IF(OR($N389=10,$N389=11,$N389=12),2,IF(OR($N389=1,$N389=2,$N389=3),3,IF(OR($N389=4,$N389=5,$N389=6),4,"")))),IF(OR($N389=9,$N389=10,$N389=11),1,IF(OR($N389=12,$N389=1,$N389=2),2,IF(OR($N389=3,$N389=4,$N389=5),3,IF(OR($N389=6,$N389=7,$N389=8),4,"")))))</f>
        <v/>
      </c>
      <c r="P389" s="40"/>
      <c r="Q389" s="67"/>
      <c r="R389" s="68"/>
      <c r="S389" s="755">
        <f t="shared" si="32"/>
        <v>0</v>
      </c>
      <c r="T389" s="68"/>
      <c r="U389" s="68"/>
      <c r="V389" s="68"/>
      <c r="W389" s="68"/>
      <c r="X389" s="68"/>
      <c r="Y389" s="68"/>
      <c r="Z389" s="68"/>
      <c r="AA389" s="68"/>
      <c r="AB389" s="69"/>
      <c r="AC389" s="70"/>
      <c r="AD389" s="71"/>
      <c r="AE389" s="68"/>
      <c r="AF389" s="68"/>
      <c r="AG389" s="68"/>
      <c r="AH389" s="68"/>
      <c r="AI389" s="69"/>
      <c r="AJ389" s="69"/>
      <c r="AK389" s="68"/>
      <c r="AL389" s="77"/>
      <c r="AM389" s="71"/>
      <c r="AN389" s="68"/>
      <c r="AO389" s="68"/>
      <c r="AP389" s="68"/>
      <c r="AQ389" s="68"/>
      <c r="AR389" s="68"/>
      <c r="AS389" s="68"/>
      <c r="AT389" s="68"/>
      <c r="AU389" s="70"/>
      <c r="AV389" s="72"/>
      <c r="AW389" s="69"/>
      <c r="AX389" s="69"/>
      <c r="AY389" s="69"/>
      <c r="AZ389" s="69"/>
      <c r="BA389" s="69"/>
      <c r="BB389" s="69"/>
      <c r="BC389" s="69"/>
      <c r="BD389" s="70"/>
      <c r="BE389" s="71"/>
      <c r="BF389" s="68"/>
      <c r="BG389" s="68"/>
      <c r="BH389" s="70"/>
      <c r="BI389" s="67"/>
      <c r="BJ389" s="68"/>
      <c r="BK389" s="70"/>
      <c r="BL389" s="71"/>
      <c r="BM389" s="68"/>
      <c r="BN389" s="69"/>
      <c r="BO389" s="78"/>
      <c r="BP389" s="37">
        <f t="shared" si="33"/>
        <v>0</v>
      </c>
    </row>
    <row r="390" spans="1:68" ht="25.5" customHeight="1" thickTop="1" thickBot="1" x14ac:dyDescent="0.2">
      <c r="A390" s="17">
        <f t="shared" si="34"/>
        <v>375</v>
      </c>
      <c r="B390" s="1044"/>
      <c r="C390" s="1045"/>
      <c r="D390" s="38"/>
      <c r="E390" s="954"/>
      <c r="F390" s="53"/>
      <c r="G390" s="39"/>
      <c r="H390" s="1050"/>
      <c r="I390" s="684" t="str">
        <f t="shared" si="30"/>
        <v/>
      </c>
      <c r="J390" s="754">
        <f t="shared" si="31"/>
        <v>0</v>
      </c>
      <c r="K390" s="1254"/>
      <c r="L390" s="1253"/>
      <c r="M390" s="1253"/>
      <c r="N390" s="773" t="str">
        <f t="shared" si="35"/>
        <v/>
      </c>
      <c r="O390" s="774" t="str">
        <f>IF('Set up ~ Config'!$G$32=6,IF(OR($N390=7,$N390=8,$N390=9),1,IF(OR($N390=10,$N390=11,$N390=12),2,IF(OR($N390=1,$N390=2,$N390=3),3,IF(OR($N390=4,$N390=5,$N390=6),4,"")))),IF(OR($N390=9,$N390=10,$N390=11),1,IF(OR($N390=12,$N390=1,$N390=2),2,IF(OR($N390=3,$N390=4,$N390=5),3,IF(OR($N390=6,$N390=7,$N390=8),4,"")))))</f>
        <v/>
      </c>
      <c r="P390" s="40"/>
      <c r="Q390" s="67"/>
      <c r="R390" s="68"/>
      <c r="S390" s="755">
        <f t="shared" si="32"/>
        <v>0</v>
      </c>
      <c r="T390" s="68"/>
      <c r="U390" s="68"/>
      <c r="V390" s="68"/>
      <c r="W390" s="68"/>
      <c r="X390" s="68"/>
      <c r="Y390" s="68"/>
      <c r="Z390" s="68"/>
      <c r="AA390" s="68"/>
      <c r="AB390" s="69"/>
      <c r="AC390" s="70"/>
      <c r="AD390" s="71"/>
      <c r="AE390" s="68"/>
      <c r="AF390" s="68"/>
      <c r="AG390" s="68"/>
      <c r="AH390" s="68"/>
      <c r="AI390" s="69"/>
      <c r="AJ390" s="69"/>
      <c r="AK390" s="68"/>
      <c r="AL390" s="77"/>
      <c r="AM390" s="71"/>
      <c r="AN390" s="68"/>
      <c r="AO390" s="68"/>
      <c r="AP390" s="68"/>
      <c r="AQ390" s="68"/>
      <c r="AR390" s="68"/>
      <c r="AS390" s="68"/>
      <c r="AT390" s="68"/>
      <c r="AU390" s="70"/>
      <c r="AV390" s="72"/>
      <c r="AW390" s="69"/>
      <c r="AX390" s="69"/>
      <c r="AY390" s="69"/>
      <c r="AZ390" s="69"/>
      <c r="BA390" s="69"/>
      <c r="BB390" s="69"/>
      <c r="BC390" s="69"/>
      <c r="BD390" s="70"/>
      <c r="BE390" s="71"/>
      <c r="BF390" s="68"/>
      <c r="BG390" s="68"/>
      <c r="BH390" s="70"/>
      <c r="BI390" s="67"/>
      <c r="BJ390" s="68"/>
      <c r="BK390" s="70"/>
      <c r="BL390" s="71"/>
      <c r="BM390" s="68"/>
      <c r="BN390" s="69"/>
      <c r="BO390" s="78"/>
      <c r="BP390" s="37">
        <f t="shared" si="33"/>
        <v>0</v>
      </c>
    </row>
    <row r="391" spans="1:68" ht="25.5" customHeight="1" thickTop="1" thickBot="1" x14ac:dyDescent="0.2">
      <c r="A391" s="17">
        <f t="shared" si="34"/>
        <v>376</v>
      </c>
      <c r="B391" s="1044"/>
      <c r="C391" s="1045"/>
      <c r="D391" s="38"/>
      <c r="E391" s="954"/>
      <c r="F391" s="53"/>
      <c r="G391" s="39"/>
      <c r="H391" s="1050"/>
      <c r="I391" s="684" t="str">
        <f t="shared" si="30"/>
        <v/>
      </c>
      <c r="J391" s="754">
        <f t="shared" si="31"/>
        <v>0</v>
      </c>
      <c r="K391" s="1254"/>
      <c r="L391" s="1253"/>
      <c r="M391" s="1253"/>
      <c r="N391" s="773" t="str">
        <f t="shared" si="35"/>
        <v/>
      </c>
      <c r="O391" s="774" t="str">
        <f>IF('Set up ~ Config'!$G$32=6,IF(OR($N391=7,$N391=8,$N391=9),1,IF(OR($N391=10,$N391=11,$N391=12),2,IF(OR($N391=1,$N391=2,$N391=3),3,IF(OR($N391=4,$N391=5,$N391=6),4,"")))),IF(OR($N391=9,$N391=10,$N391=11),1,IF(OR($N391=12,$N391=1,$N391=2),2,IF(OR($N391=3,$N391=4,$N391=5),3,IF(OR($N391=6,$N391=7,$N391=8),4,"")))))</f>
        <v/>
      </c>
      <c r="P391" s="40"/>
      <c r="Q391" s="67"/>
      <c r="R391" s="68"/>
      <c r="S391" s="755">
        <f t="shared" si="32"/>
        <v>0</v>
      </c>
      <c r="T391" s="68"/>
      <c r="U391" s="68"/>
      <c r="V391" s="68"/>
      <c r="W391" s="68"/>
      <c r="X391" s="68"/>
      <c r="Y391" s="68"/>
      <c r="Z391" s="68"/>
      <c r="AA391" s="68"/>
      <c r="AB391" s="69"/>
      <c r="AC391" s="70"/>
      <c r="AD391" s="71"/>
      <c r="AE391" s="68"/>
      <c r="AF391" s="68"/>
      <c r="AG391" s="68"/>
      <c r="AH391" s="68"/>
      <c r="AI391" s="69"/>
      <c r="AJ391" s="69"/>
      <c r="AK391" s="68"/>
      <c r="AL391" s="77"/>
      <c r="AM391" s="71"/>
      <c r="AN391" s="68"/>
      <c r="AO391" s="68"/>
      <c r="AP391" s="68"/>
      <c r="AQ391" s="68"/>
      <c r="AR391" s="68"/>
      <c r="AS391" s="68"/>
      <c r="AT391" s="68"/>
      <c r="AU391" s="70"/>
      <c r="AV391" s="72"/>
      <c r="AW391" s="69"/>
      <c r="AX391" s="69"/>
      <c r="AY391" s="69"/>
      <c r="AZ391" s="69"/>
      <c r="BA391" s="69"/>
      <c r="BB391" s="69"/>
      <c r="BC391" s="69"/>
      <c r="BD391" s="70"/>
      <c r="BE391" s="71"/>
      <c r="BF391" s="68"/>
      <c r="BG391" s="68"/>
      <c r="BH391" s="70"/>
      <c r="BI391" s="67"/>
      <c r="BJ391" s="68"/>
      <c r="BK391" s="70"/>
      <c r="BL391" s="71"/>
      <c r="BM391" s="68"/>
      <c r="BN391" s="69"/>
      <c r="BO391" s="78"/>
      <c r="BP391" s="37">
        <f t="shared" si="33"/>
        <v>0</v>
      </c>
    </row>
    <row r="392" spans="1:68" ht="25.5" customHeight="1" thickTop="1" thickBot="1" x14ac:dyDescent="0.2">
      <c r="A392" s="17">
        <f t="shared" si="34"/>
        <v>377</v>
      </c>
      <c r="B392" s="1044"/>
      <c r="C392" s="1045"/>
      <c r="D392" s="38"/>
      <c r="E392" s="954"/>
      <c r="F392" s="53"/>
      <c r="G392" s="39"/>
      <c r="H392" s="1050"/>
      <c r="I392" s="684" t="str">
        <f t="shared" si="30"/>
        <v/>
      </c>
      <c r="J392" s="754">
        <f t="shared" si="31"/>
        <v>0</v>
      </c>
      <c r="K392" s="1254"/>
      <c r="L392" s="1253"/>
      <c r="M392" s="1253"/>
      <c r="N392" s="773" t="str">
        <f t="shared" si="35"/>
        <v/>
      </c>
      <c r="O392" s="774" t="str">
        <f>IF('Set up ~ Config'!$G$32=6,IF(OR($N392=7,$N392=8,$N392=9),1,IF(OR($N392=10,$N392=11,$N392=12),2,IF(OR($N392=1,$N392=2,$N392=3),3,IF(OR($N392=4,$N392=5,$N392=6),4,"")))),IF(OR($N392=9,$N392=10,$N392=11),1,IF(OR($N392=12,$N392=1,$N392=2),2,IF(OR($N392=3,$N392=4,$N392=5),3,IF(OR($N392=6,$N392=7,$N392=8),4,"")))))</f>
        <v/>
      </c>
      <c r="P392" s="40"/>
      <c r="Q392" s="67"/>
      <c r="R392" s="68"/>
      <c r="S392" s="755">
        <f t="shared" si="32"/>
        <v>0</v>
      </c>
      <c r="T392" s="68"/>
      <c r="U392" s="68"/>
      <c r="V392" s="68"/>
      <c r="W392" s="68"/>
      <c r="X392" s="68"/>
      <c r="Y392" s="68"/>
      <c r="Z392" s="68"/>
      <c r="AA392" s="68"/>
      <c r="AB392" s="69"/>
      <c r="AC392" s="70"/>
      <c r="AD392" s="71"/>
      <c r="AE392" s="68"/>
      <c r="AF392" s="68"/>
      <c r="AG392" s="68"/>
      <c r="AH392" s="68"/>
      <c r="AI392" s="69"/>
      <c r="AJ392" s="69"/>
      <c r="AK392" s="68"/>
      <c r="AL392" s="77"/>
      <c r="AM392" s="71"/>
      <c r="AN392" s="68"/>
      <c r="AO392" s="68"/>
      <c r="AP392" s="68"/>
      <c r="AQ392" s="68"/>
      <c r="AR392" s="68"/>
      <c r="AS392" s="68"/>
      <c r="AT392" s="68"/>
      <c r="AU392" s="70"/>
      <c r="AV392" s="72"/>
      <c r="AW392" s="69"/>
      <c r="AX392" s="69"/>
      <c r="AY392" s="69"/>
      <c r="AZ392" s="69"/>
      <c r="BA392" s="69"/>
      <c r="BB392" s="69"/>
      <c r="BC392" s="69"/>
      <c r="BD392" s="70"/>
      <c r="BE392" s="71"/>
      <c r="BF392" s="68"/>
      <c r="BG392" s="68"/>
      <c r="BH392" s="70"/>
      <c r="BI392" s="67"/>
      <c r="BJ392" s="68"/>
      <c r="BK392" s="70"/>
      <c r="BL392" s="71"/>
      <c r="BM392" s="68"/>
      <c r="BN392" s="69"/>
      <c r="BO392" s="78"/>
      <c r="BP392" s="37">
        <f t="shared" si="33"/>
        <v>0</v>
      </c>
    </row>
    <row r="393" spans="1:68" ht="25.5" customHeight="1" thickTop="1" thickBot="1" x14ac:dyDescent="0.2">
      <c r="A393" s="17">
        <f t="shared" si="34"/>
        <v>378</v>
      </c>
      <c r="B393" s="1044"/>
      <c r="C393" s="1045"/>
      <c r="D393" s="38"/>
      <c r="E393" s="954"/>
      <c r="F393" s="53"/>
      <c r="G393" s="39"/>
      <c r="H393" s="1050"/>
      <c r="I393" s="684" t="str">
        <f t="shared" si="30"/>
        <v/>
      </c>
      <c r="J393" s="754">
        <f t="shared" si="31"/>
        <v>0</v>
      </c>
      <c r="K393" s="1254"/>
      <c r="L393" s="1253"/>
      <c r="M393" s="1253"/>
      <c r="N393" s="773" t="str">
        <f t="shared" si="35"/>
        <v/>
      </c>
      <c r="O393" s="774" t="str">
        <f>IF('Set up ~ Config'!$G$32=6,IF(OR($N393=7,$N393=8,$N393=9),1,IF(OR($N393=10,$N393=11,$N393=12),2,IF(OR($N393=1,$N393=2,$N393=3),3,IF(OR($N393=4,$N393=5,$N393=6),4,"")))),IF(OR($N393=9,$N393=10,$N393=11),1,IF(OR($N393=12,$N393=1,$N393=2),2,IF(OR($N393=3,$N393=4,$N393=5),3,IF(OR($N393=6,$N393=7,$N393=8),4,"")))))</f>
        <v/>
      </c>
      <c r="P393" s="40"/>
      <c r="Q393" s="67"/>
      <c r="R393" s="68"/>
      <c r="S393" s="755">
        <f t="shared" si="32"/>
        <v>0</v>
      </c>
      <c r="T393" s="68"/>
      <c r="U393" s="68"/>
      <c r="V393" s="68"/>
      <c r="W393" s="68"/>
      <c r="X393" s="68"/>
      <c r="Y393" s="68"/>
      <c r="Z393" s="68"/>
      <c r="AA393" s="68"/>
      <c r="AB393" s="69"/>
      <c r="AC393" s="70"/>
      <c r="AD393" s="71"/>
      <c r="AE393" s="68"/>
      <c r="AF393" s="68"/>
      <c r="AG393" s="68"/>
      <c r="AH393" s="68"/>
      <c r="AI393" s="69"/>
      <c r="AJ393" s="69"/>
      <c r="AK393" s="68"/>
      <c r="AL393" s="77"/>
      <c r="AM393" s="71"/>
      <c r="AN393" s="68"/>
      <c r="AO393" s="68"/>
      <c r="AP393" s="68"/>
      <c r="AQ393" s="68"/>
      <c r="AR393" s="68"/>
      <c r="AS393" s="68"/>
      <c r="AT393" s="68"/>
      <c r="AU393" s="70"/>
      <c r="AV393" s="72"/>
      <c r="AW393" s="69"/>
      <c r="AX393" s="69"/>
      <c r="AY393" s="69"/>
      <c r="AZ393" s="69"/>
      <c r="BA393" s="69"/>
      <c r="BB393" s="69"/>
      <c r="BC393" s="69"/>
      <c r="BD393" s="70"/>
      <c r="BE393" s="71"/>
      <c r="BF393" s="68"/>
      <c r="BG393" s="68"/>
      <c r="BH393" s="70"/>
      <c r="BI393" s="67"/>
      <c r="BJ393" s="68"/>
      <c r="BK393" s="70"/>
      <c r="BL393" s="71"/>
      <c r="BM393" s="68"/>
      <c r="BN393" s="69"/>
      <c r="BO393" s="78"/>
      <c r="BP393" s="37">
        <f t="shared" si="33"/>
        <v>0</v>
      </c>
    </row>
    <row r="394" spans="1:68" ht="25.5" customHeight="1" thickTop="1" thickBot="1" x14ac:dyDescent="0.2">
      <c r="A394" s="17">
        <f t="shared" si="34"/>
        <v>379</v>
      </c>
      <c r="B394" s="1044"/>
      <c r="C394" s="1045"/>
      <c r="D394" s="38"/>
      <c r="E394" s="954"/>
      <c r="F394" s="53"/>
      <c r="G394" s="39"/>
      <c r="H394" s="1050"/>
      <c r="I394" s="684" t="str">
        <f t="shared" si="30"/>
        <v/>
      </c>
      <c r="J394" s="754">
        <f t="shared" si="31"/>
        <v>0</v>
      </c>
      <c r="K394" s="1254"/>
      <c r="L394" s="1253"/>
      <c r="M394" s="1253"/>
      <c r="N394" s="773" t="str">
        <f t="shared" si="35"/>
        <v/>
      </c>
      <c r="O394" s="774" t="str">
        <f>IF('Set up ~ Config'!$G$32=6,IF(OR($N394=7,$N394=8,$N394=9),1,IF(OR($N394=10,$N394=11,$N394=12),2,IF(OR($N394=1,$N394=2,$N394=3),3,IF(OR($N394=4,$N394=5,$N394=6),4,"")))),IF(OR($N394=9,$N394=10,$N394=11),1,IF(OR($N394=12,$N394=1,$N394=2),2,IF(OR($N394=3,$N394=4,$N394=5),3,IF(OR($N394=6,$N394=7,$N394=8),4,"")))))</f>
        <v/>
      </c>
      <c r="P394" s="40"/>
      <c r="Q394" s="67"/>
      <c r="R394" s="68"/>
      <c r="S394" s="755">
        <f t="shared" si="32"/>
        <v>0</v>
      </c>
      <c r="T394" s="68"/>
      <c r="U394" s="68"/>
      <c r="V394" s="68"/>
      <c r="W394" s="68"/>
      <c r="X394" s="68"/>
      <c r="Y394" s="68"/>
      <c r="Z394" s="68"/>
      <c r="AA394" s="68"/>
      <c r="AB394" s="69"/>
      <c r="AC394" s="70"/>
      <c r="AD394" s="71"/>
      <c r="AE394" s="68"/>
      <c r="AF394" s="68"/>
      <c r="AG394" s="68"/>
      <c r="AH394" s="68"/>
      <c r="AI394" s="69"/>
      <c r="AJ394" s="69"/>
      <c r="AK394" s="68"/>
      <c r="AL394" s="77"/>
      <c r="AM394" s="71"/>
      <c r="AN394" s="68"/>
      <c r="AO394" s="68"/>
      <c r="AP394" s="68"/>
      <c r="AQ394" s="68"/>
      <c r="AR394" s="68"/>
      <c r="AS394" s="68"/>
      <c r="AT394" s="68"/>
      <c r="AU394" s="70"/>
      <c r="AV394" s="72"/>
      <c r="AW394" s="69"/>
      <c r="AX394" s="69"/>
      <c r="AY394" s="69"/>
      <c r="AZ394" s="69"/>
      <c r="BA394" s="69"/>
      <c r="BB394" s="69"/>
      <c r="BC394" s="69"/>
      <c r="BD394" s="70"/>
      <c r="BE394" s="71"/>
      <c r="BF394" s="68"/>
      <c r="BG394" s="68"/>
      <c r="BH394" s="70"/>
      <c r="BI394" s="67"/>
      <c r="BJ394" s="68"/>
      <c r="BK394" s="70"/>
      <c r="BL394" s="71"/>
      <c r="BM394" s="68"/>
      <c r="BN394" s="69"/>
      <c r="BO394" s="78"/>
      <c r="BP394" s="37">
        <f t="shared" si="33"/>
        <v>0</v>
      </c>
    </row>
    <row r="395" spans="1:68" ht="25.5" customHeight="1" thickTop="1" thickBot="1" x14ac:dyDescent="0.2">
      <c r="A395" s="17">
        <f t="shared" si="34"/>
        <v>380</v>
      </c>
      <c r="B395" s="1044"/>
      <c r="C395" s="1045"/>
      <c r="D395" s="38"/>
      <c r="E395" s="954"/>
      <c r="F395" s="53"/>
      <c r="G395" s="39"/>
      <c r="H395" s="1050"/>
      <c r="I395" s="684" t="str">
        <f t="shared" si="30"/>
        <v/>
      </c>
      <c r="J395" s="754">
        <f t="shared" si="31"/>
        <v>0</v>
      </c>
      <c r="K395" s="1254"/>
      <c r="L395" s="1253"/>
      <c r="M395" s="1253"/>
      <c r="N395" s="773" t="str">
        <f t="shared" si="35"/>
        <v/>
      </c>
      <c r="O395" s="774" t="str">
        <f>IF('Set up ~ Config'!$G$32=6,IF(OR($N395=7,$N395=8,$N395=9),1,IF(OR($N395=10,$N395=11,$N395=12),2,IF(OR($N395=1,$N395=2,$N395=3),3,IF(OR($N395=4,$N395=5,$N395=6),4,"")))),IF(OR($N395=9,$N395=10,$N395=11),1,IF(OR($N395=12,$N395=1,$N395=2),2,IF(OR($N395=3,$N395=4,$N395=5),3,IF(OR($N395=6,$N395=7,$N395=8),4,"")))))</f>
        <v/>
      </c>
      <c r="P395" s="40"/>
      <c r="Q395" s="67"/>
      <c r="R395" s="68"/>
      <c r="S395" s="755">
        <f t="shared" si="32"/>
        <v>0</v>
      </c>
      <c r="T395" s="68"/>
      <c r="U395" s="68"/>
      <c r="V395" s="68"/>
      <c r="W395" s="68"/>
      <c r="X395" s="68"/>
      <c r="Y395" s="68"/>
      <c r="Z395" s="68"/>
      <c r="AA395" s="68"/>
      <c r="AB395" s="69"/>
      <c r="AC395" s="70"/>
      <c r="AD395" s="71"/>
      <c r="AE395" s="68"/>
      <c r="AF395" s="68"/>
      <c r="AG395" s="68"/>
      <c r="AH395" s="68"/>
      <c r="AI395" s="69"/>
      <c r="AJ395" s="69"/>
      <c r="AK395" s="68"/>
      <c r="AL395" s="77"/>
      <c r="AM395" s="71"/>
      <c r="AN395" s="68"/>
      <c r="AO395" s="68"/>
      <c r="AP395" s="68"/>
      <c r="AQ395" s="68"/>
      <c r="AR395" s="68"/>
      <c r="AS395" s="68"/>
      <c r="AT395" s="68"/>
      <c r="AU395" s="70"/>
      <c r="AV395" s="72"/>
      <c r="AW395" s="69"/>
      <c r="AX395" s="69"/>
      <c r="AY395" s="69"/>
      <c r="AZ395" s="69"/>
      <c r="BA395" s="69"/>
      <c r="BB395" s="69"/>
      <c r="BC395" s="69"/>
      <c r="BD395" s="70"/>
      <c r="BE395" s="71"/>
      <c r="BF395" s="68"/>
      <c r="BG395" s="68"/>
      <c r="BH395" s="70"/>
      <c r="BI395" s="67"/>
      <c r="BJ395" s="68"/>
      <c r="BK395" s="70"/>
      <c r="BL395" s="71"/>
      <c r="BM395" s="68"/>
      <c r="BN395" s="69"/>
      <c r="BO395" s="78"/>
      <c r="BP395" s="37">
        <f t="shared" si="33"/>
        <v>0</v>
      </c>
    </row>
    <row r="396" spans="1:68" ht="25.5" customHeight="1" thickTop="1" thickBot="1" x14ac:dyDescent="0.2">
      <c r="A396" s="17">
        <f t="shared" si="34"/>
        <v>381</v>
      </c>
      <c r="B396" s="1044"/>
      <c r="C396" s="1045"/>
      <c r="D396" s="38"/>
      <c r="E396" s="954"/>
      <c r="F396" s="53"/>
      <c r="G396" s="39"/>
      <c r="H396" s="1050"/>
      <c r="I396" s="684" t="str">
        <f t="shared" si="30"/>
        <v/>
      </c>
      <c r="J396" s="754">
        <f t="shared" si="31"/>
        <v>0</v>
      </c>
      <c r="K396" s="1254"/>
      <c r="L396" s="1253"/>
      <c r="M396" s="1253"/>
      <c r="N396" s="773" t="str">
        <f t="shared" si="35"/>
        <v/>
      </c>
      <c r="O396" s="774" t="str">
        <f>IF('Set up ~ Config'!$G$32=6,IF(OR($N396=7,$N396=8,$N396=9),1,IF(OR($N396=10,$N396=11,$N396=12),2,IF(OR($N396=1,$N396=2,$N396=3),3,IF(OR($N396=4,$N396=5,$N396=6),4,"")))),IF(OR($N396=9,$N396=10,$N396=11),1,IF(OR($N396=12,$N396=1,$N396=2),2,IF(OR($N396=3,$N396=4,$N396=5),3,IF(OR($N396=6,$N396=7,$N396=8),4,"")))))</f>
        <v/>
      </c>
      <c r="P396" s="40"/>
      <c r="Q396" s="67"/>
      <c r="R396" s="68"/>
      <c r="S396" s="755">
        <f t="shared" si="32"/>
        <v>0</v>
      </c>
      <c r="T396" s="68"/>
      <c r="U396" s="68"/>
      <c r="V396" s="68"/>
      <c r="W396" s="68"/>
      <c r="X396" s="68"/>
      <c r="Y396" s="68"/>
      <c r="Z396" s="68"/>
      <c r="AA396" s="68"/>
      <c r="AB396" s="69"/>
      <c r="AC396" s="70"/>
      <c r="AD396" s="71"/>
      <c r="AE396" s="68"/>
      <c r="AF396" s="68"/>
      <c r="AG396" s="68"/>
      <c r="AH396" s="68"/>
      <c r="AI396" s="69"/>
      <c r="AJ396" s="69"/>
      <c r="AK396" s="68"/>
      <c r="AL396" s="77"/>
      <c r="AM396" s="71"/>
      <c r="AN396" s="68"/>
      <c r="AO396" s="68"/>
      <c r="AP396" s="68"/>
      <c r="AQ396" s="68"/>
      <c r="AR396" s="68"/>
      <c r="AS396" s="68"/>
      <c r="AT396" s="68"/>
      <c r="AU396" s="70"/>
      <c r="AV396" s="72"/>
      <c r="AW396" s="69"/>
      <c r="AX396" s="69"/>
      <c r="AY396" s="69"/>
      <c r="AZ396" s="69"/>
      <c r="BA396" s="69"/>
      <c r="BB396" s="69"/>
      <c r="BC396" s="69"/>
      <c r="BD396" s="70"/>
      <c r="BE396" s="71"/>
      <c r="BF396" s="68"/>
      <c r="BG396" s="68"/>
      <c r="BH396" s="70"/>
      <c r="BI396" s="67"/>
      <c r="BJ396" s="68"/>
      <c r="BK396" s="70"/>
      <c r="BL396" s="71"/>
      <c r="BM396" s="68"/>
      <c r="BN396" s="69"/>
      <c r="BO396" s="78"/>
      <c r="BP396" s="37">
        <f t="shared" si="33"/>
        <v>0</v>
      </c>
    </row>
    <row r="397" spans="1:68" ht="25.5" customHeight="1" thickTop="1" thickBot="1" x14ac:dyDescent="0.2">
      <c r="A397" s="17">
        <f t="shared" si="34"/>
        <v>382</v>
      </c>
      <c r="B397" s="1044"/>
      <c r="C397" s="1045"/>
      <c r="D397" s="38"/>
      <c r="E397" s="954"/>
      <c r="F397" s="53"/>
      <c r="G397" s="39"/>
      <c r="H397" s="1050"/>
      <c r="I397" s="684" t="str">
        <f t="shared" si="30"/>
        <v/>
      </c>
      <c r="J397" s="754">
        <f t="shared" si="31"/>
        <v>0</v>
      </c>
      <c r="K397" s="1254"/>
      <c r="L397" s="1253"/>
      <c r="M397" s="1253"/>
      <c r="N397" s="773" t="str">
        <f t="shared" si="35"/>
        <v/>
      </c>
      <c r="O397" s="774" t="str">
        <f>IF('Set up ~ Config'!$G$32=6,IF(OR($N397=7,$N397=8,$N397=9),1,IF(OR($N397=10,$N397=11,$N397=12),2,IF(OR($N397=1,$N397=2,$N397=3),3,IF(OR($N397=4,$N397=5,$N397=6),4,"")))),IF(OR($N397=9,$N397=10,$N397=11),1,IF(OR($N397=12,$N397=1,$N397=2),2,IF(OR($N397=3,$N397=4,$N397=5),3,IF(OR($N397=6,$N397=7,$N397=8),4,"")))))</f>
        <v/>
      </c>
      <c r="P397" s="40"/>
      <c r="Q397" s="67"/>
      <c r="R397" s="68"/>
      <c r="S397" s="755">
        <f t="shared" si="32"/>
        <v>0</v>
      </c>
      <c r="T397" s="68"/>
      <c r="U397" s="68"/>
      <c r="V397" s="68"/>
      <c r="W397" s="68"/>
      <c r="X397" s="68"/>
      <c r="Y397" s="68"/>
      <c r="Z397" s="68"/>
      <c r="AA397" s="68"/>
      <c r="AB397" s="69"/>
      <c r="AC397" s="70"/>
      <c r="AD397" s="71"/>
      <c r="AE397" s="68"/>
      <c r="AF397" s="68"/>
      <c r="AG397" s="68"/>
      <c r="AH397" s="68"/>
      <c r="AI397" s="69"/>
      <c r="AJ397" s="69"/>
      <c r="AK397" s="68"/>
      <c r="AL397" s="77"/>
      <c r="AM397" s="71"/>
      <c r="AN397" s="68"/>
      <c r="AO397" s="68"/>
      <c r="AP397" s="68"/>
      <c r="AQ397" s="68"/>
      <c r="AR397" s="68"/>
      <c r="AS397" s="68"/>
      <c r="AT397" s="68"/>
      <c r="AU397" s="70"/>
      <c r="AV397" s="72"/>
      <c r="AW397" s="69"/>
      <c r="AX397" s="69"/>
      <c r="AY397" s="69"/>
      <c r="AZ397" s="69"/>
      <c r="BA397" s="69"/>
      <c r="BB397" s="69"/>
      <c r="BC397" s="69"/>
      <c r="BD397" s="70"/>
      <c r="BE397" s="71"/>
      <c r="BF397" s="68"/>
      <c r="BG397" s="68"/>
      <c r="BH397" s="70"/>
      <c r="BI397" s="67"/>
      <c r="BJ397" s="68"/>
      <c r="BK397" s="70"/>
      <c r="BL397" s="71"/>
      <c r="BM397" s="68"/>
      <c r="BN397" s="69"/>
      <c r="BO397" s="78"/>
      <c r="BP397" s="37">
        <f t="shared" si="33"/>
        <v>0</v>
      </c>
    </row>
    <row r="398" spans="1:68" ht="25.5" customHeight="1" thickTop="1" thickBot="1" x14ac:dyDescent="0.2">
      <c r="A398" s="17">
        <f t="shared" si="34"/>
        <v>383</v>
      </c>
      <c r="B398" s="1044"/>
      <c r="C398" s="1045"/>
      <c r="D398" s="38"/>
      <c r="E398" s="954"/>
      <c r="F398" s="53"/>
      <c r="G398" s="39"/>
      <c r="H398" s="1050"/>
      <c r="I398" s="684" t="str">
        <f t="shared" si="30"/>
        <v/>
      </c>
      <c r="J398" s="754">
        <f t="shared" si="31"/>
        <v>0</v>
      </c>
      <c r="K398" s="1254"/>
      <c r="L398" s="1253"/>
      <c r="M398" s="1253"/>
      <c r="N398" s="773" t="str">
        <f t="shared" si="35"/>
        <v/>
      </c>
      <c r="O398" s="774" t="str">
        <f>IF('Set up ~ Config'!$G$32=6,IF(OR($N398=7,$N398=8,$N398=9),1,IF(OR($N398=10,$N398=11,$N398=12),2,IF(OR($N398=1,$N398=2,$N398=3),3,IF(OR($N398=4,$N398=5,$N398=6),4,"")))),IF(OR($N398=9,$N398=10,$N398=11),1,IF(OR($N398=12,$N398=1,$N398=2),2,IF(OR($N398=3,$N398=4,$N398=5),3,IF(OR($N398=6,$N398=7,$N398=8),4,"")))))</f>
        <v/>
      </c>
      <c r="P398" s="40"/>
      <c r="Q398" s="67"/>
      <c r="R398" s="68"/>
      <c r="S398" s="755">
        <f t="shared" si="32"/>
        <v>0</v>
      </c>
      <c r="T398" s="68"/>
      <c r="U398" s="68"/>
      <c r="V398" s="68"/>
      <c r="W398" s="68"/>
      <c r="X398" s="68"/>
      <c r="Y398" s="68"/>
      <c r="Z398" s="68"/>
      <c r="AA398" s="68"/>
      <c r="AB398" s="69"/>
      <c r="AC398" s="70"/>
      <c r="AD398" s="71"/>
      <c r="AE398" s="68"/>
      <c r="AF398" s="68"/>
      <c r="AG398" s="68"/>
      <c r="AH398" s="68"/>
      <c r="AI398" s="69"/>
      <c r="AJ398" s="69"/>
      <c r="AK398" s="68"/>
      <c r="AL398" s="77"/>
      <c r="AM398" s="71"/>
      <c r="AN398" s="68"/>
      <c r="AO398" s="68"/>
      <c r="AP398" s="68"/>
      <c r="AQ398" s="68"/>
      <c r="AR398" s="68"/>
      <c r="AS398" s="68"/>
      <c r="AT398" s="68"/>
      <c r="AU398" s="70"/>
      <c r="AV398" s="72"/>
      <c r="AW398" s="69"/>
      <c r="AX398" s="69"/>
      <c r="AY398" s="69"/>
      <c r="AZ398" s="69"/>
      <c r="BA398" s="69"/>
      <c r="BB398" s="69"/>
      <c r="BC398" s="69"/>
      <c r="BD398" s="70"/>
      <c r="BE398" s="71"/>
      <c r="BF398" s="68"/>
      <c r="BG398" s="68"/>
      <c r="BH398" s="70"/>
      <c r="BI398" s="67"/>
      <c r="BJ398" s="68"/>
      <c r="BK398" s="70"/>
      <c r="BL398" s="71"/>
      <c r="BM398" s="68"/>
      <c r="BN398" s="69"/>
      <c r="BO398" s="78"/>
      <c r="BP398" s="37">
        <f t="shared" si="33"/>
        <v>0</v>
      </c>
    </row>
    <row r="399" spans="1:68" ht="25.5" customHeight="1" thickTop="1" thickBot="1" x14ac:dyDescent="0.2">
      <c r="A399" s="17">
        <f t="shared" si="34"/>
        <v>384</v>
      </c>
      <c r="B399" s="1044"/>
      <c r="C399" s="1045"/>
      <c r="D399" s="38"/>
      <c r="E399" s="954"/>
      <c r="F399" s="53"/>
      <c r="G399" s="39"/>
      <c r="H399" s="1050"/>
      <c r="I399" s="684" t="str">
        <f t="shared" si="30"/>
        <v/>
      </c>
      <c r="J399" s="754">
        <f t="shared" si="31"/>
        <v>0</v>
      </c>
      <c r="K399" s="1254"/>
      <c r="L399" s="1253"/>
      <c r="M399" s="1253"/>
      <c r="N399" s="773" t="str">
        <f t="shared" si="35"/>
        <v/>
      </c>
      <c r="O399" s="774" t="str">
        <f>IF('Set up ~ Config'!$G$32=6,IF(OR($N399=7,$N399=8,$N399=9),1,IF(OR($N399=10,$N399=11,$N399=12),2,IF(OR($N399=1,$N399=2,$N399=3),3,IF(OR($N399=4,$N399=5,$N399=6),4,"")))),IF(OR($N399=9,$N399=10,$N399=11),1,IF(OR($N399=12,$N399=1,$N399=2),2,IF(OR($N399=3,$N399=4,$N399=5),3,IF(OR($N399=6,$N399=7,$N399=8),4,"")))))</f>
        <v/>
      </c>
      <c r="P399" s="40"/>
      <c r="Q399" s="67"/>
      <c r="R399" s="68"/>
      <c r="S399" s="755">
        <f t="shared" si="32"/>
        <v>0</v>
      </c>
      <c r="T399" s="68"/>
      <c r="U399" s="68"/>
      <c r="V399" s="68"/>
      <c r="W399" s="68"/>
      <c r="X399" s="68"/>
      <c r="Y399" s="68"/>
      <c r="Z399" s="68"/>
      <c r="AA399" s="68"/>
      <c r="AB399" s="69"/>
      <c r="AC399" s="70"/>
      <c r="AD399" s="71"/>
      <c r="AE399" s="68"/>
      <c r="AF399" s="68"/>
      <c r="AG399" s="68"/>
      <c r="AH399" s="68"/>
      <c r="AI399" s="69"/>
      <c r="AJ399" s="69"/>
      <c r="AK399" s="68"/>
      <c r="AL399" s="77"/>
      <c r="AM399" s="71"/>
      <c r="AN399" s="68"/>
      <c r="AO399" s="68"/>
      <c r="AP399" s="68"/>
      <c r="AQ399" s="68"/>
      <c r="AR399" s="68"/>
      <c r="AS399" s="68"/>
      <c r="AT399" s="68"/>
      <c r="AU399" s="70"/>
      <c r="AV399" s="72"/>
      <c r="AW399" s="69"/>
      <c r="AX399" s="69"/>
      <c r="AY399" s="69"/>
      <c r="AZ399" s="69"/>
      <c r="BA399" s="69"/>
      <c r="BB399" s="69"/>
      <c r="BC399" s="69"/>
      <c r="BD399" s="70"/>
      <c r="BE399" s="71"/>
      <c r="BF399" s="68"/>
      <c r="BG399" s="68"/>
      <c r="BH399" s="70"/>
      <c r="BI399" s="67"/>
      <c r="BJ399" s="68"/>
      <c r="BK399" s="70"/>
      <c r="BL399" s="71"/>
      <c r="BM399" s="68"/>
      <c r="BN399" s="69"/>
      <c r="BO399" s="78"/>
      <c r="BP399" s="37">
        <f t="shared" si="33"/>
        <v>0</v>
      </c>
    </row>
    <row r="400" spans="1:68" ht="25.5" customHeight="1" thickTop="1" thickBot="1" x14ac:dyDescent="0.2">
      <c r="A400" s="17">
        <f t="shared" si="34"/>
        <v>385</v>
      </c>
      <c r="B400" s="1044"/>
      <c r="C400" s="1045"/>
      <c r="D400" s="38"/>
      <c r="E400" s="954"/>
      <c r="F400" s="53"/>
      <c r="G400" s="39"/>
      <c r="H400" s="1050"/>
      <c r="I400" s="684" t="str">
        <f t="shared" ref="I400:I463" si="36">LEFT(H400,4)</f>
        <v/>
      </c>
      <c r="J400" s="754">
        <f t="shared" ref="J400:J463" si="37">G400-BP400</f>
        <v>0</v>
      </c>
      <c r="K400" s="1254"/>
      <c r="L400" s="1253"/>
      <c r="M400" s="1253"/>
      <c r="N400" s="773" t="str">
        <f t="shared" si="35"/>
        <v/>
      </c>
      <c r="O400" s="774" t="str">
        <f>IF('Set up ~ Config'!$G$32=6,IF(OR($N400=7,$N400=8,$N400=9),1,IF(OR($N400=10,$N400=11,$N400=12),2,IF(OR($N400=1,$N400=2,$N400=3),3,IF(OR($N400=4,$N400=5,$N400=6),4,"")))),IF(OR($N400=9,$N400=10,$N400=11),1,IF(OR($N400=12,$N400=1,$N400=2),2,IF(OR($N400=3,$N400=4,$N400=5),3,IF(OR($N400=6,$N400=7,$N400=8),4,"")))))</f>
        <v/>
      </c>
      <c r="P400" s="40"/>
      <c r="Q400" s="67"/>
      <c r="R400" s="68"/>
      <c r="S400" s="755">
        <f t="shared" ref="S400:S463" si="38">SUM(T400:W400)</f>
        <v>0</v>
      </c>
      <c r="T400" s="68"/>
      <c r="U400" s="68"/>
      <c r="V400" s="68"/>
      <c r="W400" s="68"/>
      <c r="X400" s="68"/>
      <c r="Y400" s="68"/>
      <c r="Z400" s="68"/>
      <c r="AA400" s="68"/>
      <c r="AB400" s="69"/>
      <c r="AC400" s="70"/>
      <c r="AD400" s="71"/>
      <c r="AE400" s="68"/>
      <c r="AF400" s="68"/>
      <c r="AG400" s="68"/>
      <c r="AH400" s="68"/>
      <c r="AI400" s="69"/>
      <c r="AJ400" s="69"/>
      <c r="AK400" s="68"/>
      <c r="AL400" s="77"/>
      <c r="AM400" s="71"/>
      <c r="AN400" s="68"/>
      <c r="AO400" s="68"/>
      <c r="AP400" s="68"/>
      <c r="AQ400" s="68"/>
      <c r="AR400" s="68"/>
      <c r="AS400" s="68"/>
      <c r="AT400" s="68"/>
      <c r="AU400" s="70"/>
      <c r="AV400" s="72"/>
      <c r="AW400" s="69"/>
      <c r="AX400" s="69"/>
      <c r="AY400" s="69"/>
      <c r="AZ400" s="69"/>
      <c r="BA400" s="69"/>
      <c r="BB400" s="69"/>
      <c r="BC400" s="69"/>
      <c r="BD400" s="70"/>
      <c r="BE400" s="71"/>
      <c r="BF400" s="68"/>
      <c r="BG400" s="68"/>
      <c r="BH400" s="70"/>
      <c r="BI400" s="67"/>
      <c r="BJ400" s="68"/>
      <c r="BK400" s="70"/>
      <c r="BL400" s="71"/>
      <c r="BM400" s="68"/>
      <c r="BN400" s="69"/>
      <c r="BO400" s="78"/>
      <c r="BP400" s="37">
        <f t="shared" ref="BP400:BP463" si="39">SUM(Q400:R400,T400:BO400)</f>
        <v>0</v>
      </c>
    </row>
    <row r="401" spans="1:68" ht="25.5" customHeight="1" thickTop="1" thickBot="1" x14ac:dyDescent="0.2">
      <c r="A401" s="17">
        <f t="shared" ref="A401:A464" si="40">$A400+1</f>
        <v>386</v>
      </c>
      <c r="B401" s="1044"/>
      <c r="C401" s="1045"/>
      <c r="D401" s="38"/>
      <c r="E401" s="954"/>
      <c r="F401" s="53"/>
      <c r="G401" s="39"/>
      <c r="H401" s="1050"/>
      <c r="I401" s="684" t="str">
        <f t="shared" si="36"/>
        <v/>
      </c>
      <c r="J401" s="754">
        <f t="shared" si="37"/>
        <v>0</v>
      </c>
      <c r="K401" s="1254"/>
      <c r="L401" s="1253"/>
      <c r="M401" s="1253"/>
      <c r="N401" s="773" t="str">
        <f t="shared" ref="N401:N464" si="41">IF($E401="","",MONTH($E401))</f>
        <v/>
      </c>
      <c r="O401" s="774" t="str">
        <f>IF('Set up ~ Config'!$G$32=6,IF(OR($N401=7,$N401=8,$N401=9),1,IF(OR($N401=10,$N401=11,$N401=12),2,IF(OR($N401=1,$N401=2,$N401=3),3,IF(OR($N401=4,$N401=5,$N401=6),4,"")))),IF(OR($N401=9,$N401=10,$N401=11),1,IF(OR($N401=12,$N401=1,$N401=2),2,IF(OR($N401=3,$N401=4,$N401=5),3,IF(OR($N401=6,$N401=7,$N401=8),4,"")))))</f>
        <v/>
      </c>
      <c r="P401" s="40"/>
      <c r="Q401" s="67"/>
      <c r="R401" s="68"/>
      <c r="S401" s="755">
        <f t="shared" si="38"/>
        <v>0</v>
      </c>
      <c r="T401" s="68"/>
      <c r="U401" s="68"/>
      <c r="V401" s="68"/>
      <c r="W401" s="68"/>
      <c r="X401" s="68"/>
      <c r="Y401" s="68"/>
      <c r="Z401" s="68"/>
      <c r="AA401" s="68"/>
      <c r="AB401" s="69"/>
      <c r="AC401" s="70"/>
      <c r="AD401" s="71"/>
      <c r="AE401" s="68"/>
      <c r="AF401" s="68"/>
      <c r="AG401" s="68"/>
      <c r="AH401" s="68"/>
      <c r="AI401" s="69"/>
      <c r="AJ401" s="69"/>
      <c r="AK401" s="68"/>
      <c r="AL401" s="77"/>
      <c r="AM401" s="71"/>
      <c r="AN401" s="68"/>
      <c r="AO401" s="68"/>
      <c r="AP401" s="68"/>
      <c r="AQ401" s="68"/>
      <c r="AR401" s="68"/>
      <c r="AS401" s="68"/>
      <c r="AT401" s="68"/>
      <c r="AU401" s="70"/>
      <c r="AV401" s="72"/>
      <c r="AW401" s="69"/>
      <c r="AX401" s="69"/>
      <c r="AY401" s="69"/>
      <c r="AZ401" s="69"/>
      <c r="BA401" s="69"/>
      <c r="BB401" s="69"/>
      <c r="BC401" s="69"/>
      <c r="BD401" s="70"/>
      <c r="BE401" s="71"/>
      <c r="BF401" s="68"/>
      <c r="BG401" s="68"/>
      <c r="BH401" s="70"/>
      <c r="BI401" s="67"/>
      <c r="BJ401" s="68"/>
      <c r="BK401" s="70"/>
      <c r="BL401" s="71"/>
      <c r="BM401" s="68"/>
      <c r="BN401" s="69"/>
      <c r="BO401" s="78"/>
      <c r="BP401" s="37">
        <f t="shared" si="39"/>
        <v>0</v>
      </c>
    </row>
    <row r="402" spans="1:68" ht="25.5" customHeight="1" thickTop="1" thickBot="1" x14ac:dyDescent="0.2">
      <c r="A402" s="17">
        <f t="shared" si="40"/>
        <v>387</v>
      </c>
      <c r="B402" s="1044"/>
      <c r="C402" s="1045"/>
      <c r="D402" s="38"/>
      <c r="E402" s="954"/>
      <c r="F402" s="53"/>
      <c r="G402" s="39"/>
      <c r="H402" s="1050"/>
      <c r="I402" s="684" t="str">
        <f t="shared" si="36"/>
        <v/>
      </c>
      <c r="J402" s="754">
        <f t="shared" si="37"/>
        <v>0</v>
      </c>
      <c r="K402" s="1254"/>
      <c r="L402" s="1253"/>
      <c r="M402" s="1253"/>
      <c r="N402" s="773" t="str">
        <f t="shared" si="41"/>
        <v/>
      </c>
      <c r="O402" s="774" t="str">
        <f>IF('Set up ~ Config'!$G$32=6,IF(OR($N402=7,$N402=8,$N402=9),1,IF(OR($N402=10,$N402=11,$N402=12),2,IF(OR($N402=1,$N402=2,$N402=3),3,IF(OR($N402=4,$N402=5,$N402=6),4,"")))),IF(OR($N402=9,$N402=10,$N402=11),1,IF(OR($N402=12,$N402=1,$N402=2),2,IF(OR($N402=3,$N402=4,$N402=5),3,IF(OR($N402=6,$N402=7,$N402=8),4,"")))))</f>
        <v/>
      </c>
      <c r="P402" s="40"/>
      <c r="Q402" s="67"/>
      <c r="R402" s="68"/>
      <c r="S402" s="755">
        <f t="shared" si="38"/>
        <v>0</v>
      </c>
      <c r="T402" s="68"/>
      <c r="U402" s="68"/>
      <c r="V402" s="68"/>
      <c r="W402" s="68"/>
      <c r="X402" s="68"/>
      <c r="Y402" s="68"/>
      <c r="Z402" s="68"/>
      <c r="AA402" s="68"/>
      <c r="AB402" s="69"/>
      <c r="AC402" s="70"/>
      <c r="AD402" s="71"/>
      <c r="AE402" s="68"/>
      <c r="AF402" s="68"/>
      <c r="AG402" s="68"/>
      <c r="AH402" s="68"/>
      <c r="AI402" s="69"/>
      <c r="AJ402" s="69"/>
      <c r="AK402" s="68"/>
      <c r="AL402" s="77"/>
      <c r="AM402" s="71"/>
      <c r="AN402" s="68"/>
      <c r="AO402" s="68"/>
      <c r="AP402" s="68"/>
      <c r="AQ402" s="68"/>
      <c r="AR402" s="68"/>
      <c r="AS402" s="68"/>
      <c r="AT402" s="68"/>
      <c r="AU402" s="70"/>
      <c r="AV402" s="72"/>
      <c r="AW402" s="69"/>
      <c r="AX402" s="69"/>
      <c r="AY402" s="69"/>
      <c r="AZ402" s="69"/>
      <c r="BA402" s="69"/>
      <c r="BB402" s="69"/>
      <c r="BC402" s="69"/>
      <c r="BD402" s="70"/>
      <c r="BE402" s="71"/>
      <c r="BF402" s="68"/>
      <c r="BG402" s="68"/>
      <c r="BH402" s="70"/>
      <c r="BI402" s="67"/>
      <c r="BJ402" s="68"/>
      <c r="BK402" s="70"/>
      <c r="BL402" s="71"/>
      <c r="BM402" s="68"/>
      <c r="BN402" s="69"/>
      <c r="BO402" s="78"/>
      <c r="BP402" s="37">
        <f t="shared" si="39"/>
        <v>0</v>
      </c>
    </row>
    <row r="403" spans="1:68" ht="25.5" customHeight="1" thickTop="1" thickBot="1" x14ac:dyDescent="0.2">
      <c r="A403" s="17">
        <f t="shared" si="40"/>
        <v>388</v>
      </c>
      <c r="B403" s="1044"/>
      <c r="C403" s="1045"/>
      <c r="D403" s="38"/>
      <c r="E403" s="954"/>
      <c r="F403" s="53"/>
      <c r="G403" s="39"/>
      <c r="H403" s="1050"/>
      <c r="I403" s="684" t="str">
        <f t="shared" si="36"/>
        <v/>
      </c>
      <c r="J403" s="754">
        <f t="shared" si="37"/>
        <v>0</v>
      </c>
      <c r="K403" s="1254"/>
      <c r="L403" s="1253"/>
      <c r="M403" s="1253"/>
      <c r="N403" s="773" t="str">
        <f t="shared" si="41"/>
        <v/>
      </c>
      <c r="O403" s="774" t="str">
        <f>IF('Set up ~ Config'!$G$32=6,IF(OR($N403=7,$N403=8,$N403=9),1,IF(OR($N403=10,$N403=11,$N403=12),2,IF(OR($N403=1,$N403=2,$N403=3),3,IF(OR($N403=4,$N403=5,$N403=6),4,"")))),IF(OR($N403=9,$N403=10,$N403=11),1,IF(OR($N403=12,$N403=1,$N403=2),2,IF(OR($N403=3,$N403=4,$N403=5),3,IF(OR($N403=6,$N403=7,$N403=8),4,"")))))</f>
        <v/>
      </c>
      <c r="P403" s="40"/>
      <c r="Q403" s="67"/>
      <c r="R403" s="68"/>
      <c r="S403" s="755">
        <f t="shared" si="38"/>
        <v>0</v>
      </c>
      <c r="T403" s="68"/>
      <c r="U403" s="68"/>
      <c r="V403" s="68"/>
      <c r="W403" s="68"/>
      <c r="X403" s="68"/>
      <c r="Y403" s="68"/>
      <c r="Z403" s="68"/>
      <c r="AA403" s="68"/>
      <c r="AB403" s="69"/>
      <c r="AC403" s="70"/>
      <c r="AD403" s="71"/>
      <c r="AE403" s="68"/>
      <c r="AF403" s="68"/>
      <c r="AG403" s="68"/>
      <c r="AH403" s="68"/>
      <c r="AI403" s="69"/>
      <c r="AJ403" s="69"/>
      <c r="AK403" s="68"/>
      <c r="AL403" s="77"/>
      <c r="AM403" s="71"/>
      <c r="AN403" s="68"/>
      <c r="AO403" s="68"/>
      <c r="AP403" s="68"/>
      <c r="AQ403" s="68"/>
      <c r="AR403" s="68"/>
      <c r="AS403" s="68"/>
      <c r="AT403" s="68"/>
      <c r="AU403" s="70"/>
      <c r="AV403" s="72"/>
      <c r="AW403" s="69"/>
      <c r="AX403" s="69"/>
      <c r="AY403" s="69"/>
      <c r="AZ403" s="69"/>
      <c r="BA403" s="69"/>
      <c r="BB403" s="69"/>
      <c r="BC403" s="69"/>
      <c r="BD403" s="70"/>
      <c r="BE403" s="71"/>
      <c r="BF403" s="68"/>
      <c r="BG403" s="68"/>
      <c r="BH403" s="70"/>
      <c r="BI403" s="67"/>
      <c r="BJ403" s="68"/>
      <c r="BK403" s="70"/>
      <c r="BL403" s="71"/>
      <c r="BM403" s="68"/>
      <c r="BN403" s="69"/>
      <c r="BO403" s="78"/>
      <c r="BP403" s="37">
        <f t="shared" si="39"/>
        <v>0</v>
      </c>
    </row>
    <row r="404" spans="1:68" ht="25.5" customHeight="1" thickTop="1" thickBot="1" x14ac:dyDescent="0.2">
      <c r="A404" s="17">
        <f t="shared" si="40"/>
        <v>389</v>
      </c>
      <c r="B404" s="1044"/>
      <c r="C404" s="1045"/>
      <c r="D404" s="38"/>
      <c r="E404" s="954"/>
      <c r="F404" s="53"/>
      <c r="G404" s="39"/>
      <c r="H404" s="1050"/>
      <c r="I404" s="684" t="str">
        <f t="shared" si="36"/>
        <v/>
      </c>
      <c r="J404" s="754">
        <f t="shared" si="37"/>
        <v>0</v>
      </c>
      <c r="K404" s="1254"/>
      <c r="L404" s="1253"/>
      <c r="M404" s="1253"/>
      <c r="N404" s="773" t="str">
        <f t="shared" si="41"/>
        <v/>
      </c>
      <c r="O404" s="774" t="str">
        <f>IF('Set up ~ Config'!$G$32=6,IF(OR($N404=7,$N404=8,$N404=9),1,IF(OR($N404=10,$N404=11,$N404=12),2,IF(OR($N404=1,$N404=2,$N404=3),3,IF(OR($N404=4,$N404=5,$N404=6),4,"")))),IF(OR($N404=9,$N404=10,$N404=11),1,IF(OR($N404=12,$N404=1,$N404=2),2,IF(OR($N404=3,$N404=4,$N404=5),3,IF(OR($N404=6,$N404=7,$N404=8),4,"")))))</f>
        <v/>
      </c>
      <c r="P404" s="40"/>
      <c r="Q404" s="67"/>
      <c r="R404" s="68"/>
      <c r="S404" s="755">
        <f t="shared" si="38"/>
        <v>0</v>
      </c>
      <c r="T404" s="68"/>
      <c r="U404" s="68"/>
      <c r="V404" s="68"/>
      <c r="W404" s="68"/>
      <c r="X404" s="68"/>
      <c r="Y404" s="68"/>
      <c r="Z404" s="68"/>
      <c r="AA404" s="68"/>
      <c r="AB404" s="69"/>
      <c r="AC404" s="70"/>
      <c r="AD404" s="71"/>
      <c r="AE404" s="68"/>
      <c r="AF404" s="68"/>
      <c r="AG404" s="68"/>
      <c r="AH404" s="68"/>
      <c r="AI404" s="69"/>
      <c r="AJ404" s="69"/>
      <c r="AK404" s="68"/>
      <c r="AL404" s="77"/>
      <c r="AM404" s="71"/>
      <c r="AN404" s="68"/>
      <c r="AO404" s="68"/>
      <c r="AP404" s="68"/>
      <c r="AQ404" s="68"/>
      <c r="AR404" s="68"/>
      <c r="AS404" s="68"/>
      <c r="AT404" s="68"/>
      <c r="AU404" s="70"/>
      <c r="AV404" s="72"/>
      <c r="AW404" s="69"/>
      <c r="AX404" s="69"/>
      <c r="AY404" s="69"/>
      <c r="AZ404" s="69"/>
      <c r="BA404" s="69"/>
      <c r="BB404" s="69"/>
      <c r="BC404" s="69"/>
      <c r="BD404" s="70"/>
      <c r="BE404" s="71"/>
      <c r="BF404" s="68"/>
      <c r="BG404" s="68"/>
      <c r="BH404" s="70"/>
      <c r="BI404" s="67"/>
      <c r="BJ404" s="68"/>
      <c r="BK404" s="70"/>
      <c r="BL404" s="71"/>
      <c r="BM404" s="68"/>
      <c r="BN404" s="69"/>
      <c r="BO404" s="78"/>
      <c r="BP404" s="37">
        <f t="shared" si="39"/>
        <v>0</v>
      </c>
    </row>
    <row r="405" spans="1:68" ht="25.5" customHeight="1" thickTop="1" thickBot="1" x14ac:dyDescent="0.2">
      <c r="A405" s="17">
        <f t="shared" si="40"/>
        <v>390</v>
      </c>
      <c r="B405" s="1044"/>
      <c r="C405" s="1045"/>
      <c r="D405" s="38"/>
      <c r="E405" s="954"/>
      <c r="F405" s="53"/>
      <c r="G405" s="39"/>
      <c r="H405" s="1050"/>
      <c r="I405" s="684" t="str">
        <f t="shared" si="36"/>
        <v/>
      </c>
      <c r="J405" s="754">
        <f t="shared" si="37"/>
        <v>0</v>
      </c>
      <c r="K405" s="1254"/>
      <c r="L405" s="1253"/>
      <c r="M405" s="1253"/>
      <c r="N405" s="773" t="str">
        <f t="shared" si="41"/>
        <v/>
      </c>
      <c r="O405" s="774" t="str">
        <f>IF('Set up ~ Config'!$G$32=6,IF(OR($N405=7,$N405=8,$N405=9),1,IF(OR($N405=10,$N405=11,$N405=12),2,IF(OR($N405=1,$N405=2,$N405=3),3,IF(OR($N405=4,$N405=5,$N405=6),4,"")))),IF(OR($N405=9,$N405=10,$N405=11),1,IF(OR($N405=12,$N405=1,$N405=2),2,IF(OR($N405=3,$N405=4,$N405=5),3,IF(OR($N405=6,$N405=7,$N405=8),4,"")))))</f>
        <v/>
      </c>
      <c r="P405" s="40"/>
      <c r="Q405" s="67"/>
      <c r="R405" s="68"/>
      <c r="S405" s="755">
        <f t="shared" si="38"/>
        <v>0</v>
      </c>
      <c r="T405" s="68"/>
      <c r="U405" s="68"/>
      <c r="V405" s="68"/>
      <c r="W405" s="68"/>
      <c r="X405" s="68"/>
      <c r="Y405" s="68"/>
      <c r="Z405" s="68"/>
      <c r="AA405" s="68"/>
      <c r="AB405" s="69"/>
      <c r="AC405" s="70"/>
      <c r="AD405" s="71"/>
      <c r="AE405" s="68"/>
      <c r="AF405" s="68"/>
      <c r="AG405" s="68"/>
      <c r="AH405" s="68"/>
      <c r="AI405" s="69"/>
      <c r="AJ405" s="69"/>
      <c r="AK405" s="68"/>
      <c r="AL405" s="77"/>
      <c r="AM405" s="71"/>
      <c r="AN405" s="68"/>
      <c r="AO405" s="68"/>
      <c r="AP405" s="68"/>
      <c r="AQ405" s="68"/>
      <c r="AR405" s="68"/>
      <c r="AS405" s="68"/>
      <c r="AT405" s="68"/>
      <c r="AU405" s="70"/>
      <c r="AV405" s="72"/>
      <c r="AW405" s="69"/>
      <c r="AX405" s="69"/>
      <c r="AY405" s="69"/>
      <c r="AZ405" s="69"/>
      <c r="BA405" s="69"/>
      <c r="BB405" s="69"/>
      <c r="BC405" s="69"/>
      <c r="BD405" s="70"/>
      <c r="BE405" s="71"/>
      <c r="BF405" s="68"/>
      <c r="BG405" s="68"/>
      <c r="BH405" s="70"/>
      <c r="BI405" s="67"/>
      <c r="BJ405" s="68"/>
      <c r="BK405" s="70"/>
      <c r="BL405" s="71"/>
      <c r="BM405" s="68"/>
      <c r="BN405" s="69"/>
      <c r="BO405" s="78"/>
      <c r="BP405" s="37">
        <f t="shared" si="39"/>
        <v>0</v>
      </c>
    </row>
    <row r="406" spans="1:68" ht="25.5" customHeight="1" thickTop="1" thickBot="1" x14ac:dyDescent="0.2">
      <c r="A406" s="17">
        <f t="shared" si="40"/>
        <v>391</v>
      </c>
      <c r="B406" s="1044"/>
      <c r="C406" s="1045"/>
      <c r="D406" s="38"/>
      <c r="E406" s="954"/>
      <c r="F406" s="53"/>
      <c r="G406" s="39"/>
      <c r="H406" s="1050"/>
      <c r="I406" s="684" t="str">
        <f t="shared" si="36"/>
        <v/>
      </c>
      <c r="J406" s="754">
        <f t="shared" si="37"/>
        <v>0</v>
      </c>
      <c r="K406" s="1254"/>
      <c r="L406" s="1253"/>
      <c r="M406" s="1253"/>
      <c r="N406" s="773" t="str">
        <f t="shared" si="41"/>
        <v/>
      </c>
      <c r="O406" s="774" t="str">
        <f>IF('Set up ~ Config'!$G$32=6,IF(OR($N406=7,$N406=8,$N406=9),1,IF(OR($N406=10,$N406=11,$N406=12),2,IF(OR($N406=1,$N406=2,$N406=3),3,IF(OR($N406=4,$N406=5,$N406=6),4,"")))),IF(OR($N406=9,$N406=10,$N406=11),1,IF(OR($N406=12,$N406=1,$N406=2),2,IF(OR($N406=3,$N406=4,$N406=5),3,IF(OR($N406=6,$N406=7,$N406=8),4,"")))))</f>
        <v/>
      </c>
      <c r="P406" s="40"/>
      <c r="Q406" s="67"/>
      <c r="R406" s="68"/>
      <c r="S406" s="755">
        <f t="shared" si="38"/>
        <v>0</v>
      </c>
      <c r="T406" s="68"/>
      <c r="U406" s="68"/>
      <c r="V406" s="68"/>
      <c r="W406" s="68"/>
      <c r="X406" s="68"/>
      <c r="Y406" s="68"/>
      <c r="Z406" s="68"/>
      <c r="AA406" s="68"/>
      <c r="AB406" s="69"/>
      <c r="AC406" s="70"/>
      <c r="AD406" s="71"/>
      <c r="AE406" s="68"/>
      <c r="AF406" s="68"/>
      <c r="AG406" s="68"/>
      <c r="AH406" s="68"/>
      <c r="AI406" s="69"/>
      <c r="AJ406" s="69"/>
      <c r="AK406" s="68"/>
      <c r="AL406" s="77"/>
      <c r="AM406" s="71"/>
      <c r="AN406" s="68"/>
      <c r="AO406" s="68"/>
      <c r="AP406" s="68"/>
      <c r="AQ406" s="68"/>
      <c r="AR406" s="68"/>
      <c r="AS406" s="68"/>
      <c r="AT406" s="68"/>
      <c r="AU406" s="70"/>
      <c r="AV406" s="72"/>
      <c r="AW406" s="69"/>
      <c r="AX406" s="69"/>
      <c r="AY406" s="69"/>
      <c r="AZ406" s="69"/>
      <c r="BA406" s="69"/>
      <c r="BB406" s="69"/>
      <c r="BC406" s="69"/>
      <c r="BD406" s="70"/>
      <c r="BE406" s="71"/>
      <c r="BF406" s="68"/>
      <c r="BG406" s="68"/>
      <c r="BH406" s="70"/>
      <c r="BI406" s="67"/>
      <c r="BJ406" s="68"/>
      <c r="BK406" s="70"/>
      <c r="BL406" s="71"/>
      <c r="BM406" s="68"/>
      <c r="BN406" s="69"/>
      <c r="BO406" s="78"/>
      <c r="BP406" s="37">
        <f t="shared" si="39"/>
        <v>0</v>
      </c>
    </row>
    <row r="407" spans="1:68" ht="25.5" customHeight="1" thickTop="1" thickBot="1" x14ac:dyDescent="0.2">
      <c r="A407" s="17">
        <f t="shared" si="40"/>
        <v>392</v>
      </c>
      <c r="B407" s="1044"/>
      <c r="C407" s="1045"/>
      <c r="D407" s="38"/>
      <c r="E407" s="954"/>
      <c r="F407" s="53"/>
      <c r="G407" s="39"/>
      <c r="H407" s="1050"/>
      <c r="I407" s="684" t="str">
        <f t="shared" si="36"/>
        <v/>
      </c>
      <c r="J407" s="754">
        <f t="shared" si="37"/>
        <v>0</v>
      </c>
      <c r="K407" s="1254"/>
      <c r="L407" s="1253"/>
      <c r="M407" s="1253"/>
      <c r="N407" s="773" t="str">
        <f t="shared" si="41"/>
        <v/>
      </c>
      <c r="O407" s="774" t="str">
        <f>IF('Set up ~ Config'!$G$32=6,IF(OR($N407=7,$N407=8,$N407=9),1,IF(OR($N407=10,$N407=11,$N407=12),2,IF(OR($N407=1,$N407=2,$N407=3),3,IF(OR($N407=4,$N407=5,$N407=6),4,"")))),IF(OR($N407=9,$N407=10,$N407=11),1,IF(OR($N407=12,$N407=1,$N407=2),2,IF(OR($N407=3,$N407=4,$N407=5),3,IF(OR($N407=6,$N407=7,$N407=8),4,"")))))</f>
        <v/>
      </c>
      <c r="P407" s="40"/>
      <c r="Q407" s="67"/>
      <c r="R407" s="68"/>
      <c r="S407" s="755">
        <f t="shared" si="38"/>
        <v>0</v>
      </c>
      <c r="T407" s="68"/>
      <c r="U407" s="68"/>
      <c r="V407" s="68"/>
      <c r="W407" s="68"/>
      <c r="X407" s="68"/>
      <c r="Y407" s="68"/>
      <c r="Z407" s="68"/>
      <c r="AA407" s="68"/>
      <c r="AB407" s="69"/>
      <c r="AC407" s="70"/>
      <c r="AD407" s="71"/>
      <c r="AE407" s="68"/>
      <c r="AF407" s="68"/>
      <c r="AG407" s="68"/>
      <c r="AH407" s="68"/>
      <c r="AI407" s="69"/>
      <c r="AJ407" s="69"/>
      <c r="AK407" s="68"/>
      <c r="AL407" s="77"/>
      <c r="AM407" s="71"/>
      <c r="AN407" s="68"/>
      <c r="AO407" s="68"/>
      <c r="AP407" s="68"/>
      <c r="AQ407" s="68"/>
      <c r="AR407" s="68"/>
      <c r="AS407" s="68"/>
      <c r="AT407" s="68"/>
      <c r="AU407" s="70"/>
      <c r="AV407" s="72"/>
      <c r="AW407" s="69"/>
      <c r="AX407" s="69"/>
      <c r="AY407" s="69"/>
      <c r="AZ407" s="69"/>
      <c r="BA407" s="69"/>
      <c r="BB407" s="69"/>
      <c r="BC407" s="69"/>
      <c r="BD407" s="70"/>
      <c r="BE407" s="71"/>
      <c r="BF407" s="68"/>
      <c r="BG407" s="68"/>
      <c r="BH407" s="70"/>
      <c r="BI407" s="67"/>
      <c r="BJ407" s="68"/>
      <c r="BK407" s="70"/>
      <c r="BL407" s="71"/>
      <c r="BM407" s="68"/>
      <c r="BN407" s="69"/>
      <c r="BO407" s="78"/>
      <c r="BP407" s="37">
        <f t="shared" si="39"/>
        <v>0</v>
      </c>
    </row>
    <row r="408" spans="1:68" ht="25.5" customHeight="1" thickTop="1" thickBot="1" x14ac:dyDescent="0.2">
      <c r="A408" s="17">
        <f t="shared" si="40"/>
        <v>393</v>
      </c>
      <c r="B408" s="1044"/>
      <c r="C408" s="1045"/>
      <c r="D408" s="38"/>
      <c r="E408" s="954"/>
      <c r="F408" s="53"/>
      <c r="G408" s="39"/>
      <c r="H408" s="1050"/>
      <c r="I408" s="684" t="str">
        <f t="shared" si="36"/>
        <v/>
      </c>
      <c r="J408" s="754">
        <f t="shared" si="37"/>
        <v>0</v>
      </c>
      <c r="K408" s="1254"/>
      <c r="L408" s="1253"/>
      <c r="M408" s="1253"/>
      <c r="N408" s="773" t="str">
        <f t="shared" si="41"/>
        <v/>
      </c>
      <c r="O408" s="774" t="str">
        <f>IF('Set up ~ Config'!$G$32=6,IF(OR($N408=7,$N408=8,$N408=9),1,IF(OR($N408=10,$N408=11,$N408=12),2,IF(OR($N408=1,$N408=2,$N408=3),3,IF(OR($N408=4,$N408=5,$N408=6),4,"")))),IF(OR($N408=9,$N408=10,$N408=11),1,IF(OR($N408=12,$N408=1,$N408=2),2,IF(OR($N408=3,$N408=4,$N408=5),3,IF(OR($N408=6,$N408=7,$N408=8),4,"")))))</f>
        <v/>
      </c>
      <c r="P408" s="40"/>
      <c r="Q408" s="67"/>
      <c r="R408" s="68"/>
      <c r="S408" s="755">
        <f t="shared" si="38"/>
        <v>0</v>
      </c>
      <c r="T408" s="68"/>
      <c r="U408" s="68"/>
      <c r="V408" s="68"/>
      <c r="W408" s="68"/>
      <c r="X408" s="68"/>
      <c r="Y408" s="68"/>
      <c r="Z408" s="68"/>
      <c r="AA408" s="68"/>
      <c r="AB408" s="69"/>
      <c r="AC408" s="70"/>
      <c r="AD408" s="71"/>
      <c r="AE408" s="68"/>
      <c r="AF408" s="68"/>
      <c r="AG408" s="68"/>
      <c r="AH408" s="68"/>
      <c r="AI408" s="69"/>
      <c r="AJ408" s="69"/>
      <c r="AK408" s="68"/>
      <c r="AL408" s="77"/>
      <c r="AM408" s="71"/>
      <c r="AN408" s="68"/>
      <c r="AO408" s="68"/>
      <c r="AP408" s="68"/>
      <c r="AQ408" s="68"/>
      <c r="AR408" s="68"/>
      <c r="AS408" s="68"/>
      <c r="AT408" s="68"/>
      <c r="AU408" s="70"/>
      <c r="AV408" s="72"/>
      <c r="AW408" s="69"/>
      <c r="AX408" s="69"/>
      <c r="AY408" s="69"/>
      <c r="AZ408" s="69"/>
      <c r="BA408" s="69"/>
      <c r="BB408" s="69"/>
      <c r="BC408" s="69"/>
      <c r="BD408" s="70"/>
      <c r="BE408" s="71"/>
      <c r="BF408" s="68"/>
      <c r="BG408" s="68"/>
      <c r="BH408" s="70"/>
      <c r="BI408" s="67"/>
      <c r="BJ408" s="68"/>
      <c r="BK408" s="70"/>
      <c r="BL408" s="71"/>
      <c r="BM408" s="68"/>
      <c r="BN408" s="69"/>
      <c r="BO408" s="78"/>
      <c r="BP408" s="37">
        <f t="shared" si="39"/>
        <v>0</v>
      </c>
    </row>
    <row r="409" spans="1:68" ht="25.5" customHeight="1" thickTop="1" thickBot="1" x14ac:dyDescent="0.2">
      <c r="A409" s="17">
        <f t="shared" si="40"/>
        <v>394</v>
      </c>
      <c r="B409" s="1044"/>
      <c r="C409" s="1045"/>
      <c r="D409" s="38"/>
      <c r="E409" s="954"/>
      <c r="F409" s="53"/>
      <c r="G409" s="39"/>
      <c r="H409" s="1050"/>
      <c r="I409" s="684" t="str">
        <f t="shared" si="36"/>
        <v/>
      </c>
      <c r="J409" s="754">
        <f t="shared" si="37"/>
        <v>0</v>
      </c>
      <c r="K409" s="1254"/>
      <c r="L409" s="1253"/>
      <c r="M409" s="1253"/>
      <c r="N409" s="773" t="str">
        <f t="shared" si="41"/>
        <v/>
      </c>
      <c r="O409" s="774" t="str">
        <f>IF('Set up ~ Config'!$G$32=6,IF(OR($N409=7,$N409=8,$N409=9),1,IF(OR($N409=10,$N409=11,$N409=12),2,IF(OR($N409=1,$N409=2,$N409=3),3,IF(OR($N409=4,$N409=5,$N409=6),4,"")))),IF(OR($N409=9,$N409=10,$N409=11),1,IF(OR($N409=12,$N409=1,$N409=2),2,IF(OR($N409=3,$N409=4,$N409=5),3,IF(OR($N409=6,$N409=7,$N409=8),4,"")))))</f>
        <v/>
      </c>
      <c r="P409" s="40"/>
      <c r="Q409" s="67"/>
      <c r="R409" s="68"/>
      <c r="S409" s="755">
        <f t="shared" si="38"/>
        <v>0</v>
      </c>
      <c r="T409" s="68"/>
      <c r="U409" s="68"/>
      <c r="V409" s="68"/>
      <c r="W409" s="68"/>
      <c r="X409" s="68"/>
      <c r="Y409" s="68"/>
      <c r="Z409" s="68"/>
      <c r="AA409" s="68"/>
      <c r="AB409" s="69"/>
      <c r="AC409" s="70"/>
      <c r="AD409" s="71"/>
      <c r="AE409" s="68"/>
      <c r="AF409" s="68"/>
      <c r="AG409" s="68"/>
      <c r="AH409" s="68"/>
      <c r="AI409" s="69"/>
      <c r="AJ409" s="69"/>
      <c r="AK409" s="68"/>
      <c r="AL409" s="77"/>
      <c r="AM409" s="71"/>
      <c r="AN409" s="68"/>
      <c r="AO409" s="68"/>
      <c r="AP409" s="68"/>
      <c r="AQ409" s="68"/>
      <c r="AR409" s="68"/>
      <c r="AS409" s="68"/>
      <c r="AT409" s="68"/>
      <c r="AU409" s="70"/>
      <c r="AV409" s="72"/>
      <c r="AW409" s="69"/>
      <c r="AX409" s="69"/>
      <c r="AY409" s="69"/>
      <c r="AZ409" s="69"/>
      <c r="BA409" s="69"/>
      <c r="BB409" s="69"/>
      <c r="BC409" s="69"/>
      <c r="BD409" s="70"/>
      <c r="BE409" s="71"/>
      <c r="BF409" s="68"/>
      <c r="BG409" s="68"/>
      <c r="BH409" s="70"/>
      <c r="BI409" s="67"/>
      <c r="BJ409" s="68"/>
      <c r="BK409" s="70"/>
      <c r="BL409" s="71"/>
      <c r="BM409" s="68"/>
      <c r="BN409" s="69"/>
      <c r="BO409" s="78"/>
      <c r="BP409" s="37">
        <f t="shared" si="39"/>
        <v>0</v>
      </c>
    </row>
    <row r="410" spans="1:68" ht="25.5" customHeight="1" thickTop="1" thickBot="1" x14ac:dyDescent="0.2">
      <c r="A410" s="17">
        <f t="shared" si="40"/>
        <v>395</v>
      </c>
      <c r="B410" s="1044"/>
      <c r="C410" s="1045"/>
      <c r="D410" s="38"/>
      <c r="E410" s="954"/>
      <c r="F410" s="53"/>
      <c r="G410" s="39"/>
      <c r="H410" s="1050"/>
      <c r="I410" s="684" t="str">
        <f t="shared" si="36"/>
        <v/>
      </c>
      <c r="J410" s="754">
        <f t="shared" si="37"/>
        <v>0</v>
      </c>
      <c r="K410" s="1254"/>
      <c r="L410" s="1253"/>
      <c r="M410" s="1253"/>
      <c r="N410" s="773" t="str">
        <f t="shared" si="41"/>
        <v/>
      </c>
      <c r="O410" s="774" t="str">
        <f>IF('Set up ~ Config'!$G$32=6,IF(OR($N410=7,$N410=8,$N410=9),1,IF(OR($N410=10,$N410=11,$N410=12),2,IF(OR($N410=1,$N410=2,$N410=3),3,IF(OR($N410=4,$N410=5,$N410=6),4,"")))),IF(OR($N410=9,$N410=10,$N410=11),1,IF(OR($N410=12,$N410=1,$N410=2),2,IF(OR($N410=3,$N410=4,$N410=5),3,IF(OR($N410=6,$N410=7,$N410=8),4,"")))))</f>
        <v/>
      </c>
      <c r="P410" s="40"/>
      <c r="Q410" s="67"/>
      <c r="R410" s="68"/>
      <c r="S410" s="755">
        <f t="shared" si="38"/>
        <v>0</v>
      </c>
      <c r="T410" s="68"/>
      <c r="U410" s="68"/>
      <c r="V410" s="68"/>
      <c r="W410" s="68"/>
      <c r="X410" s="68"/>
      <c r="Y410" s="68"/>
      <c r="Z410" s="68"/>
      <c r="AA410" s="68"/>
      <c r="AB410" s="69"/>
      <c r="AC410" s="70"/>
      <c r="AD410" s="71"/>
      <c r="AE410" s="68"/>
      <c r="AF410" s="68"/>
      <c r="AG410" s="68"/>
      <c r="AH410" s="68"/>
      <c r="AI410" s="69"/>
      <c r="AJ410" s="69"/>
      <c r="AK410" s="68"/>
      <c r="AL410" s="77"/>
      <c r="AM410" s="71"/>
      <c r="AN410" s="68"/>
      <c r="AO410" s="68"/>
      <c r="AP410" s="68"/>
      <c r="AQ410" s="68"/>
      <c r="AR410" s="68"/>
      <c r="AS410" s="68"/>
      <c r="AT410" s="68"/>
      <c r="AU410" s="70"/>
      <c r="AV410" s="72"/>
      <c r="AW410" s="69"/>
      <c r="AX410" s="69"/>
      <c r="AY410" s="69"/>
      <c r="AZ410" s="69"/>
      <c r="BA410" s="69"/>
      <c r="BB410" s="69"/>
      <c r="BC410" s="69"/>
      <c r="BD410" s="70"/>
      <c r="BE410" s="71"/>
      <c r="BF410" s="68"/>
      <c r="BG410" s="68"/>
      <c r="BH410" s="70"/>
      <c r="BI410" s="67"/>
      <c r="BJ410" s="68"/>
      <c r="BK410" s="70"/>
      <c r="BL410" s="71"/>
      <c r="BM410" s="68"/>
      <c r="BN410" s="69"/>
      <c r="BO410" s="78"/>
      <c r="BP410" s="37">
        <f t="shared" si="39"/>
        <v>0</v>
      </c>
    </row>
    <row r="411" spans="1:68" ht="25.5" customHeight="1" thickTop="1" thickBot="1" x14ac:dyDescent="0.2">
      <c r="A411" s="17">
        <f t="shared" si="40"/>
        <v>396</v>
      </c>
      <c r="B411" s="1044"/>
      <c r="C411" s="1045"/>
      <c r="D411" s="38"/>
      <c r="E411" s="954"/>
      <c r="F411" s="53"/>
      <c r="G411" s="39"/>
      <c r="H411" s="1050"/>
      <c r="I411" s="684" t="str">
        <f t="shared" si="36"/>
        <v/>
      </c>
      <c r="J411" s="754">
        <f t="shared" si="37"/>
        <v>0</v>
      </c>
      <c r="K411" s="1254"/>
      <c r="L411" s="1253"/>
      <c r="M411" s="1253"/>
      <c r="N411" s="773" t="str">
        <f t="shared" si="41"/>
        <v/>
      </c>
      <c r="O411" s="774" t="str">
        <f>IF('Set up ~ Config'!$G$32=6,IF(OR($N411=7,$N411=8,$N411=9),1,IF(OR($N411=10,$N411=11,$N411=12),2,IF(OR($N411=1,$N411=2,$N411=3),3,IF(OR($N411=4,$N411=5,$N411=6),4,"")))),IF(OR($N411=9,$N411=10,$N411=11),1,IF(OR($N411=12,$N411=1,$N411=2),2,IF(OR($N411=3,$N411=4,$N411=5),3,IF(OR($N411=6,$N411=7,$N411=8),4,"")))))</f>
        <v/>
      </c>
      <c r="P411" s="40"/>
      <c r="Q411" s="67"/>
      <c r="R411" s="68"/>
      <c r="S411" s="755">
        <f t="shared" si="38"/>
        <v>0</v>
      </c>
      <c r="T411" s="68"/>
      <c r="U411" s="68"/>
      <c r="V411" s="68"/>
      <c r="W411" s="68"/>
      <c r="X411" s="68"/>
      <c r="Y411" s="68"/>
      <c r="Z411" s="68"/>
      <c r="AA411" s="68"/>
      <c r="AB411" s="69"/>
      <c r="AC411" s="70"/>
      <c r="AD411" s="71"/>
      <c r="AE411" s="68"/>
      <c r="AF411" s="68"/>
      <c r="AG411" s="68"/>
      <c r="AH411" s="68"/>
      <c r="AI411" s="69"/>
      <c r="AJ411" s="69"/>
      <c r="AK411" s="68"/>
      <c r="AL411" s="77"/>
      <c r="AM411" s="71"/>
      <c r="AN411" s="68"/>
      <c r="AO411" s="68"/>
      <c r="AP411" s="68"/>
      <c r="AQ411" s="68"/>
      <c r="AR411" s="68"/>
      <c r="AS411" s="68"/>
      <c r="AT411" s="68"/>
      <c r="AU411" s="70"/>
      <c r="AV411" s="72"/>
      <c r="AW411" s="69"/>
      <c r="AX411" s="69"/>
      <c r="AY411" s="69"/>
      <c r="AZ411" s="69"/>
      <c r="BA411" s="69"/>
      <c r="BB411" s="69"/>
      <c r="BC411" s="69"/>
      <c r="BD411" s="70"/>
      <c r="BE411" s="71"/>
      <c r="BF411" s="68"/>
      <c r="BG411" s="68"/>
      <c r="BH411" s="70"/>
      <c r="BI411" s="67"/>
      <c r="BJ411" s="68"/>
      <c r="BK411" s="70"/>
      <c r="BL411" s="71"/>
      <c r="BM411" s="68"/>
      <c r="BN411" s="69"/>
      <c r="BO411" s="78"/>
      <c r="BP411" s="37">
        <f t="shared" si="39"/>
        <v>0</v>
      </c>
    </row>
    <row r="412" spans="1:68" ht="25.5" customHeight="1" thickTop="1" thickBot="1" x14ac:dyDescent="0.2">
      <c r="A412" s="17">
        <f t="shared" si="40"/>
        <v>397</v>
      </c>
      <c r="B412" s="1044"/>
      <c r="C412" s="1045"/>
      <c r="D412" s="38"/>
      <c r="E412" s="954"/>
      <c r="F412" s="53"/>
      <c r="G412" s="39"/>
      <c r="H412" s="1050"/>
      <c r="I412" s="684" t="str">
        <f t="shared" si="36"/>
        <v/>
      </c>
      <c r="J412" s="754">
        <f t="shared" si="37"/>
        <v>0</v>
      </c>
      <c r="K412" s="1254"/>
      <c r="L412" s="1253"/>
      <c r="M412" s="1253"/>
      <c r="N412" s="773" t="str">
        <f t="shared" si="41"/>
        <v/>
      </c>
      <c r="O412" s="774" t="str">
        <f>IF('Set up ~ Config'!$G$32=6,IF(OR($N412=7,$N412=8,$N412=9),1,IF(OR($N412=10,$N412=11,$N412=12),2,IF(OR($N412=1,$N412=2,$N412=3),3,IF(OR($N412=4,$N412=5,$N412=6),4,"")))),IF(OR($N412=9,$N412=10,$N412=11),1,IF(OR($N412=12,$N412=1,$N412=2),2,IF(OR($N412=3,$N412=4,$N412=5),3,IF(OR($N412=6,$N412=7,$N412=8),4,"")))))</f>
        <v/>
      </c>
      <c r="P412" s="40"/>
      <c r="Q412" s="67"/>
      <c r="R412" s="68"/>
      <c r="S412" s="755">
        <f t="shared" si="38"/>
        <v>0</v>
      </c>
      <c r="T412" s="68"/>
      <c r="U412" s="68"/>
      <c r="V412" s="68"/>
      <c r="W412" s="68"/>
      <c r="X412" s="68"/>
      <c r="Y412" s="68"/>
      <c r="Z412" s="68"/>
      <c r="AA412" s="68"/>
      <c r="AB412" s="69"/>
      <c r="AC412" s="70"/>
      <c r="AD412" s="71"/>
      <c r="AE412" s="68"/>
      <c r="AF412" s="68"/>
      <c r="AG412" s="68"/>
      <c r="AH412" s="68"/>
      <c r="AI412" s="69"/>
      <c r="AJ412" s="69"/>
      <c r="AK412" s="68"/>
      <c r="AL412" s="77"/>
      <c r="AM412" s="71"/>
      <c r="AN412" s="68"/>
      <c r="AO412" s="68"/>
      <c r="AP412" s="68"/>
      <c r="AQ412" s="68"/>
      <c r="AR412" s="68"/>
      <c r="AS412" s="68"/>
      <c r="AT412" s="68"/>
      <c r="AU412" s="70"/>
      <c r="AV412" s="72"/>
      <c r="AW412" s="69"/>
      <c r="AX412" s="69"/>
      <c r="AY412" s="69"/>
      <c r="AZ412" s="69"/>
      <c r="BA412" s="69"/>
      <c r="BB412" s="69"/>
      <c r="BC412" s="69"/>
      <c r="BD412" s="70"/>
      <c r="BE412" s="71"/>
      <c r="BF412" s="68"/>
      <c r="BG412" s="68"/>
      <c r="BH412" s="70"/>
      <c r="BI412" s="67"/>
      <c r="BJ412" s="68"/>
      <c r="BK412" s="70"/>
      <c r="BL412" s="71"/>
      <c r="BM412" s="68"/>
      <c r="BN412" s="69"/>
      <c r="BO412" s="78"/>
      <c r="BP412" s="37">
        <f t="shared" si="39"/>
        <v>0</v>
      </c>
    </row>
    <row r="413" spans="1:68" ht="25.5" customHeight="1" thickTop="1" thickBot="1" x14ac:dyDescent="0.2">
      <c r="A413" s="17">
        <f t="shared" si="40"/>
        <v>398</v>
      </c>
      <c r="B413" s="1044"/>
      <c r="C413" s="1045"/>
      <c r="D413" s="38"/>
      <c r="E413" s="954"/>
      <c r="F413" s="53"/>
      <c r="G413" s="39"/>
      <c r="H413" s="1050"/>
      <c r="I413" s="684" t="str">
        <f t="shared" si="36"/>
        <v/>
      </c>
      <c r="J413" s="754">
        <f t="shared" si="37"/>
        <v>0</v>
      </c>
      <c r="K413" s="1254"/>
      <c r="L413" s="1253"/>
      <c r="M413" s="1253"/>
      <c r="N413" s="773" t="str">
        <f t="shared" si="41"/>
        <v/>
      </c>
      <c r="O413" s="774" t="str">
        <f>IF('Set up ~ Config'!$G$32=6,IF(OR($N413=7,$N413=8,$N413=9),1,IF(OR($N413=10,$N413=11,$N413=12),2,IF(OR($N413=1,$N413=2,$N413=3),3,IF(OR($N413=4,$N413=5,$N413=6),4,"")))),IF(OR($N413=9,$N413=10,$N413=11),1,IF(OR($N413=12,$N413=1,$N413=2),2,IF(OR($N413=3,$N413=4,$N413=5),3,IF(OR($N413=6,$N413=7,$N413=8),4,"")))))</f>
        <v/>
      </c>
      <c r="P413" s="40"/>
      <c r="Q413" s="67"/>
      <c r="R413" s="68"/>
      <c r="S413" s="755">
        <f t="shared" si="38"/>
        <v>0</v>
      </c>
      <c r="T413" s="68"/>
      <c r="U413" s="68"/>
      <c r="V413" s="68"/>
      <c r="W413" s="68"/>
      <c r="X413" s="68"/>
      <c r="Y413" s="68"/>
      <c r="Z413" s="68"/>
      <c r="AA413" s="68"/>
      <c r="AB413" s="69"/>
      <c r="AC413" s="70"/>
      <c r="AD413" s="71"/>
      <c r="AE413" s="68"/>
      <c r="AF413" s="68"/>
      <c r="AG413" s="68"/>
      <c r="AH413" s="68"/>
      <c r="AI413" s="69"/>
      <c r="AJ413" s="69"/>
      <c r="AK413" s="68"/>
      <c r="AL413" s="77"/>
      <c r="AM413" s="71"/>
      <c r="AN413" s="68"/>
      <c r="AO413" s="68"/>
      <c r="AP413" s="68"/>
      <c r="AQ413" s="68"/>
      <c r="AR413" s="68"/>
      <c r="AS413" s="68"/>
      <c r="AT413" s="68"/>
      <c r="AU413" s="70"/>
      <c r="AV413" s="72"/>
      <c r="AW413" s="69"/>
      <c r="AX413" s="69"/>
      <c r="AY413" s="69"/>
      <c r="AZ413" s="69"/>
      <c r="BA413" s="69"/>
      <c r="BB413" s="69"/>
      <c r="BC413" s="69"/>
      <c r="BD413" s="70"/>
      <c r="BE413" s="71"/>
      <c r="BF413" s="68"/>
      <c r="BG413" s="68"/>
      <c r="BH413" s="70"/>
      <c r="BI413" s="67"/>
      <c r="BJ413" s="68"/>
      <c r="BK413" s="70"/>
      <c r="BL413" s="71"/>
      <c r="BM413" s="68"/>
      <c r="BN413" s="69"/>
      <c r="BO413" s="78"/>
      <c r="BP413" s="37">
        <f t="shared" si="39"/>
        <v>0</v>
      </c>
    </row>
    <row r="414" spans="1:68" ht="25.5" customHeight="1" thickTop="1" thickBot="1" x14ac:dyDescent="0.2">
      <c r="A414" s="17">
        <f t="shared" si="40"/>
        <v>399</v>
      </c>
      <c r="B414" s="1044"/>
      <c r="C414" s="1045"/>
      <c r="D414" s="38"/>
      <c r="E414" s="954"/>
      <c r="F414" s="53"/>
      <c r="G414" s="39"/>
      <c r="H414" s="1050"/>
      <c r="I414" s="684" t="str">
        <f t="shared" si="36"/>
        <v/>
      </c>
      <c r="J414" s="754">
        <f t="shared" si="37"/>
        <v>0</v>
      </c>
      <c r="K414" s="1254"/>
      <c r="L414" s="1253"/>
      <c r="M414" s="1253"/>
      <c r="N414" s="773" t="str">
        <f t="shared" si="41"/>
        <v/>
      </c>
      <c r="O414" s="774" t="str">
        <f>IF('Set up ~ Config'!$G$32=6,IF(OR($N414=7,$N414=8,$N414=9),1,IF(OR($N414=10,$N414=11,$N414=12),2,IF(OR($N414=1,$N414=2,$N414=3),3,IF(OR($N414=4,$N414=5,$N414=6),4,"")))),IF(OR($N414=9,$N414=10,$N414=11),1,IF(OR($N414=12,$N414=1,$N414=2),2,IF(OR($N414=3,$N414=4,$N414=5),3,IF(OR($N414=6,$N414=7,$N414=8),4,"")))))</f>
        <v/>
      </c>
      <c r="P414" s="40"/>
      <c r="Q414" s="67"/>
      <c r="R414" s="68"/>
      <c r="S414" s="755">
        <f t="shared" si="38"/>
        <v>0</v>
      </c>
      <c r="T414" s="68"/>
      <c r="U414" s="68"/>
      <c r="V414" s="68"/>
      <c r="W414" s="68"/>
      <c r="X414" s="68"/>
      <c r="Y414" s="68"/>
      <c r="Z414" s="68"/>
      <c r="AA414" s="68"/>
      <c r="AB414" s="69"/>
      <c r="AC414" s="70"/>
      <c r="AD414" s="71"/>
      <c r="AE414" s="68"/>
      <c r="AF414" s="68"/>
      <c r="AG414" s="68"/>
      <c r="AH414" s="68"/>
      <c r="AI414" s="69"/>
      <c r="AJ414" s="69"/>
      <c r="AK414" s="68"/>
      <c r="AL414" s="77"/>
      <c r="AM414" s="71"/>
      <c r="AN414" s="68"/>
      <c r="AO414" s="68"/>
      <c r="AP414" s="68"/>
      <c r="AQ414" s="68"/>
      <c r="AR414" s="68"/>
      <c r="AS414" s="68"/>
      <c r="AT414" s="68"/>
      <c r="AU414" s="70"/>
      <c r="AV414" s="72"/>
      <c r="AW414" s="69"/>
      <c r="AX414" s="69"/>
      <c r="AY414" s="69"/>
      <c r="AZ414" s="69"/>
      <c r="BA414" s="69"/>
      <c r="BB414" s="69"/>
      <c r="BC414" s="69"/>
      <c r="BD414" s="70"/>
      <c r="BE414" s="71"/>
      <c r="BF414" s="68"/>
      <c r="BG414" s="68"/>
      <c r="BH414" s="70"/>
      <c r="BI414" s="67"/>
      <c r="BJ414" s="68"/>
      <c r="BK414" s="70"/>
      <c r="BL414" s="71"/>
      <c r="BM414" s="68"/>
      <c r="BN414" s="69"/>
      <c r="BO414" s="78"/>
      <c r="BP414" s="37">
        <f t="shared" si="39"/>
        <v>0</v>
      </c>
    </row>
    <row r="415" spans="1:68" ht="25.5" customHeight="1" thickTop="1" thickBot="1" x14ac:dyDescent="0.2">
      <c r="A415" s="17">
        <f t="shared" si="40"/>
        <v>400</v>
      </c>
      <c r="B415" s="1044"/>
      <c r="C415" s="1045"/>
      <c r="D415" s="38"/>
      <c r="E415" s="954"/>
      <c r="F415" s="53"/>
      <c r="G415" s="39"/>
      <c r="H415" s="1050"/>
      <c r="I415" s="684" t="str">
        <f t="shared" si="36"/>
        <v/>
      </c>
      <c r="J415" s="754">
        <f t="shared" si="37"/>
        <v>0</v>
      </c>
      <c r="K415" s="1254"/>
      <c r="L415" s="1253"/>
      <c r="M415" s="1253"/>
      <c r="N415" s="773" t="str">
        <f t="shared" si="41"/>
        <v/>
      </c>
      <c r="O415" s="774" t="str">
        <f>IF('Set up ~ Config'!$G$32=6,IF(OR($N415=7,$N415=8,$N415=9),1,IF(OR($N415=10,$N415=11,$N415=12),2,IF(OR($N415=1,$N415=2,$N415=3),3,IF(OR($N415=4,$N415=5,$N415=6),4,"")))),IF(OR($N415=9,$N415=10,$N415=11),1,IF(OR($N415=12,$N415=1,$N415=2),2,IF(OR($N415=3,$N415=4,$N415=5),3,IF(OR($N415=6,$N415=7,$N415=8),4,"")))))</f>
        <v/>
      </c>
      <c r="P415" s="40"/>
      <c r="Q415" s="67"/>
      <c r="R415" s="68"/>
      <c r="S415" s="755">
        <f t="shared" si="38"/>
        <v>0</v>
      </c>
      <c r="T415" s="68"/>
      <c r="U415" s="68"/>
      <c r="V415" s="68"/>
      <c r="W415" s="68"/>
      <c r="X415" s="68"/>
      <c r="Y415" s="68"/>
      <c r="Z415" s="68"/>
      <c r="AA415" s="68"/>
      <c r="AB415" s="69"/>
      <c r="AC415" s="70"/>
      <c r="AD415" s="71"/>
      <c r="AE415" s="68"/>
      <c r="AF415" s="68"/>
      <c r="AG415" s="68"/>
      <c r="AH415" s="68"/>
      <c r="AI415" s="69"/>
      <c r="AJ415" s="69"/>
      <c r="AK415" s="68"/>
      <c r="AL415" s="77"/>
      <c r="AM415" s="71"/>
      <c r="AN415" s="68"/>
      <c r="AO415" s="68"/>
      <c r="AP415" s="68"/>
      <c r="AQ415" s="68"/>
      <c r="AR415" s="68"/>
      <c r="AS415" s="68"/>
      <c r="AT415" s="68"/>
      <c r="AU415" s="70"/>
      <c r="AV415" s="72"/>
      <c r="AW415" s="69"/>
      <c r="AX415" s="69"/>
      <c r="AY415" s="69"/>
      <c r="AZ415" s="69"/>
      <c r="BA415" s="69"/>
      <c r="BB415" s="69"/>
      <c r="BC415" s="69"/>
      <c r="BD415" s="70"/>
      <c r="BE415" s="71"/>
      <c r="BF415" s="68"/>
      <c r="BG415" s="68"/>
      <c r="BH415" s="70"/>
      <c r="BI415" s="67"/>
      <c r="BJ415" s="68"/>
      <c r="BK415" s="70"/>
      <c r="BL415" s="71"/>
      <c r="BM415" s="68"/>
      <c r="BN415" s="69"/>
      <c r="BO415" s="78"/>
      <c r="BP415" s="37">
        <f t="shared" si="39"/>
        <v>0</v>
      </c>
    </row>
    <row r="416" spans="1:68" ht="25.5" customHeight="1" thickTop="1" thickBot="1" x14ac:dyDescent="0.2">
      <c r="A416" s="17">
        <f t="shared" si="40"/>
        <v>401</v>
      </c>
      <c r="B416" s="1044"/>
      <c r="C416" s="1045"/>
      <c r="D416" s="38"/>
      <c r="E416" s="954"/>
      <c r="F416" s="53"/>
      <c r="G416" s="39"/>
      <c r="H416" s="1050"/>
      <c r="I416" s="684" t="str">
        <f t="shared" si="36"/>
        <v/>
      </c>
      <c r="J416" s="754">
        <f t="shared" si="37"/>
        <v>0</v>
      </c>
      <c r="K416" s="1254"/>
      <c r="L416" s="1253"/>
      <c r="M416" s="1253"/>
      <c r="N416" s="773" t="str">
        <f t="shared" si="41"/>
        <v/>
      </c>
      <c r="O416" s="774" t="str">
        <f>IF('Set up ~ Config'!$G$32=6,IF(OR($N416=7,$N416=8,$N416=9),1,IF(OR($N416=10,$N416=11,$N416=12),2,IF(OR($N416=1,$N416=2,$N416=3),3,IF(OR($N416=4,$N416=5,$N416=6),4,"")))),IF(OR($N416=9,$N416=10,$N416=11),1,IF(OR($N416=12,$N416=1,$N416=2),2,IF(OR($N416=3,$N416=4,$N416=5),3,IF(OR($N416=6,$N416=7,$N416=8),4,"")))))</f>
        <v/>
      </c>
      <c r="P416" s="40"/>
      <c r="Q416" s="67"/>
      <c r="R416" s="68"/>
      <c r="S416" s="755">
        <f t="shared" si="38"/>
        <v>0</v>
      </c>
      <c r="T416" s="68"/>
      <c r="U416" s="68"/>
      <c r="V416" s="68"/>
      <c r="W416" s="68"/>
      <c r="X416" s="68"/>
      <c r="Y416" s="68"/>
      <c r="Z416" s="68"/>
      <c r="AA416" s="68"/>
      <c r="AB416" s="69"/>
      <c r="AC416" s="70"/>
      <c r="AD416" s="71"/>
      <c r="AE416" s="68"/>
      <c r="AF416" s="68"/>
      <c r="AG416" s="68"/>
      <c r="AH416" s="68"/>
      <c r="AI416" s="69"/>
      <c r="AJ416" s="69"/>
      <c r="AK416" s="68"/>
      <c r="AL416" s="77"/>
      <c r="AM416" s="71"/>
      <c r="AN416" s="68"/>
      <c r="AO416" s="68"/>
      <c r="AP416" s="68"/>
      <c r="AQ416" s="68"/>
      <c r="AR416" s="68"/>
      <c r="AS416" s="68"/>
      <c r="AT416" s="68"/>
      <c r="AU416" s="70"/>
      <c r="AV416" s="72"/>
      <c r="AW416" s="69"/>
      <c r="AX416" s="69"/>
      <c r="AY416" s="69"/>
      <c r="AZ416" s="69"/>
      <c r="BA416" s="69"/>
      <c r="BB416" s="69"/>
      <c r="BC416" s="69"/>
      <c r="BD416" s="70"/>
      <c r="BE416" s="71"/>
      <c r="BF416" s="68"/>
      <c r="BG416" s="68"/>
      <c r="BH416" s="70"/>
      <c r="BI416" s="67"/>
      <c r="BJ416" s="68"/>
      <c r="BK416" s="70"/>
      <c r="BL416" s="71"/>
      <c r="BM416" s="68"/>
      <c r="BN416" s="69"/>
      <c r="BO416" s="78"/>
      <c r="BP416" s="37">
        <f t="shared" si="39"/>
        <v>0</v>
      </c>
    </row>
    <row r="417" spans="1:68" ht="25.5" customHeight="1" thickTop="1" thickBot="1" x14ac:dyDescent="0.2">
      <c r="A417" s="17">
        <f t="shared" si="40"/>
        <v>402</v>
      </c>
      <c r="B417" s="1044"/>
      <c r="C417" s="1045"/>
      <c r="D417" s="38"/>
      <c r="E417" s="954"/>
      <c r="F417" s="53"/>
      <c r="G417" s="39"/>
      <c r="H417" s="1050"/>
      <c r="I417" s="684" t="str">
        <f t="shared" si="36"/>
        <v/>
      </c>
      <c r="J417" s="754">
        <f t="shared" si="37"/>
        <v>0</v>
      </c>
      <c r="K417" s="1254"/>
      <c r="L417" s="1253"/>
      <c r="M417" s="1253"/>
      <c r="N417" s="773" t="str">
        <f t="shared" si="41"/>
        <v/>
      </c>
      <c r="O417" s="774" t="str">
        <f>IF('Set up ~ Config'!$G$32=6,IF(OR($N417=7,$N417=8,$N417=9),1,IF(OR($N417=10,$N417=11,$N417=12),2,IF(OR($N417=1,$N417=2,$N417=3),3,IF(OR($N417=4,$N417=5,$N417=6),4,"")))),IF(OR($N417=9,$N417=10,$N417=11),1,IF(OR($N417=12,$N417=1,$N417=2),2,IF(OR($N417=3,$N417=4,$N417=5),3,IF(OR($N417=6,$N417=7,$N417=8),4,"")))))</f>
        <v/>
      </c>
      <c r="P417" s="40"/>
      <c r="Q417" s="67"/>
      <c r="R417" s="68"/>
      <c r="S417" s="755">
        <f t="shared" si="38"/>
        <v>0</v>
      </c>
      <c r="T417" s="68"/>
      <c r="U417" s="68"/>
      <c r="V417" s="68"/>
      <c r="W417" s="68"/>
      <c r="X417" s="68"/>
      <c r="Y417" s="68"/>
      <c r="Z417" s="68"/>
      <c r="AA417" s="68"/>
      <c r="AB417" s="69"/>
      <c r="AC417" s="70"/>
      <c r="AD417" s="71"/>
      <c r="AE417" s="68"/>
      <c r="AF417" s="68"/>
      <c r="AG417" s="68"/>
      <c r="AH417" s="68"/>
      <c r="AI417" s="69"/>
      <c r="AJ417" s="69"/>
      <c r="AK417" s="68"/>
      <c r="AL417" s="77"/>
      <c r="AM417" s="71"/>
      <c r="AN417" s="68"/>
      <c r="AO417" s="68"/>
      <c r="AP417" s="68"/>
      <c r="AQ417" s="68"/>
      <c r="AR417" s="68"/>
      <c r="AS417" s="68"/>
      <c r="AT417" s="68"/>
      <c r="AU417" s="70"/>
      <c r="AV417" s="72"/>
      <c r="AW417" s="69"/>
      <c r="AX417" s="69"/>
      <c r="AY417" s="69"/>
      <c r="AZ417" s="69"/>
      <c r="BA417" s="69"/>
      <c r="BB417" s="69"/>
      <c r="BC417" s="69"/>
      <c r="BD417" s="70"/>
      <c r="BE417" s="71"/>
      <c r="BF417" s="68"/>
      <c r="BG417" s="68"/>
      <c r="BH417" s="70"/>
      <c r="BI417" s="67"/>
      <c r="BJ417" s="68"/>
      <c r="BK417" s="70"/>
      <c r="BL417" s="71"/>
      <c r="BM417" s="68"/>
      <c r="BN417" s="69"/>
      <c r="BO417" s="78"/>
      <c r="BP417" s="37">
        <f t="shared" si="39"/>
        <v>0</v>
      </c>
    </row>
    <row r="418" spans="1:68" ht="25.5" customHeight="1" thickTop="1" thickBot="1" x14ac:dyDescent="0.2">
      <c r="A418" s="17">
        <f t="shared" si="40"/>
        <v>403</v>
      </c>
      <c r="B418" s="1044"/>
      <c r="C418" s="1045"/>
      <c r="D418" s="38"/>
      <c r="E418" s="954"/>
      <c r="F418" s="53"/>
      <c r="G418" s="39"/>
      <c r="H418" s="1050"/>
      <c r="I418" s="684" t="str">
        <f t="shared" si="36"/>
        <v/>
      </c>
      <c r="J418" s="754">
        <f t="shared" si="37"/>
        <v>0</v>
      </c>
      <c r="K418" s="1254"/>
      <c r="L418" s="1253"/>
      <c r="M418" s="1253"/>
      <c r="N418" s="773" t="str">
        <f t="shared" si="41"/>
        <v/>
      </c>
      <c r="O418" s="774" t="str">
        <f>IF('Set up ~ Config'!$G$32=6,IF(OR($N418=7,$N418=8,$N418=9),1,IF(OR($N418=10,$N418=11,$N418=12),2,IF(OR($N418=1,$N418=2,$N418=3),3,IF(OR($N418=4,$N418=5,$N418=6),4,"")))),IF(OR($N418=9,$N418=10,$N418=11),1,IF(OR($N418=12,$N418=1,$N418=2),2,IF(OR($N418=3,$N418=4,$N418=5),3,IF(OR($N418=6,$N418=7,$N418=8),4,"")))))</f>
        <v/>
      </c>
      <c r="P418" s="40"/>
      <c r="Q418" s="67"/>
      <c r="R418" s="68"/>
      <c r="S418" s="755">
        <f t="shared" si="38"/>
        <v>0</v>
      </c>
      <c r="T418" s="68"/>
      <c r="U418" s="68"/>
      <c r="V418" s="68"/>
      <c r="W418" s="68"/>
      <c r="X418" s="68"/>
      <c r="Y418" s="68"/>
      <c r="Z418" s="68"/>
      <c r="AA418" s="68"/>
      <c r="AB418" s="69"/>
      <c r="AC418" s="70"/>
      <c r="AD418" s="71"/>
      <c r="AE418" s="68"/>
      <c r="AF418" s="68"/>
      <c r="AG418" s="68"/>
      <c r="AH418" s="68"/>
      <c r="AI418" s="69"/>
      <c r="AJ418" s="69"/>
      <c r="AK418" s="68"/>
      <c r="AL418" s="77"/>
      <c r="AM418" s="71"/>
      <c r="AN418" s="68"/>
      <c r="AO418" s="68"/>
      <c r="AP418" s="68"/>
      <c r="AQ418" s="68"/>
      <c r="AR418" s="68"/>
      <c r="AS418" s="68"/>
      <c r="AT418" s="68"/>
      <c r="AU418" s="70"/>
      <c r="AV418" s="72"/>
      <c r="AW418" s="69"/>
      <c r="AX418" s="69"/>
      <c r="AY418" s="69"/>
      <c r="AZ418" s="69"/>
      <c r="BA418" s="69"/>
      <c r="BB418" s="69"/>
      <c r="BC418" s="69"/>
      <c r="BD418" s="70"/>
      <c r="BE418" s="71"/>
      <c r="BF418" s="68"/>
      <c r="BG418" s="68"/>
      <c r="BH418" s="70"/>
      <c r="BI418" s="67"/>
      <c r="BJ418" s="68"/>
      <c r="BK418" s="70"/>
      <c r="BL418" s="71"/>
      <c r="BM418" s="68"/>
      <c r="BN418" s="69"/>
      <c r="BO418" s="78"/>
      <c r="BP418" s="37">
        <f t="shared" si="39"/>
        <v>0</v>
      </c>
    </row>
    <row r="419" spans="1:68" ht="25.5" customHeight="1" thickTop="1" thickBot="1" x14ac:dyDescent="0.2">
      <c r="A419" s="17">
        <f t="shared" si="40"/>
        <v>404</v>
      </c>
      <c r="B419" s="1044"/>
      <c r="C419" s="1045"/>
      <c r="D419" s="38"/>
      <c r="E419" s="954"/>
      <c r="F419" s="53"/>
      <c r="G419" s="39"/>
      <c r="H419" s="1050"/>
      <c r="I419" s="684" t="str">
        <f t="shared" si="36"/>
        <v/>
      </c>
      <c r="J419" s="754">
        <f t="shared" si="37"/>
        <v>0</v>
      </c>
      <c r="K419" s="1254"/>
      <c r="L419" s="1253"/>
      <c r="M419" s="1253"/>
      <c r="N419" s="773" t="str">
        <f t="shared" si="41"/>
        <v/>
      </c>
      <c r="O419" s="774" t="str">
        <f>IF('Set up ~ Config'!$G$32=6,IF(OR($N419=7,$N419=8,$N419=9),1,IF(OR($N419=10,$N419=11,$N419=12),2,IF(OR($N419=1,$N419=2,$N419=3),3,IF(OR($N419=4,$N419=5,$N419=6),4,"")))),IF(OR($N419=9,$N419=10,$N419=11),1,IF(OR($N419=12,$N419=1,$N419=2),2,IF(OR($N419=3,$N419=4,$N419=5),3,IF(OR($N419=6,$N419=7,$N419=8),4,"")))))</f>
        <v/>
      </c>
      <c r="P419" s="40"/>
      <c r="Q419" s="67"/>
      <c r="R419" s="68"/>
      <c r="S419" s="755">
        <f t="shared" si="38"/>
        <v>0</v>
      </c>
      <c r="T419" s="68"/>
      <c r="U419" s="68"/>
      <c r="V419" s="68"/>
      <c r="W419" s="68"/>
      <c r="X419" s="68"/>
      <c r="Y419" s="68"/>
      <c r="Z419" s="68"/>
      <c r="AA419" s="68"/>
      <c r="AB419" s="69"/>
      <c r="AC419" s="70"/>
      <c r="AD419" s="71"/>
      <c r="AE419" s="68"/>
      <c r="AF419" s="68"/>
      <c r="AG419" s="68"/>
      <c r="AH419" s="68"/>
      <c r="AI419" s="69"/>
      <c r="AJ419" s="69"/>
      <c r="AK419" s="68"/>
      <c r="AL419" s="77"/>
      <c r="AM419" s="71"/>
      <c r="AN419" s="68"/>
      <c r="AO419" s="68"/>
      <c r="AP419" s="68"/>
      <c r="AQ419" s="68"/>
      <c r="AR419" s="68"/>
      <c r="AS419" s="68"/>
      <c r="AT419" s="68"/>
      <c r="AU419" s="70"/>
      <c r="AV419" s="72"/>
      <c r="AW419" s="69"/>
      <c r="AX419" s="69"/>
      <c r="AY419" s="69"/>
      <c r="AZ419" s="69"/>
      <c r="BA419" s="69"/>
      <c r="BB419" s="69"/>
      <c r="BC419" s="69"/>
      <c r="BD419" s="70"/>
      <c r="BE419" s="71"/>
      <c r="BF419" s="68"/>
      <c r="BG419" s="68"/>
      <c r="BH419" s="70"/>
      <c r="BI419" s="67"/>
      <c r="BJ419" s="68"/>
      <c r="BK419" s="70"/>
      <c r="BL419" s="71"/>
      <c r="BM419" s="68"/>
      <c r="BN419" s="69"/>
      <c r="BO419" s="78"/>
      <c r="BP419" s="37">
        <f t="shared" si="39"/>
        <v>0</v>
      </c>
    </row>
    <row r="420" spans="1:68" ht="25.5" customHeight="1" thickTop="1" thickBot="1" x14ac:dyDescent="0.2">
      <c r="A420" s="17">
        <f t="shared" si="40"/>
        <v>405</v>
      </c>
      <c r="B420" s="1044"/>
      <c r="C420" s="1045"/>
      <c r="D420" s="38"/>
      <c r="E420" s="954"/>
      <c r="F420" s="53"/>
      <c r="G420" s="39"/>
      <c r="H420" s="1050"/>
      <c r="I420" s="684" t="str">
        <f t="shared" si="36"/>
        <v/>
      </c>
      <c r="J420" s="754">
        <f t="shared" si="37"/>
        <v>0</v>
      </c>
      <c r="K420" s="1254"/>
      <c r="L420" s="1253"/>
      <c r="M420" s="1253"/>
      <c r="N420" s="773" t="str">
        <f t="shared" si="41"/>
        <v/>
      </c>
      <c r="O420" s="774" t="str">
        <f>IF('Set up ~ Config'!$G$32=6,IF(OR($N420=7,$N420=8,$N420=9),1,IF(OR($N420=10,$N420=11,$N420=12),2,IF(OR($N420=1,$N420=2,$N420=3),3,IF(OR($N420=4,$N420=5,$N420=6),4,"")))),IF(OR($N420=9,$N420=10,$N420=11),1,IF(OR($N420=12,$N420=1,$N420=2),2,IF(OR($N420=3,$N420=4,$N420=5),3,IF(OR($N420=6,$N420=7,$N420=8),4,"")))))</f>
        <v/>
      </c>
      <c r="P420" s="40"/>
      <c r="Q420" s="67"/>
      <c r="R420" s="68"/>
      <c r="S420" s="755">
        <f t="shared" si="38"/>
        <v>0</v>
      </c>
      <c r="T420" s="68"/>
      <c r="U420" s="68"/>
      <c r="V420" s="68"/>
      <c r="W420" s="68"/>
      <c r="X420" s="68"/>
      <c r="Y420" s="68"/>
      <c r="Z420" s="68"/>
      <c r="AA420" s="68"/>
      <c r="AB420" s="69"/>
      <c r="AC420" s="70"/>
      <c r="AD420" s="71"/>
      <c r="AE420" s="68"/>
      <c r="AF420" s="68"/>
      <c r="AG420" s="68"/>
      <c r="AH420" s="68"/>
      <c r="AI420" s="69"/>
      <c r="AJ420" s="69"/>
      <c r="AK420" s="68"/>
      <c r="AL420" s="77"/>
      <c r="AM420" s="71"/>
      <c r="AN420" s="68"/>
      <c r="AO420" s="68"/>
      <c r="AP420" s="68"/>
      <c r="AQ420" s="68"/>
      <c r="AR420" s="68"/>
      <c r="AS420" s="68"/>
      <c r="AT420" s="68"/>
      <c r="AU420" s="70"/>
      <c r="AV420" s="72"/>
      <c r="AW420" s="69"/>
      <c r="AX420" s="69"/>
      <c r="AY420" s="69"/>
      <c r="AZ420" s="69"/>
      <c r="BA420" s="69"/>
      <c r="BB420" s="69"/>
      <c r="BC420" s="69"/>
      <c r="BD420" s="70"/>
      <c r="BE420" s="71"/>
      <c r="BF420" s="68"/>
      <c r="BG420" s="68"/>
      <c r="BH420" s="70"/>
      <c r="BI420" s="67"/>
      <c r="BJ420" s="68"/>
      <c r="BK420" s="70"/>
      <c r="BL420" s="71"/>
      <c r="BM420" s="68"/>
      <c r="BN420" s="69"/>
      <c r="BO420" s="78"/>
      <c r="BP420" s="37">
        <f t="shared" si="39"/>
        <v>0</v>
      </c>
    </row>
    <row r="421" spans="1:68" ht="25.5" customHeight="1" thickTop="1" thickBot="1" x14ac:dyDescent="0.2">
      <c r="A421" s="17">
        <f t="shared" si="40"/>
        <v>406</v>
      </c>
      <c r="B421" s="1044"/>
      <c r="C421" s="1045"/>
      <c r="D421" s="38"/>
      <c r="E421" s="954"/>
      <c r="F421" s="53"/>
      <c r="G421" s="39"/>
      <c r="H421" s="1050"/>
      <c r="I421" s="684" t="str">
        <f t="shared" si="36"/>
        <v/>
      </c>
      <c r="J421" s="754">
        <f t="shared" si="37"/>
        <v>0</v>
      </c>
      <c r="K421" s="1254"/>
      <c r="L421" s="1253"/>
      <c r="M421" s="1253"/>
      <c r="N421" s="773" t="str">
        <f t="shared" si="41"/>
        <v/>
      </c>
      <c r="O421" s="774" t="str">
        <f>IF('Set up ~ Config'!$G$32=6,IF(OR($N421=7,$N421=8,$N421=9),1,IF(OR($N421=10,$N421=11,$N421=12),2,IF(OR($N421=1,$N421=2,$N421=3),3,IF(OR($N421=4,$N421=5,$N421=6),4,"")))),IF(OR($N421=9,$N421=10,$N421=11),1,IF(OR($N421=12,$N421=1,$N421=2),2,IF(OR($N421=3,$N421=4,$N421=5),3,IF(OR($N421=6,$N421=7,$N421=8),4,"")))))</f>
        <v/>
      </c>
      <c r="P421" s="40"/>
      <c r="Q421" s="67"/>
      <c r="R421" s="68"/>
      <c r="S421" s="755">
        <f t="shared" si="38"/>
        <v>0</v>
      </c>
      <c r="T421" s="68"/>
      <c r="U421" s="68"/>
      <c r="V421" s="68"/>
      <c r="W421" s="68"/>
      <c r="X421" s="68"/>
      <c r="Y421" s="68"/>
      <c r="Z421" s="68"/>
      <c r="AA421" s="68"/>
      <c r="AB421" s="69"/>
      <c r="AC421" s="70"/>
      <c r="AD421" s="71"/>
      <c r="AE421" s="68"/>
      <c r="AF421" s="68"/>
      <c r="AG421" s="68"/>
      <c r="AH421" s="68"/>
      <c r="AI421" s="69"/>
      <c r="AJ421" s="69"/>
      <c r="AK421" s="68"/>
      <c r="AL421" s="77"/>
      <c r="AM421" s="71"/>
      <c r="AN421" s="68"/>
      <c r="AO421" s="68"/>
      <c r="AP421" s="68"/>
      <c r="AQ421" s="68"/>
      <c r="AR421" s="68"/>
      <c r="AS421" s="68"/>
      <c r="AT421" s="68"/>
      <c r="AU421" s="70"/>
      <c r="AV421" s="72"/>
      <c r="AW421" s="69"/>
      <c r="AX421" s="69"/>
      <c r="AY421" s="69"/>
      <c r="AZ421" s="69"/>
      <c r="BA421" s="69"/>
      <c r="BB421" s="69"/>
      <c r="BC421" s="69"/>
      <c r="BD421" s="70"/>
      <c r="BE421" s="71"/>
      <c r="BF421" s="68"/>
      <c r="BG421" s="68"/>
      <c r="BH421" s="70"/>
      <c r="BI421" s="67"/>
      <c r="BJ421" s="68"/>
      <c r="BK421" s="70"/>
      <c r="BL421" s="71"/>
      <c r="BM421" s="68"/>
      <c r="BN421" s="69"/>
      <c r="BO421" s="78"/>
      <c r="BP421" s="37">
        <f t="shared" si="39"/>
        <v>0</v>
      </c>
    </row>
    <row r="422" spans="1:68" ht="25.5" customHeight="1" thickTop="1" thickBot="1" x14ac:dyDescent="0.2">
      <c r="A422" s="17">
        <f t="shared" si="40"/>
        <v>407</v>
      </c>
      <c r="B422" s="1044"/>
      <c r="C422" s="1045"/>
      <c r="D422" s="38"/>
      <c r="E422" s="954"/>
      <c r="F422" s="53"/>
      <c r="G422" s="39"/>
      <c r="H422" s="1050"/>
      <c r="I422" s="684" t="str">
        <f t="shared" si="36"/>
        <v/>
      </c>
      <c r="J422" s="754">
        <f t="shared" si="37"/>
        <v>0</v>
      </c>
      <c r="K422" s="1254"/>
      <c r="L422" s="1253"/>
      <c r="M422" s="1253"/>
      <c r="N422" s="773" t="str">
        <f t="shared" si="41"/>
        <v/>
      </c>
      <c r="O422" s="774" t="str">
        <f>IF('Set up ~ Config'!$G$32=6,IF(OR($N422=7,$N422=8,$N422=9),1,IF(OR($N422=10,$N422=11,$N422=12),2,IF(OR($N422=1,$N422=2,$N422=3),3,IF(OR($N422=4,$N422=5,$N422=6),4,"")))),IF(OR($N422=9,$N422=10,$N422=11),1,IF(OR($N422=12,$N422=1,$N422=2),2,IF(OR($N422=3,$N422=4,$N422=5),3,IF(OR($N422=6,$N422=7,$N422=8),4,"")))))</f>
        <v/>
      </c>
      <c r="P422" s="40"/>
      <c r="Q422" s="67"/>
      <c r="R422" s="68"/>
      <c r="S422" s="755">
        <f t="shared" si="38"/>
        <v>0</v>
      </c>
      <c r="T422" s="68"/>
      <c r="U422" s="68"/>
      <c r="V422" s="68"/>
      <c r="W422" s="68"/>
      <c r="X422" s="68"/>
      <c r="Y422" s="68"/>
      <c r="Z422" s="68"/>
      <c r="AA422" s="68"/>
      <c r="AB422" s="69"/>
      <c r="AC422" s="70"/>
      <c r="AD422" s="71"/>
      <c r="AE422" s="68"/>
      <c r="AF422" s="68"/>
      <c r="AG422" s="68"/>
      <c r="AH422" s="68"/>
      <c r="AI422" s="69"/>
      <c r="AJ422" s="69"/>
      <c r="AK422" s="68"/>
      <c r="AL422" s="77"/>
      <c r="AM422" s="71"/>
      <c r="AN422" s="68"/>
      <c r="AO422" s="68"/>
      <c r="AP422" s="68"/>
      <c r="AQ422" s="68"/>
      <c r="AR422" s="68"/>
      <c r="AS422" s="68"/>
      <c r="AT422" s="68"/>
      <c r="AU422" s="70"/>
      <c r="AV422" s="72"/>
      <c r="AW422" s="69"/>
      <c r="AX422" s="69"/>
      <c r="AY422" s="69"/>
      <c r="AZ422" s="69"/>
      <c r="BA422" s="69"/>
      <c r="BB422" s="69"/>
      <c r="BC422" s="69"/>
      <c r="BD422" s="70"/>
      <c r="BE422" s="71"/>
      <c r="BF422" s="68"/>
      <c r="BG422" s="68"/>
      <c r="BH422" s="70"/>
      <c r="BI422" s="67"/>
      <c r="BJ422" s="68"/>
      <c r="BK422" s="70"/>
      <c r="BL422" s="71"/>
      <c r="BM422" s="68"/>
      <c r="BN422" s="69"/>
      <c r="BO422" s="78"/>
      <c r="BP422" s="37">
        <f t="shared" si="39"/>
        <v>0</v>
      </c>
    </row>
    <row r="423" spans="1:68" ht="25.5" customHeight="1" thickTop="1" thickBot="1" x14ac:dyDescent="0.2">
      <c r="A423" s="17">
        <f t="shared" si="40"/>
        <v>408</v>
      </c>
      <c r="B423" s="1044"/>
      <c r="C423" s="1045"/>
      <c r="D423" s="38"/>
      <c r="E423" s="954"/>
      <c r="F423" s="53"/>
      <c r="G423" s="39"/>
      <c r="H423" s="1050"/>
      <c r="I423" s="684" t="str">
        <f t="shared" si="36"/>
        <v/>
      </c>
      <c r="J423" s="754">
        <f t="shared" si="37"/>
        <v>0</v>
      </c>
      <c r="K423" s="1254"/>
      <c r="L423" s="1253"/>
      <c r="M423" s="1253"/>
      <c r="N423" s="773" t="str">
        <f t="shared" si="41"/>
        <v/>
      </c>
      <c r="O423" s="774" t="str">
        <f>IF('Set up ~ Config'!$G$32=6,IF(OR($N423=7,$N423=8,$N423=9),1,IF(OR($N423=10,$N423=11,$N423=12),2,IF(OR($N423=1,$N423=2,$N423=3),3,IF(OR($N423=4,$N423=5,$N423=6),4,"")))),IF(OR($N423=9,$N423=10,$N423=11),1,IF(OR($N423=12,$N423=1,$N423=2),2,IF(OR($N423=3,$N423=4,$N423=5),3,IF(OR($N423=6,$N423=7,$N423=8),4,"")))))</f>
        <v/>
      </c>
      <c r="P423" s="40"/>
      <c r="Q423" s="67"/>
      <c r="R423" s="68"/>
      <c r="S423" s="755">
        <f t="shared" si="38"/>
        <v>0</v>
      </c>
      <c r="T423" s="68"/>
      <c r="U423" s="68"/>
      <c r="V423" s="68"/>
      <c r="W423" s="68"/>
      <c r="X423" s="68"/>
      <c r="Y423" s="68"/>
      <c r="Z423" s="68"/>
      <c r="AA423" s="68"/>
      <c r="AB423" s="69"/>
      <c r="AC423" s="70"/>
      <c r="AD423" s="71"/>
      <c r="AE423" s="68"/>
      <c r="AF423" s="68"/>
      <c r="AG423" s="68"/>
      <c r="AH423" s="68"/>
      <c r="AI423" s="69"/>
      <c r="AJ423" s="69"/>
      <c r="AK423" s="68"/>
      <c r="AL423" s="77"/>
      <c r="AM423" s="71"/>
      <c r="AN423" s="68"/>
      <c r="AO423" s="68"/>
      <c r="AP423" s="68"/>
      <c r="AQ423" s="68"/>
      <c r="AR423" s="68"/>
      <c r="AS423" s="68"/>
      <c r="AT423" s="68"/>
      <c r="AU423" s="70"/>
      <c r="AV423" s="72"/>
      <c r="AW423" s="69"/>
      <c r="AX423" s="69"/>
      <c r="AY423" s="69"/>
      <c r="AZ423" s="69"/>
      <c r="BA423" s="69"/>
      <c r="BB423" s="69"/>
      <c r="BC423" s="69"/>
      <c r="BD423" s="70"/>
      <c r="BE423" s="71"/>
      <c r="BF423" s="68"/>
      <c r="BG423" s="68"/>
      <c r="BH423" s="70"/>
      <c r="BI423" s="67"/>
      <c r="BJ423" s="68"/>
      <c r="BK423" s="70"/>
      <c r="BL423" s="71"/>
      <c r="BM423" s="68"/>
      <c r="BN423" s="69"/>
      <c r="BO423" s="78"/>
      <c r="BP423" s="37">
        <f t="shared" si="39"/>
        <v>0</v>
      </c>
    </row>
    <row r="424" spans="1:68" ht="25.5" customHeight="1" thickTop="1" thickBot="1" x14ac:dyDescent="0.2">
      <c r="A424" s="17">
        <f t="shared" si="40"/>
        <v>409</v>
      </c>
      <c r="B424" s="1044"/>
      <c r="C424" s="1045"/>
      <c r="D424" s="38"/>
      <c r="E424" s="954"/>
      <c r="F424" s="53"/>
      <c r="G424" s="39"/>
      <c r="H424" s="1050"/>
      <c r="I424" s="684" t="str">
        <f t="shared" si="36"/>
        <v/>
      </c>
      <c r="J424" s="754">
        <f t="shared" si="37"/>
        <v>0</v>
      </c>
      <c r="K424" s="1254"/>
      <c r="L424" s="1253"/>
      <c r="M424" s="1253"/>
      <c r="N424" s="773" t="str">
        <f t="shared" si="41"/>
        <v/>
      </c>
      <c r="O424" s="774" t="str">
        <f>IF('Set up ~ Config'!$G$32=6,IF(OR($N424=7,$N424=8,$N424=9),1,IF(OR($N424=10,$N424=11,$N424=12),2,IF(OR($N424=1,$N424=2,$N424=3),3,IF(OR($N424=4,$N424=5,$N424=6),4,"")))),IF(OR($N424=9,$N424=10,$N424=11),1,IF(OR($N424=12,$N424=1,$N424=2),2,IF(OR($N424=3,$N424=4,$N424=5),3,IF(OR($N424=6,$N424=7,$N424=8),4,"")))))</f>
        <v/>
      </c>
      <c r="P424" s="40"/>
      <c r="Q424" s="67"/>
      <c r="R424" s="68"/>
      <c r="S424" s="755">
        <f t="shared" si="38"/>
        <v>0</v>
      </c>
      <c r="T424" s="68"/>
      <c r="U424" s="68"/>
      <c r="V424" s="68"/>
      <c r="W424" s="68"/>
      <c r="X424" s="68"/>
      <c r="Y424" s="68"/>
      <c r="Z424" s="68"/>
      <c r="AA424" s="68"/>
      <c r="AB424" s="69"/>
      <c r="AC424" s="70"/>
      <c r="AD424" s="71"/>
      <c r="AE424" s="68"/>
      <c r="AF424" s="68"/>
      <c r="AG424" s="68"/>
      <c r="AH424" s="68"/>
      <c r="AI424" s="69"/>
      <c r="AJ424" s="69"/>
      <c r="AK424" s="68"/>
      <c r="AL424" s="77"/>
      <c r="AM424" s="71"/>
      <c r="AN424" s="68"/>
      <c r="AO424" s="68"/>
      <c r="AP424" s="68"/>
      <c r="AQ424" s="68"/>
      <c r="AR424" s="68"/>
      <c r="AS424" s="68"/>
      <c r="AT424" s="68"/>
      <c r="AU424" s="70"/>
      <c r="AV424" s="72"/>
      <c r="AW424" s="69"/>
      <c r="AX424" s="69"/>
      <c r="AY424" s="69"/>
      <c r="AZ424" s="69"/>
      <c r="BA424" s="69"/>
      <c r="BB424" s="69"/>
      <c r="BC424" s="69"/>
      <c r="BD424" s="70"/>
      <c r="BE424" s="71"/>
      <c r="BF424" s="68"/>
      <c r="BG424" s="68"/>
      <c r="BH424" s="70"/>
      <c r="BI424" s="67"/>
      <c r="BJ424" s="68"/>
      <c r="BK424" s="70"/>
      <c r="BL424" s="71"/>
      <c r="BM424" s="68"/>
      <c r="BN424" s="69"/>
      <c r="BO424" s="78"/>
      <c r="BP424" s="37">
        <f t="shared" si="39"/>
        <v>0</v>
      </c>
    </row>
    <row r="425" spans="1:68" ht="25.5" customHeight="1" thickTop="1" thickBot="1" x14ac:dyDescent="0.2">
      <c r="A425" s="17">
        <f t="shared" si="40"/>
        <v>410</v>
      </c>
      <c r="B425" s="1044"/>
      <c r="C425" s="1045"/>
      <c r="D425" s="38"/>
      <c r="E425" s="954"/>
      <c r="F425" s="53"/>
      <c r="G425" s="39"/>
      <c r="H425" s="1050"/>
      <c r="I425" s="684" t="str">
        <f t="shared" si="36"/>
        <v/>
      </c>
      <c r="J425" s="754">
        <f t="shared" si="37"/>
        <v>0</v>
      </c>
      <c r="K425" s="1254"/>
      <c r="L425" s="1253"/>
      <c r="M425" s="1253"/>
      <c r="N425" s="773" t="str">
        <f t="shared" si="41"/>
        <v/>
      </c>
      <c r="O425" s="774" t="str">
        <f>IF('Set up ~ Config'!$G$32=6,IF(OR($N425=7,$N425=8,$N425=9),1,IF(OR($N425=10,$N425=11,$N425=12),2,IF(OR($N425=1,$N425=2,$N425=3),3,IF(OR($N425=4,$N425=5,$N425=6),4,"")))),IF(OR($N425=9,$N425=10,$N425=11),1,IF(OR($N425=12,$N425=1,$N425=2),2,IF(OR($N425=3,$N425=4,$N425=5),3,IF(OR($N425=6,$N425=7,$N425=8),4,"")))))</f>
        <v/>
      </c>
      <c r="P425" s="40"/>
      <c r="Q425" s="67"/>
      <c r="R425" s="68"/>
      <c r="S425" s="755">
        <f t="shared" si="38"/>
        <v>0</v>
      </c>
      <c r="T425" s="68"/>
      <c r="U425" s="68"/>
      <c r="V425" s="68"/>
      <c r="W425" s="68"/>
      <c r="X425" s="68"/>
      <c r="Y425" s="68"/>
      <c r="Z425" s="68"/>
      <c r="AA425" s="68"/>
      <c r="AB425" s="69"/>
      <c r="AC425" s="70"/>
      <c r="AD425" s="71"/>
      <c r="AE425" s="68"/>
      <c r="AF425" s="68"/>
      <c r="AG425" s="68"/>
      <c r="AH425" s="68"/>
      <c r="AI425" s="69"/>
      <c r="AJ425" s="69"/>
      <c r="AK425" s="68"/>
      <c r="AL425" s="77"/>
      <c r="AM425" s="71"/>
      <c r="AN425" s="68"/>
      <c r="AO425" s="68"/>
      <c r="AP425" s="68"/>
      <c r="AQ425" s="68"/>
      <c r="AR425" s="68"/>
      <c r="AS425" s="68"/>
      <c r="AT425" s="68"/>
      <c r="AU425" s="70"/>
      <c r="AV425" s="72"/>
      <c r="AW425" s="69"/>
      <c r="AX425" s="69"/>
      <c r="AY425" s="69"/>
      <c r="AZ425" s="69"/>
      <c r="BA425" s="69"/>
      <c r="BB425" s="69"/>
      <c r="BC425" s="69"/>
      <c r="BD425" s="70"/>
      <c r="BE425" s="71"/>
      <c r="BF425" s="68"/>
      <c r="BG425" s="68"/>
      <c r="BH425" s="70"/>
      <c r="BI425" s="67"/>
      <c r="BJ425" s="68"/>
      <c r="BK425" s="70"/>
      <c r="BL425" s="71"/>
      <c r="BM425" s="68"/>
      <c r="BN425" s="69"/>
      <c r="BO425" s="78"/>
      <c r="BP425" s="37">
        <f t="shared" si="39"/>
        <v>0</v>
      </c>
    </row>
    <row r="426" spans="1:68" ht="25.5" customHeight="1" thickTop="1" thickBot="1" x14ac:dyDescent="0.2">
      <c r="A426" s="17">
        <f t="shared" si="40"/>
        <v>411</v>
      </c>
      <c r="B426" s="1044"/>
      <c r="C426" s="1045"/>
      <c r="D426" s="38"/>
      <c r="E426" s="954"/>
      <c r="F426" s="53"/>
      <c r="G426" s="39"/>
      <c r="H426" s="1050"/>
      <c r="I426" s="684" t="str">
        <f t="shared" si="36"/>
        <v/>
      </c>
      <c r="J426" s="754">
        <f t="shared" si="37"/>
        <v>0</v>
      </c>
      <c r="K426" s="1254"/>
      <c r="L426" s="1253"/>
      <c r="M426" s="1253"/>
      <c r="N426" s="773" t="str">
        <f t="shared" si="41"/>
        <v/>
      </c>
      <c r="O426" s="774" t="str">
        <f>IF('Set up ~ Config'!$G$32=6,IF(OR($N426=7,$N426=8,$N426=9),1,IF(OR($N426=10,$N426=11,$N426=12),2,IF(OR($N426=1,$N426=2,$N426=3),3,IF(OR($N426=4,$N426=5,$N426=6),4,"")))),IF(OR($N426=9,$N426=10,$N426=11),1,IF(OR($N426=12,$N426=1,$N426=2),2,IF(OR($N426=3,$N426=4,$N426=5),3,IF(OR($N426=6,$N426=7,$N426=8),4,"")))))</f>
        <v/>
      </c>
      <c r="P426" s="40"/>
      <c r="Q426" s="67"/>
      <c r="R426" s="68"/>
      <c r="S426" s="755">
        <f t="shared" si="38"/>
        <v>0</v>
      </c>
      <c r="T426" s="68"/>
      <c r="U426" s="68"/>
      <c r="V426" s="68"/>
      <c r="W426" s="68"/>
      <c r="X426" s="68"/>
      <c r="Y426" s="68"/>
      <c r="Z426" s="68"/>
      <c r="AA426" s="68"/>
      <c r="AB426" s="69"/>
      <c r="AC426" s="70"/>
      <c r="AD426" s="71"/>
      <c r="AE426" s="68"/>
      <c r="AF426" s="68"/>
      <c r="AG426" s="68"/>
      <c r="AH426" s="68"/>
      <c r="AI426" s="69"/>
      <c r="AJ426" s="69"/>
      <c r="AK426" s="68"/>
      <c r="AL426" s="77"/>
      <c r="AM426" s="71"/>
      <c r="AN426" s="68"/>
      <c r="AO426" s="68"/>
      <c r="AP426" s="68"/>
      <c r="AQ426" s="68"/>
      <c r="AR426" s="68"/>
      <c r="AS426" s="68"/>
      <c r="AT426" s="68"/>
      <c r="AU426" s="70"/>
      <c r="AV426" s="72"/>
      <c r="AW426" s="69"/>
      <c r="AX426" s="69"/>
      <c r="AY426" s="69"/>
      <c r="AZ426" s="69"/>
      <c r="BA426" s="69"/>
      <c r="BB426" s="69"/>
      <c r="BC426" s="69"/>
      <c r="BD426" s="70"/>
      <c r="BE426" s="71"/>
      <c r="BF426" s="68"/>
      <c r="BG426" s="68"/>
      <c r="BH426" s="70"/>
      <c r="BI426" s="67"/>
      <c r="BJ426" s="68"/>
      <c r="BK426" s="70"/>
      <c r="BL426" s="71"/>
      <c r="BM426" s="68"/>
      <c r="BN426" s="69"/>
      <c r="BO426" s="78"/>
      <c r="BP426" s="37">
        <f t="shared" si="39"/>
        <v>0</v>
      </c>
    </row>
    <row r="427" spans="1:68" ht="25.5" customHeight="1" thickTop="1" thickBot="1" x14ac:dyDescent="0.2">
      <c r="A427" s="17">
        <f t="shared" si="40"/>
        <v>412</v>
      </c>
      <c r="B427" s="1044"/>
      <c r="C427" s="1045"/>
      <c r="D427" s="38"/>
      <c r="E427" s="954"/>
      <c r="F427" s="53"/>
      <c r="G427" s="39"/>
      <c r="H427" s="1050"/>
      <c r="I427" s="684" t="str">
        <f t="shared" si="36"/>
        <v/>
      </c>
      <c r="J427" s="754">
        <f t="shared" si="37"/>
        <v>0</v>
      </c>
      <c r="K427" s="1254"/>
      <c r="L427" s="1253"/>
      <c r="M427" s="1253"/>
      <c r="N427" s="773" t="str">
        <f t="shared" si="41"/>
        <v/>
      </c>
      <c r="O427" s="774" t="str">
        <f>IF('Set up ~ Config'!$G$32=6,IF(OR($N427=7,$N427=8,$N427=9),1,IF(OR($N427=10,$N427=11,$N427=12),2,IF(OR($N427=1,$N427=2,$N427=3),3,IF(OR($N427=4,$N427=5,$N427=6),4,"")))),IF(OR($N427=9,$N427=10,$N427=11),1,IF(OR($N427=12,$N427=1,$N427=2),2,IF(OR($N427=3,$N427=4,$N427=5),3,IF(OR($N427=6,$N427=7,$N427=8),4,"")))))</f>
        <v/>
      </c>
      <c r="P427" s="40"/>
      <c r="Q427" s="67"/>
      <c r="R427" s="68"/>
      <c r="S427" s="755">
        <f t="shared" si="38"/>
        <v>0</v>
      </c>
      <c r="T427" s="68"/>
      <c r="U427" s="68"/>
      <c r="V427" s="68"/>
      <c r="W427" s="68"/>
      <c r="X427" s="68"/>
      <c r="Y427" s="68"/>
      <c r="Z427" s="68"/>
      <c r="AA427" s="68"/>
      <c r="AB427" s="69"/>
      <c r="AC427" s="70"/>
      <c r="AD427" s="71"/>
      <c r="AE427" s="68"/>
      <c r="AF427" s="68"/>
      <c r="AG427" s="68"/>
      <c r="AH427" s="68"/>
      <c r="AI427" s="69"/>
      <c r="AJ427" s="69"/>
      <c r="AK427" s="68"/>
      <c r="AL427" s="77"/>
      <c r="AM427" s="71"/>
      <c r="AN427" s="68"/>
      <c r="AO427" s="68"/>
      <c r="AP427" s="68"/>
      <c r="AQ427" s="68"/>
      <c r="AR427" s="68"/>
      <c r="AS427" s="68"/>
      <c r="AT427" s="68"/>
      <c r="AU427" s="70"/>
      <c r="AV427" s="72"/>
      <c r="AW427" s="69"/>
      <c r="AX427" s="69"/>
      <c r="AY427" s="69"/>
      <c r="AZ427" s="69"/>
      <c r="BA427" s="69"/>
      <c r="BB427" s="69"/>
      <c r="BC427" s="69"/>
      <c r="BD427" s="70"/>
      <c r="BE427" s="71"/>
      <c r="BF427" s="68"/>
      <c r="BG427" s="68"/>
      <c r="BH427" s="70"/>
      <c r="BI427" s="67"/>
      <c r="BJ427" s="68"/>
      <c r="BK427" s="70"/>
      <c r="BL427" s="71"/>
      <c r="BM427" s="68"/>
      <c r="BN427" s="69"/>
      <c r="BO427" s="78"/>
      <c r="BP427" s="37">
        <f t="shared" si="39"/>
        <v>0</v>
      </c>
    </row>
    <row r="428" spans="1:68" ht="25.5" customHeight="1" thickTop="1" thickBot="1" x14ac:dyDescent="0.2">
      <c r="A428" s="17">
        <f t="shared" si="40"/>
        <v>413</v>
      </c>
      <c r="B428" s="1044"/>
      <c r="C428" s="1045"/>
      <c r="D428" s="38"/>
      <c r="E428" s="954"/>
      <c r="F428" s="53"/>
      <c r="G428" s="39"/>
      <c r="H428" s="1050"/>
      <c r="I428" s="684" t="str">
        <f t="shared" si="36"/>
        <v/>
      </c>
      <c r="J428" s="754">
        <f t="shared" si="37"/>
        <v>0</v>
      </c>
      <c r="K428" s="1254"/>
      <c r="L428" s="1253"/>
      <c r="M428" s="1253"/>
      <c r="N428" s="773" t="str">
        <f t="shared" si="41"/>
        <v/>
      </c>
      <c r="O428" s="774" t="str">
        <f>IF('Set up ~ Config'!$G$32=6,IF(OR($N428=7,$N428=8,$N428=9),1,IF(OR($N428=10,$N428=11,$N428=12),2,IF(OR($N428=1,$N428=2,$N428=3),3,IF(OR($N428=4,$N428=5,$N428=6),4,"")))),IF(OR($N428=9,$N428=10,$N428=11),1,IF(OR($N428=12,$N428=1,$N428=2),2,IF(OR($N428=3,$N428=4,$N428=5),3,IF(OR($N428=6,$N428=7,$N428=8),4,"")))))</f>
        <v/>
      </c>
      <c r="P428" s="40"/>
      <c r="Q428" s="67"/>
      <c r="R428" s="68"/>
      <c r="S428" s="755">
        <f t="shared" si="38"/>
        <v>0</v>
      </c>
      <c r="T428" s="68"/>
      <c r="U428" s="68"/>
      <c r="V428" s="68"/>
      <c r="W428" s="68"/>
      <c r="X428" s="68"/>
      <c r="Y428" s="68"/>
      <c r="Z428" s="68"/>
      <c r="AA428" s="68"/>
      <c r="AB428" s="69"/>
      <c r="AC428" s="70"/>
      <c r="AD428" s="71"/>
      <c r="AE428" s="68"/>
      <c r="AF428" s="68"/>
      <c r="AG428" s="68"/>
      <c r="AH428" s="68"/>
      <c r="AI428" s="69"/>
      <c r="AJ428" s="69"/>
      <c r="AK428" s="68"/>
      <c r="AL428" s="77"/>
      <c r="AM428" s="71"/>
      <c r="AN428" s="68"/>
      <c r="AO428" s="68"/>
      <c r="AP428" s="68"/>
      <c r="AQ428" s="68"/>
      <c r="AR428" s="68"/>
      <c r="AS428" s="68"/>
      <c r="AT428" s="68"/>
      <c r="AU428" s="70"/>
      <c r="AV428" s="72"/>
      <c r="AW428" s="69"/>
      <c r="AX428" s="69"/>
      <c r="AY428" s="69"/>
      <c r="AZ428" s="69"/>
      <c r="BA428" s="69"/>
      <c r="BB428" s="69"/>
      <c r="BC428" s="69"/>
      <c r="BD428" s="70"/>
      <c r="BE428" s="71"/>
      <c r="BF428" s="68"/>
      <c r="BG428" s="68"/>
      <c r="BH428" s="70"/>
      <c r="BI428" s="67"/>
      <c r="BJ428" s="68"/>
      <c r="BK428" s="70"/>
      <c r="BL428" s="71"/>
      <c r="BM428" s="68"/>
      <c r="BN428" s="69"/>
      <c r="BO428" s="78"/>
      <c r="BP428" s="37">
        <f t="shared" si="39"/>
        <v>0</v>
      </c>
    </row>
    <row r="429" spans="1:68" ht="25.5" customHeight="1" thickTop="1" thickBot="1" x14ac:dyDescent="0.2">
      <c r="A429" s="17">
        <f t="shared" si="40"/>
        <v>414</v>
      </c>
      <c r="B429" s="1044"/>
      <c r="C429" s="1045"/>
      <c r="D429" s="38"/>
      <c r="E429" s="954"/>
      <c r="F429" s="53"/>
      <c r="G429" s="39"/>
      <c r="H429" s="1050"/>
      <c r="I429" s="684" t="str">
        <f t="shared" si="36"/>
        <v/>
      </c>
      <c r="J429" s="754">
        <f t="shared" si="37"/>
        <v>0</v>
      </c>
      <c r="K429" s="1254"/>
      <c r="L429" s="1253"/>
      <c r="M429" s="1253"/>
      <c r="N429" s="773" t="str">
        <f t="shared" si="41"/>
        <v/>
      </c>
      <c r="O429" s="774" t="str">
        <f>IF('Set up ~ Config'!$G$32=6,IF(OR($N429=7,$N429=8,$N429=9),1,IF(OR($N429=10,$N429=11,$N429=12),2,IF(OR($N429=1,$N429=2,$N429=3),3,IF(OR($N429=4,$N429=5,$N429=6),4,"")))),IF(OR($N429=9,$N429=10,$N429=11),1,IF(OR($N429=12,$N429=1,$N429=2),2,IF(OR($N429=3,$N429=4,$N429=5),3,IF(OR($N429=6,$N429=7,$N429=8),4,"")))))</f>
        <v/>
      </c>
      <c r="P429" s="40"/>
      <c r="Q429" s="67"/>
      <c r="R429" s="68"/>
      <c r="S429" s="755">
        <f t="shared" si="38"/>
        <v>0</v>
      </c>
      <c r="T429" s="68"/>
      <c r="U429" s="68"/>
      <c r="V429" s="68"/>
      <c r="W429" s="68"/>
      <c r="X429" s="68"/>
      <c r="Y429" s="68"/>
      <c r="Z429" s="68"/>
      <c r="AA429" s="68"/>
      <c r="AB429" s="69"/>
      <c r="AC429" s="70"/>
      <c r="AD429" s="71"/>
      <c r="AE429" s="68"/>
      <c r="AF429" s="68"/>
      <c r="AG429" s="68"/>
      <c r="AH429" s="68"/>
      <c r="AI429" s="69"/>
      <c r="AJ429" s="69"/>
      <c r="AK429" s="68"/>
      <c r="AL429" s="77"/>
      <c r="AM429" s="71"/>
      <c r="AN429" s="68"/>
      <c r="AO429" s="68"/>
      <c r="AP429" s="68"/>
      <c r="AQ429" s="68"/>
      <c r="AR429" s="68"/>
      <c r="AS429" s="68"/>
      <c r="AT429" s="68"/>
      <c r="AU429" s="70"/>
      <c r="AV429" s="72"/>
      <c r="AW429" s="69"/>
      <c r="AX429" s="69"/>
      <c r="AY429" s="69"/>
      <c r="AZ429" s="69"/>
      <c r="BA429" s="69"/>
      <c r="BB429" s="69"/>
      <c r="BC429" s="69"/>
      <c r="BD429" s="70"/>
      <c r="BE429" s="71"/>
      <c r="BF429" s="68"/>
      <c r="BG429" s="68"/>
      <c r="BH429" s="70"/>
      <c r="BI429" s="67"/>
      <c r="BJ429" s="68"/>
      <c r="BK429" s="70"/>
      <c r="BL429" s="71"/>
      <c r="BM429" s="68"/>
      <c r="BN429" s="69"/>
      <c r="BO429" s="78"/>
      <c r="BP429" s="37">
        <f t="shared" si="39"/>
        <v>0</v>
      </c>
    </row>
    <row r="430" spans="1:68" ht="25.5" customHeight="1" thickTop="1" thickBot="1" x14ac:dyDescent="0.2">
      <c r="A430" s="17">
        <f t="shared" si="40"/>
        <v>415</v>
      </c>
      <c r="B430" s="1044"/>
      <c r="C430" s="1045"/>
      <c r="D430" s="38"/>
      <c r="E430" s="954"/>
      <c r="F430" s="53"/>
      <c r="G430" s="39"/>
      <c r="H430" s="1050"/>
      <c r="I430" s="684" t="str">
        <f t="shared" si="36"/>
        <v/>
      </c>
      <c r="J430" s="754">
        <f t="shared" si="37"/>
        <v>0</v>
      </c>
      <c r="K430" s="1254"/>
      <c r="L430" s="1253"/>
      <c r="M430" s="1253"/>
      <c r="N430" s="773" t="str">
        <f t="shared" si="41"/>
        <v/>
      </c>
      <c r="O430" s="774" t="str">
        <f>IF('Set up ~ Config'!$G$32=6,IF(OR($N430=7,$N430=8,$N430=9),1,IF(OR($N430=10,$N430=11,$N430=12),2,IF(OR($N430=1,$N430=2,$N430=3),3,IF(OR($N430=4,$N430=5,$N430=6),4,"")))),IF(OR($N430=9,$N430=10,$N430=11),1,IF(OR($N430=12,$N430=1,$N430=2),2,IF(OR($N430=3,$N430=4,$N430=5),3,IF(OR($N430=6,$N430=7,$N430=8),4,"")))))</f>
        <v/>
      </c>
      <c r="P430" s="40"/>
      <c r="Q430" s="67"/>
      <c r="R430" s="68"/>
      <c r="S430" s="755">
        <f t="shared" si="38"/>
        <v>0</v>
      </c>
      <c r="T430" s="68"/>
      <c r="U430" s="68"/>
      <c r="V430" s="68"/>
      <c r="W430" s="68"/>
      <c r="X430" s="68"/>
      <c r="Y430" s="68"/>
      <c r="Z430" s="68"/>
      <c r="AA430" s="68"/>
      <c r="AB430" s="69"/>
      <c r="AC430" s="70"/>
      <c r="AD430" s="71"/>
      <c r="AE430" s="68"/>
      <c r="AF430" s="68"/>
      <c r="AG430" s="68"/>
      <c r="AH430" s="68"/>
      <c r="AI430" s="69"/>
      <c r="AJ430" s="69"/>
      <c r="AK430" s="68"/>
      <c r="AL430" s="77"/>
      <c r="AM430" s="71"/>
      <c r="AN430" s="68"/>
      <c r="AO430" s="68"/>
      <c r="AP430" s="68"/>
      <c r="AQ430" s="68"/>
      <c r="AR430" s="68"/>
      <c r="AS430" s="68"/>
      <c r="AT430" s="68"/>
      <c r="AU430" s="70"/>
      <c r="AV430" s="72"/>
      <c r="AW430" s="69"/>
      <c r="AX430" s="69"/>
      <c r="AY430" s="69"/>
      <c r="AZ430" s="69"/>
      <c r="BA430" s="69"/>
      <c r="BB430" s="69"/>
      <c r="BC430" s="69"/>
      <c r="BD430" s="70"/>
      <c r="BE430" s="71"/>
      <c r="BF430" s="68"/>
      <c r="BG430" s="68"/>
      <c r="BH430" s="70"/>
      <c r="BI430" s="67"/>
      <c r="BJ430" s="68"/>
      <c r="BK430" s="70"/>
      <c r="BL430" s="71"/>
      <c r="BM430" s="68"/>
      <c r="BN430" s="69"/>
      <c r="BO430" s="78"/>
      <c r="BP430" s="37">
        <f t="shared" si="39"/>
        <v>0</v>
      </c>
    </row>
    <row r="431" spans="1:68" ht="25.5" customHeight="1" thickTop="1" thickBot="1" x14ac:dyDescent="0.2">
      <c r="A431" s="17">
        <f t="shared" si="40"/>
        <v>416</v>
      </c>
      <c r="B431" s="1044"/>
      <c r="C431" s="1045"/>
      <c r="D431" s="38"/>
      <c r="E431" s="954"/>
      <c r="F431" s="53"/>
      <c r="G431" s="39"/>
      <c r="H431" s="1050"/>
      <c r="I431" s="684" t="str">
        <f t="shared" si="36"/>
        <v/>
      </c>
      <c r="J431" s="754">
        <f t="shared" si="37"/>
        <v>0</v>
      </c>
      <c r="K431" s="1254"/>
      <c r="L431" s="1253"/>
      <c r="M431" s="1253"/>
      <c r="N431" s="773" t="str">
        <f t="shared" si="41"/>
        <v/>
      </c>
      <c r="O431" s="774" t="str">
        <f>IF('Set up ~ Config'!$G$32=6,IF(OR($N431=7,$N431=8,$N431=9),1,IF(OR($N431=10,$N431=11,$N431=12),2,IF(OR($N431=1,$N431=2,$N431=3),3,IF(OR($N431=4,$N431=5,$N431=6),4,"")))),IF(OR($N431=9,$N431=10,$N431=11),1,IF(OR($N431=12,$N431=1,$N431=2),2,IF(OR($N431=3,$N431=4,$N431=5),3,IF(OR($N431=6,$N431=7,$N431=8),4,"")))))</f>
        <v/>
      </c>
      <c r="P431" s="40"/>
      <c r="Q431" s="67"/>
      <c r="R431" s="68"/>
      <c r="S431" s="755">
        <f t="shared" si="38"/>
        <v>0</v>
      </c>
      <c r="T431" s="68"/>
      <c r="U431" s="68"/>
      <c r="V431" s="68"/>
      <c r="W431" s="68"/>
      <c r="X431" s="68"/>
      <c r="Y431" s="68"/>
      <c r="Z431" s="68"/>
      <c r="AA431" s="68"/>
      <c r="AB431" s="69"/>
      <c r="AC431" s="70"/>
      <c r="AD431" s="71"/>
      <c r="AE431" s="68"/>
      <c r="AF431" s="68"/>
      <c r="AG431" s="68"/>
      <c r="AH431" s="68"/>
      <c r="AI431" s="69"/>
      <c r="AJ431" s="69"/>
      <c r="AK431" s="68"/>
      <c r="AL431" s="77"/>
      <c r="AM431" s="71"/>
      <c r="AN431" s="68"/>
      <c r="AO431" s="68"/>
      <c r="AP431" s="68"/>
      <c r="AQ431" s="68"/>
      <c r="AR431" s="68"/>
      <c r="AS431" s="68"/>
      <c r="AT431" s="68"/>
      <c r="AU431" s="70"/>
      <c r="AV431" s="72"/>
      <c r="AW431" s="69"/>
      <c r="AX431" s="69"/>
      <c r="AY431" s="69"/>
      <c r="AZ431" s="69"/>
      <c r="BA431" s="69"/>
      <c r="BB431" s="69"/>
      <c r="BC431" s="69"/>
      <c r="BD431" s="70"/>
      <c r="BE431" s="71"/>
      <c r="BF431" s="68"/>
      <c r="BG431" s="68"/>
      <c r="BH431" s="70"/>
      <c r="BI431" s="67"/>
      <c r="BJ431" s="68"/>
      <c r="BK431" s="70"/>
      <c r="BL431" s="71"/>
      <c r="BM431" s="68"/>
      <c r="BN431" s="69"/>
      <c r="BO431" s="78"/>
      <c r="BP431" s="37">
        <f t="shared" si="39"/>
        <v>0</v>
      </c>
    </row>
    <row r="432" spans="1:68" ht="25.5" customHeight="1" thickTop="1" thickBot="1" x14ac:dyDescent="0.2">
      <c r="A432" s="17">
        <f t="shared" si="40"/>
        <v>417</v>
      </c>
      <c r="B432" s="1044"/>
      <c r="C432" s="1045"/>
      <c r="D432" s="38"/>
      <c r="E432" s="954"/>
      <c r="F432" s="53"/>
      <c r="G432" s="39"/>
      <c r="H432" s="1050"/>
      <c r="I432" s="684" t="str">
        <f t="shared" si="36"/>
        <v/>
      </c>
      <c r="J432" s="754">
        <f t="shared" si="37"/>
        <v>0</v>
      </c>
      <c r="K432" s="1254"/>
      <c r="L432" s="1253"/>
      <c r="M432" s="1253"/>
      <c r="N432" s="773" t="str">
        <f t="shared" si="41"/>
        <v/>
      </c>
      <c r="O432" s="774" t="str">
        <f>IF('Set up ~ Config'!$G$32=6,IF(OR($N432=7,$N432=8,$N432=9),1,IF(OR($N432=10,$N432=11,$N432=12),2,IF(OR($N432=1,$N432=2,$N432=3),3,IF(OR($N432=4,$N432=5,$N432=6),4,"")))),IF(OR($N432=9,$N432=10,$N432=11),1,IF(OR($N432=12,$N432=1,$N432=2),2,IF(OR($N432=3,$N432=4,$N432=5),3,IF(OR($N432=6,$N432=7,$N432=8),4,"")))))</f>
        <v/>
      </c>
      <c r="P432" s="40"/>
      <c r="Q432" s="67"/>
      <c r="R432" s="68"/>
      <c r="S432" s="755">
        <f t="shared" si="38"/>
        <v>0</v>
      </c>
      <c r="T432" s="68"/>
      <c r="U432" s="68"/>
      <c r="V432" s="68"/>
      <c r="W432" s="68"/>
      <c r="X432" s="68"/>
      <c r="Y432" s="68"/>
      <c r="Z432" s="68"/>
      <c r="AA432" s="68"/>
      <c r="AB432" s="69"/>
      <c r="AC432" s="70"/>
      <c r="AD432" s="71"/>
      <c r="AE432" s="68"/>
      <c r="AF432" s="68"/>
      <c r="AG432" s="68"/>
      <c r="AH432" s="68"/>
      <c r="AI432" s="69"/>
      <c r="AJ432" s="69"/>
      <c r="AK432" s="68"/>
      <c r="AL432" s="77"/>
      <c r="AM432" s="71"/>
      <c r="AN432" s="68"/>
      <c r="AO432" s="68"/>
      <c r="AP432" s="68"/>
      <c r="AQ432" s="68"/>
      <c r="AR432" s="68"/>
      <c r="AS432" s="68"/>
      <c r="AT432" s="68"/>
      <c r="AU432" s="70"/>
      <c r="AV432" s="72"/>
      <c r="AW432" s="69"/>
      <c r="AX432" s="69"/>
      <c r="AY432" s="69"/>
      <c r="AZ432" s="69"/>
      <c r="BA432" s="69"/>
      <c r="BB432" s="69"/>
      <c r="BC432" s="69"/>
      <c r="BD432" s="70"/>
      <c r="BE432" s="71"/>
      <c r="BF432" s="68"/>
      <c r="BG432" s="68"/>
      <c r="BH432" s="70"/>
      <c r="BI432" s="67"/>
      <c r="BJ432" s="68"/>
      <c r="BK432" s="70"/>
      <c r="BL432" s="71"/>
      <c r="BM432" s="68"/>
      <c r="BN432" s="69"/>
      <c r="BO432" s="78"/>
      <c r="BP432" s="37">
        <f t="shared" si="39"/>
        <v>0</v>
      </c>
    </row>
    <row r="433" spans="1:68" ht="25.5" customHeight="1" thickTop="1" thickBot="1" x14ac:dyDescent="0.2">
      <c r="A433" s="17">
        <f t="shared" si="40"/>
        <v>418</v>
      </c>
      <c r="B433" s="1044"/>
      <c r="C433" s="1045"/>
      <c r="D433" s="38"/>
      <c r="E433" s="954"/>
      <c r="F433" s="53"/>
      <c r="G433" s="39"/>
      <c r="H433" s="1050"/>
      <c r="I433" s="684" t="str">
        <f t="shared" si="36"/>
        <v/>
      </c>
      <c r="J433" s="754">
        <f t="shared" si="37"/>
        <v>0</v>
      </c>
      <c r="K433" s="1254"/>
      <c r="L433" s="1253"/>
      <c r="M433" s="1253"/>
      <c r="N433" s="773" t="str">
        <f t="shared" si="41"/>
        <v/>
      </c>
      <c r="O433" s="774" t="str">
        <f>IF('Set up ~ Config'!$G$32=6,IF(OR($N433=7,$N433=8,$N433=9),1,IF(OR($N433=10,$N433=11,$N433=12),2,IF(OR($N433=1,$N433=2,$N433=3),3,IF(OR($N433=4,$N433=5,$N433=6),4,"")))),IF(OR($N433=9,$N433=10,$N433=11),1,IF(OR($N433=12,$N433=1,$N433=2),2,IF(OR($N433=3,$N433=4,$N433=5),3,IF(OR($N433=6,$N433=7,$N433=8),4,"")))))</f>
        <v/>
      </c>
      <c r="P433" s="40"/>
      <c r="Q433" s="67"/>
      <c r="R433" s="68"/>
      <c r="S433" s="755">
        <f t="shared" si="38"/>
        <v>0</v>
      </c>
      <c r="T433" s="68"/>
      <c r="U433" s="68"/>
      <c r="V433" s="68"/>
      <c r="W433" s="68"/>
      <c r="X433" s="68"/>
      <c r="Y433" s="68"/>
      <c r="Z433" s="68"/>
      <c r="AA433" s="68"/>
      <c r="AB433" s="69"/>
      <c r="AC433" s="70"/>
      <c r="AD433" s="71"/>
      <c r="AE433" s="68"/>
      <c r="AF433" s="68"/>
      <c r="AG433" s="68"/>
      <c r="AH433" s="68"/>
      <c r="AI433" s="69"/>
      <c r="AJ433" s="69"/>
      <c r="AK433" s="68"/>
      <c r="AL433" s="77"/>
      <c r="AM433" s="71"/>
      <c r="AN433" s="68"/>
      <c r="AO433" s="68"/>
      <c r="AP433" s="68"/>
      <c r="AQ433" s="68"/>
      <c r="AR433" s="68"/>
      <c r="AS433" s="68"/>
      <c r="AT433" s="68"/>
      <c r="AU433" s="70"/>
      <c r="AV433" s="72"/>
      <c r="AW433" s="69"/>
      <c r="AX433" s="69"/>
      <c r="AY433" s="69"/>
      <c r="AZ433" s="69"/>
      <c r="BA433" s="69"/>
      <c r="BB433" s="69"/>
      <c r="BC433" s="69"/>
      <c r="BD433" s="70"/>
      <c r="BE433" s="71"/>
      <c r="BF433" s="68"/>
      <c r="BG433" s="68"/>
      <c r="BH433" s="70"/>
      <c r="BI433" s="67"/>
      <c r="BJ433" s="68"/>
      <c r="BK433" s="70"/>
      <c r="BL433" s="71"/>
      <c r="BM433" s="68"/>
      <c r="BN433" s="69"/>
      <c r="BO433" s="78"/>
      <c r="BP433" s="37">
        <f t="shared" si="39"/>
        <v>0</v>
      </c>
    </row>
    <row r="434" spans="1:68" ht="25.5" customHeight="1" thickTop="1" thickBot="1" x14ac:dyDescent="0.2">
      <c r="A434" s="17">
        <f t="shared" si="40"/>
        <v>419</v>
      </c>
      <c r="B434" s="1044"/>
      <c r="C434" s="1045"/>
      <c r="D434" s="38"/>
      <c r="E434" s="954"/>
      <c r="F434" s="53"/>
      <c r="G434" s="39"/>
      <c r="H434" s="1050"/>
      <c r="I434" s="684" t="str">
        <f t="shared" si="36"/>
        <v/>
      </c>
      <c r="J434" s="754">
        <f t="shared" si="37"/>
        <v>0</v>
      </c>
      <c r="K434" s="1254"/>
      <c r="L434" s="1253"/>
      <c r="M434" s="1253"/>
      <c r="N434" s="773" t="str">
        <f t="shared" si="41"/>
        <v/>
      </c>
      <c r="O434" s="774" t="str">
        <f>IF('Set up ~ Config'!$G$32=6,IF(OR($N434=7,$N434=8,$N434=9),1,IF(OR($N434=10,$N434=11,$N434=12),2,IF(OR($N434=1,$N434=2,$N434=3),3,IF(OR($N434=4,$N434=5,$N434=6),4,"")))),IF(OR($N434=9,$N434=10,$N434=11),1,IF(OR($N434=12,$N434=1,$N434=2),2,IF(OR($N434=3,$N434=4,$N434=5),3,IF(OR($N434=6,$N434=7,$N434=8),4,"")))))</f>
        <v/>
      </c>
      <c r="P434" s="40"/>
      <c r="Q434" s="67"/>
      <c r="R434" s="68"/>
      <c r="S434" s="755">
        <f t="shared" si="38"/>
        <v>0</v>
      </c>
      <c r="T434" s="68"/>
      <c r="U434" s="68"/>
      <c r="V434" s="68"/>
      <c r="W434" s="68"/>
      <c r="X434" s="68"/>
      <c r="Y434" s="68"/>
      <c r="Z434" s="68"/>
      <c r="AA434" s="68"/>
      <c r="AB434" s="69"/>
      <c r="AC434" s="70"/>
      <c r="AD434" s="71"/>
      <c r="AE434" s="68"/>
      <c r="AF434" s="68"/>
      <c r="AG434" s="68"/>
      <c r="AH434" s="68"/>
      <c r="AI434" s="69"/>
      <c r="AJ434" s="69"/>
      <c r="AK434" s="68"/>
      <c r="AL434" s="77"/>
      <c r="AM434" s="71"/>
      <c r="AN434" s="68"/>
      <c r="AO434" s="68"/>
      <c r="AP434" s="68"/>
      <c r="AQ434" s="68"/>
      <c r="AR434" s="68"/>
      <c r="AS434" s="68"/>
      <c r="AT434" s="68"/>
      <c r="AU434" s="70"/>
      <c r="AV434" s="72"/>
      <c r="AW434" s="69"/>
      <c r="AX434" s="69"/>
      <c r="AY434" s="69"/>
      <c r="AZ434" s="69"/>
      <c r="BA434" s="69"/>
      <c r="BB434" s="69"/>
      <c r="BC434" s="69"/>
      <c r="BD434" s="70"/>
      <c r="BE434" s="71"/>
      <c r="BF434" s="68"/>
      <c r="BG434" s="68"/>
      <c r="BH434" s="70"/>
      <c r="BI434" s="67"/>
      <c r="BJ434" s="68"/>
      <c r="BK434" s="70"/>
      <c r="BL434" s="71"/>
      <c r="BM434" s="68"/>
      <c r="BN434" s="69"/>
      <c r="BO434" s="78"/>
      <c r="BP434" s="37">
        <f t="shared" si="39"/>
        <v>0</v>
      </c>
    </row>
    <row r="435" spans="1:68" ht="25.5" customHeight="1" thickTop="1" thickBot="1" x14ac:dyDescent="0.2">
      <c r="A435" s="17">
        <f t="shared" si="40"/>
        <v>420</v>
      </c>
      <c r="B435" s="1044"/>
      <c r="C435" s="1045"/>
      <c r="D435" s="38"/>
      <c r="E435" s="954"/>
      <c r="F435" s="53"/>
      <c r="G435" s="39"/>
      <c r="H435" s="1050"/>
      <c r="I435" s="684" t="str">
        <f t="shared" si="36"/>
        <v/>
      </c>
      <c r="J435" s="754">
        <f t="shared" si="37"/>
        <v>0</v>
      </c>
      <c r="K435" s="1254"/>
      <c r="L435" s="1253"/>
      <c r="M435" s="1253"/>
      <c r="N435" s="773" t="str">
        <f t="shared" si="41"/>
        <v/>
      </c>
      <c r="O435" s="774" t="str">
        <f>IF('Set up ~ Config'!$G$32=6,IF(OR($N435=7,$N435=8,$N435=9),1,IF(OR($N435=10,$N435=11,$N435=12),2,IF(OR($N435=1,$N435=2,$N435=3),3,IF(OR($N435=4,$N435=5,$N435=6),4,"")))),IF(OR($N435=9,$N435=10,$N435=11),1,IF(OR($N435=12,$N435=1,$N435=2),2,IF(OR($N435=3,$N435=4,$N435=5),3,IF(OR($N435=6,$N435=7,$N435=8),4,"")))))</f>
        <v/>
      </c>
      <c r="P435" s="40"/>
      <c r="Q435" s="67"/>
      <c r="R435" s="68"/>
      <c r="S435" s="755">
        <f t="shared" si="38"/>
        <v>0</v>
      </c>
      <c r="T435" s="68"/>
      <c r="U435" s="68"/>
      <c r="V435" s="68"/>
      <c r="W435" s="68"/>
      <c r="X435" s="68"/>
      <c r="Y435" s="68"/>
      <c r="Z435" s="68"/>
      <c r="AA435" s="68"/>
      <c r="AB435" s="69"/>
      <c r="AC435" s="70"/>
      <c r="AD435" s="71"/>
      <c r="AE435" s="68"/>
      <c r="AF435" s="68"/>
      <c r="AG435" s="68"/>
      <c r="AH435" s="68"/>
      <c r="AI435" s="69"/>
      <c r="AJ435" s="69"/>
      <c r="AK435" s="68"/>
      <c r="AL435" s="77"/>
      <c r="AM435" s="71"/>
      <c r="AN435" s="68"/>
      <c r="AO435" s="68"/>
      <c r="AP435" s="68"/>
      <c r="AQ435" s="68"/>
      <c r="AR435" s="68"/>
      <c r="AS435" s="68"/>
      <c r="AT435" s="68"/>
      <c r="AU435" s="70"/>
      <c r="AV435" s="72"/>
      <c r="AW435" s="69"/>
      <c r="AX435" s="69"/>
      <c r="AY435" s="69"/>
      <c r="AZ435" s="69"/>
      <c r="BA435" s="69"/>
      <c r="BB435" s="69"/>
      <c r="BC435" s="69"/>
      <c r="BD435" s="70"/>
      <c r="BE435" s="71"/>
      <c r="BF435" s="68"/>
      <c r="BG435" s="68"/>
      <c r="BH435" s="70"/>
      <c r="BI435" s="67"/>
      <c r="BJ435" s="68"/>
      <c r="BK435" s="70"/>
      <c r="BL435" s="71"/>
      <c r="BM435" s="68"/>
      <c r="BN435" s="69"/>
      <c r="BO435" s="78"/>
      <c r="BP435" s="37">
        <f t="shared" si="39"/>
        <v>0</v>
      </c>
    </row>
    <row r="436" spans="1:68" ht="25.5" customHeight="1" thickTop="1" thickBot="1" x14ac:dyDescent="0.2">
      <c r="A436" s="17">
        <f t="shared" si="40"/>
        <v>421</v>
      </c>
      <c r="B436" s="1044"/>
      <c r="C436" s="1045"/>
      <c r="D436" s="38"/>
      <c r="E436" s="954"/>
      <c r="F436" s="53"/>
      <c r="G436" s="39"/>
      <c r="H436" s="1050"/>
      <c r="I436" s="684" t="str">
        <f t="shared" si="36"/>
        <v/>
      </c>
      <c r="J436" s="754">
        <f t="shared" si="37"/>
        <v>0</v>
      </c>
      <c r="K436" s="1254"/>
      <c r="L436" s="1253"/>
      <c r="M436" s="1253"/>
      <c r="N436" s="773" t="str">
        <f t="shared" si="41"/>
        <v/>
      </c>
      <c r="O436" s="774" t="str">
        <f>IF('Set up ~ Config'!$G$32=6,IF(OR($N436=7,$N436=8,$N436=9),1,IF(OR($N436=10,$N436=11,$N436=12),2,IF(OR($N436=1,$N436=2,$N436=3),3,IF(OR($N436=4,$N436=5,$N436=6),4,"")))),IF(OR($N436=9,$N436=10,$N436=11),1,IF(OR($N436=12,$N436=1,$N436=2),2,IF(OR($N436=3,$N436=4,$N436=5),3,IF(OR($N436=6,$N436=7,$N436=8),4,"")))))</f>
        <v/>
      </c>
      <c r="P436" s="40"/>
      <c r="Q436" s="67"/>
      <c r="R436" s="68"/>
      <c r="S436" s="755">
        <f t="shared" si="38"/>
        <v>0</v>
      </c>
      <c r="T436" s="68"/>
      <c r="U436" s="68"/>
      <c r="V436" s="68"/>
      <c r="W436" s="68"/>
      <c r="X436" s="68"/>
      <c r="Y436" s="68"/>
      <c r="Z436" s="68"/>
      <c r="AA436" s="68"/>
      <c r="AB436" s="69"/>
      <c r="AC436" s="70"/>
      <c r="AD436" s="71"/>
      <c r="AE436" s="68"/>
      <c r="AF436" s="68"/>
      <c r="AG436" s="68"/>
      <c r="AH436" s="68"/>
      <c r="AI436" s="69"/>
      <c r="AJ436" s="69"/>
      <c r="AK436" s="68"/>
      <c r="AL436" s="77"/>
      <c r="AM436" s="71"/>
      <c r="AN436" s="68"/>
      <c r="AO436" s="68"/>
      <c r="AP436" s="68"/>
      <c r="AQ436" s="68"/>
      <c r="AR436" s="68"/>
      <c r="AS436" s="68"/>
      <c r="AT436" s="68"/>
      <c r="AU436" s="70"/>
      <c r="AV436" s="72"/>
      <c r="AW436" s="69"/>
      <c r="AX436" s="69"/>
      <c r="AY436" s="69"/>
      <c r="AZ436" s="69"/>
      <c r="BA436" s="69"/>
      <c r="BB436" s="69"/>
      <c r="BC436" s="69"/>
      <c r="BD436" s="70"/>
      <c r="BE436" s="71"/>
      <c r="BF436" s="68"/>
      <c r="BG436" s="68"/>
      <c r="BH436" s="70"/>
      <c r="BI436" s="67"/>
      <c r="BJ436" s="68"/>
      <c r="BK436" s="70"/>
      <c r="BL436" s="71"/>
      <c r="BM436" s="68"/>
      <c r="BN436" s="69"/>
      <c r="BO436" s="78"/>
      <c r="BP436" s="37">
        <f t="shared" si="39"/>
        <v>0</v>
      </c>
    </row>
    <row r="437" spans="1:68" ht="25.5" customHeight="1" thickTop="1" thickBot="1" x14ac:dyDescent="0.2">
      <c r="A437" s="17">
        <f t="shared" si="40"/>
        <v>422</v>
      </c>
      <c r="B437" s="1044"/>
      <c r="C437" s="1045"/>
      <c r="D437" s="38"/>
      <c r="E437" s="954"/>
      <c r="F437" s="53"/>
      <c r="G437" s="39"/>
      <c r="H437" s="1050"/>
      <c r="I437" s="684" t="str">
        <f t="shared" si="36"/>
        <v/>
      </c>
      <c r="J437" s="754">
        <f t="shared" si="37"/>
        <v>0</v>
      </c>
      <c r="K437" s="1254"/>
      <c r="L437" s="1253"/>
      <c r="M437" s="1253"/>
      <c r="N437" s="773" t="str">
        <f t="shared" si="41"/>
        <v/>
      </c>
      <c r="O437" s="774" t="str">
        <f>IF('Set up ~ Config'!$G$32=6,IF(OR($N437=7,$N437=8,$N437=9),1,IF(OR($N437=10,$N437=11,$N437=12),2,IF(OR($N437=1,$N437=2,$N437=3),3,IF(OR($N437=4,$N437=5,$N437=6),4,"")))),IF(OR($N437=9,$N437=10,$N437=11),1,IF(OR($N437=12,$N437=1,$N437=2),2,IF(OR($N437=3,$N437=4,$N437=5),3,IF(OR($N437=6,$N437=7,$N437=8),4,"")))))</f>
        <v/>
      </c>
      <c r="P437" s="40"/>
      <c r="Q437" s="67"/>
      <c r="R437" s="68"/>
      <c r="S437" s="755">
        <f t="shared" si="38"/>
        <v>0</v>
      </c>
      <c r="T437" s="68"/>
      <c r="U437" s="68"/>
      <c r="V437" s="68"/>
      <c r="W437" s="68"/>
      <c r="X437" s="68"/>
      <c r="Y437" s="68"/>
      <c r="Z437" s="68"/>
      <c r="AA437" s="68"/>
      <c r="AB437" s="69"/>
      <c r="AC437" s="70"/>
      <c r="AD437" s="71"/>
      <c r="AE437" s="68"/>
      <c r="AF437" s="68"/>
      <c r="AG437" s="68"/>
      <c r="AH437" s="68"/>
      <c r="AI437" s="69"/>
      <c r="AJ437" s="69"/>
      <c r="AK437" s="68"/>
      <c r="AL437" s="77"/>
      <c r="AM437" s="71"/>
      <c r="AN437" s="68"/>
      <c r="AO437" s="68"/>
      <c r="AP437" s="68"/>
      <c r="AQ437" s="68"/>
      <c r="AR437" s="68"/>
      <c r="AS437" s="68"/>
      <c r="AT437" s="68"/>
      <c r="AU437" s="70"/>
      <c r="AV437" s="72"/>
      <c r="AW437" s="69"/>
      <c r="AX437" s="69"/>
      <c r="AY437" s="69"/>
      <c r="AZ437" s="69"/>
      <c r="BA437" s="69"/>
      <c r="BB437" s="69"/>
      <c r="BC437" s="69"/>
      <c r="BD437" s="70"/>
      <c r="BE437" s="71"/>
      <c r="BF437" s="68"/>
      <c r="BG437" s="68"/>
      <c r="BH437" s="70"/>
      <c r="BI437" s="67"/>
      <c r="BJ437" s="68"/>
      <c r="BK437" s="70"/>
      <c r="BL437" s="71"/>
      <c r="BM437" s="68"/>
      <c r="BN437" s="69"/>
      <c r="BO437" s="78"/>
      <c r="BP437" s="37">
        <f t="shared" si="39"/>
        <v>0</v>
      </c>
    </row>
    <row r="438" spans="1:68" ht="25.5" customHeight="1" thickTop="1" thickBot="1" x14ac:dyDescent="0.2">
      <c r="A438" s="17">
        <f t="shared" si="40"/>
        <v>423</v>
      </c>
      <c r="B438" s="1044"/>
      <c r="C438" s="1045"/>
      <c r="D438" s="38"/>
      <c r="E438" s="954"/>
      <c r="F438" s="53"/>
      <c r="G438" s="39"/>
      <c r="H438" s="1050"/>
      <c r="I438" s="684" t="str">
        <f t="shared" si="36"/>
        <v/>
      </c>
      <c r="J438" s="754">
        <f t="shared" si="37"/>
        <v>0</v>
      </c>
      <c r="K438" s="1254"/>
      <c r="L438" s="1253"/>
      <c r="M438" s="1253"/>
      <c r="N438" s="773" t="str">
        <f t="shared" si="41"/>
        <v/>
      </c>
      <c r="O438" s="774" t="str">
        <f>IF('Set up ~ Config'!$G$32=6,IF(OR($N438=7,$N438=8,$N438=9),1,IF(OR($N438=10,$N438=11,$N438=12),2,IF(OR($N438=1,$N438=2,$N438=3),3,IF(OR($N438=4,$N438=5,$N438=6),4,"")))),IF(OR($N438=9,$N438=10,$N438=11),1,IF(OR($N438=12,$N438=1,$N438=2),2,IF(OR($N438=3,$N438=4,$N438=5),3,IF(OR($N438=6,$N438=7,$N438=8),4,"")))))</f>
        <v/>
      </c>
      <c r="P438" s="40"/>
      <c r="Q438" s="67"/>
      <c r="R438" s="68"/>
      <c r="S438" s="755">
        <f t="shared" si="38"/>
        <v>0</v>
      </c>
      <c r="T438" s="68"/>
      <c r="U438" s="68"/>
      <c r="V438" s="68"/>
      <c r="W438" s="68"/>
      <c r="X438" s="68"/>
      <c r="Y438" s="68"/>
      <c r="Z438" s="68"/>
      <c r="AA438" s="68"/>
      <c r="AB438" s="69"/>
      <c r="AC438" s="70"/>
      <c r="AD438" s="71"/>
      <c r="AE438" s="68"/>
      <c r="AF438" s="68"/>
      <c r="AG438" s="68"/>
      <c r="AH438" s="68"/>
      <c r="AI438" s="69"/>
      <c r="AJ438" s="69"/>
      <c r="AK438" s="68"/>
      <c r="AL438" s="77"/>
      <c r="AM438" s="71"/>
      <c r="AN438" s="68"/>
      <c r="AO438" s="68"/>
      <c r="AP438" s="68"/>
      <c r="AQ438" s="68"/>
      <c r="AR438" s="68"/>
      <c r="AS438" s="68"/>
      <c r="AT438" s="68"/>
      <c r="AU438" s="70"/>
      <c r="AV438" s="72"/>
      <c r="AW438" s="69"/>
      <c r="AX438" s="69"/>
      <c r="AY438" s="69"/>
      <c r="AZ438" s="69"/>
      <c r="BA438" s="69"/>
      <c r="BB438" s="69"/>
      <c r="BC438" s="69"/>
      <c r="BD438" s="70"/>
      <c r="BE438" s="71"/>
      <c r="BF438" s="68"/>
      <c r="BG438" s="68"/>
      <c r="BH438" s="70"/>
      <c r="BI438" s="67"/>
      <c r="BJ438" s="68"/>
      <c r="BK438" s="70"/>
      <c r="BL438" s="71"/>
      <c r="BM438" s="68"/>
      <c r="BN438" s="69"/>
      <c r="BO438" s="78"/>
      <c r="BP438" s="37">
        <f t="shared" si="39"/>
        <v>0</v>
      </c>
    </row>
    <row r="439" spans="1:68" ht="25.5" customHeight="1" thickTop="1" thickBot="1" x14ac:dyDescent="0.2">
      <c r="A439" s="17">
        <f t="shared" si="40"/>
        <v>424</v>
      </c>
      <c r="B439" s="1044"/>
      <c r="C439" s="1045"/>
      <c r="D439" s="38"/>
      <c r="E439" s="954"/>
      <c r="F439" s="53"/>
      <c r="G439" s="39"/>
      <c r="H439" s="1050"/>
      <c r="I439" s="684" t="str">
        <f t="shared" si="36"/>
        <v/>
      </c>
      <c r="J439" s="754">
        <f t="shared" si="37"/>
        <v>0</v>
      </c>
      <c r="K439" s="1254"/>
      <c r="L439" s="1253"/>
      <c r="M439" s="1253"/>
      <c r="N439" s="773" t="str">
        <f t="shared" si="41"/>
        <v/>
      </c>
      <c r="O439" s="774" t="str">
        <f>IF('Set up ~ Config'!$G$32=6,IF(OR($N439=7,$N439=8,$N439=9),1,IF(OR($N439=10,$N439=11,$N439=12),2,IF(OR($N439=1,$N439=2,$N439=3),3,IF(OR($N439=4,$N439=5,$N439=6),4,"")))),IF(OR($N439=9,$N439=10,$N439=11),1,IF(OR($N439=12,$N439=1,$N439=2),2,IF(OR($N439=3,$N439=4,$N439=5),3,IF(OR($N439=6,$N439=7,$N439=8),4,"")))))</f>
        <v/>
      </c>
      <c r="P439" s="40"/>
      <c r="Q439" s="67"/>
      <c r="R439" s="68"/>
      <c r="S439" s="755">
        <f t="shared" si="38"/>
        <v>0</v>
      </c>
      <c r="T439" s="68"/>
      <c r="U439" s="68"/>
      <c r="V439" s="68"/>
      <c r="W439" s="68"/>
      <c r="X439" s="68"/>
      <c r="Y439" s="68"/>
      <c r="Z439" s="68"/>
      <c r="AA439" s="68"/>
      <c r="AB439" s="69"/>
      <c r="AC439" s="70"/>
      <c r="AD439" s="71"/>
      <c r="AE439" s="68"/>
      <c r="AF439" s="68"/>
      <c r="AG439" s="68"/>
      <c r="AH439" s="68"/>
      <c r="AI439" s="69"/>
      <c r="AJ439" s="69"/>
      <c r="AK439" s="68"/>
      <c r="AL439" s="77"/>
      <c r="AM439" s="71"/>
      <c r="AN439" s="68"/>
      <c r="AO439" s="68"/>
      <c r="AP439" s="68"/>
      <c r="AQ439" s="68"/>
      <c r="AR439" s="68"/>
      <c r="AS439" s="68"/>
      <c r="AT439" s="68"/>
      <c r="AU439" s="70"/>
      <c r="AV439" s="72"/>
      <c r="AW439" s="69"/>
      <c r="AX439" s="69"/>
      <c r="AY439" s="69"/>
      <c r="AZ439" s="69"/>
      <c r="BA439" s="69"/>
      <c r="BB439" s="69"/>
      <c r="BC439" s="69"/>
      <c r="BD439" s="70"/>
      <c r="BE439" s="71"/>
      <c r="BF439" s="68"/>
      <c r="BG439" s="68"/>
      <c r="BH439" s="70"/>
      <c r="BI439" s="67"/>
      <c r="BJ439" s="68"/>
      <c r="BK439" s="70"/>
      <c r="BL439" s="71"/>
      <c r="BM439" s="68"/>
      <c r="BN439" s="69"/>
      <c r="BO439" s="78"/>
      <c r="BP439" s="37">
        <f t="shared" si="39"/>
        <v>0</v>
      </c>
    </row>
    <row r="440" spans="1:68" ht="25.5" customHeight="1" thickTop="1" thickBot="1" x14ac:dyDescent="0.2">
      <c r="A440" s="17">
        <f t="shared" si="40"/>
        <v>425</v>
      </c>
      <c r="B440" s="1044"/>
      <c r="C440" s="1045"/>
      <c r="D440" s="38"/>
      <c r="E440" s="954"/>
      <c r="F440" s="53"/>
      <c r="G440" s="39"/>
      <c r="H440" s="1050"/>
      <c r="I440" s="684" t="str">
        <f t="shared" si="36"/>
        <v/>
      </c>
      <c r="J440" s="754">
        <f t="shared" si="37"/>
        <v>0</v>
      </c>
      <c r="K440" s="1254"/>
      <c r="L440" s="1253"/>
      <c r="M440" s="1253"/>
      <c r="N440" s="773" t="str">
        <f t="shared" si="41"/>
        <v/>
      </c>
      <c r="O440" s="774" t="str">
        <f>IF('Set up ~ Config'!$G$32=6,IF(OR($N440=7,$N440=8,$N440=9),1,IF(OR($N440=10,$N440=11,$N440=12),2,IF(OR($N440=1,$N440=2,$N440=3),3,IF(OR($N440=4,$N440=5,$N440=6),4,"")))),IF(OR($N440=9,$N440=10,$N440=11),1,IF(OR($N440=12,$N440=1,$N440=2),2,IF(OR($N440=3,$N440=4,$N440=5),3,IF(OR($N440=6,$N440=7,$N440=8),4,"")))))</f>
        <v/>
      </c>
      <c r="P440" s="40"/>
      <c r="Q440" s="67"/>
      <c r="R440" s="68"/>
      <c r="S440" s="755">
        <f t="shared" si="38"/>
        <v>0</v>
      </c>
      <c r="T440" s="68"/>
      <c r="U440" s="68"/>
      <c r="V440" s="68"/>
      <c r="W440" s="68"/>
      <c r="X440" s="68"/>
      <c r="Y440" s="68"/>
      <c r="Z440" s="68"/>
      <c r="AA440" s="68"/>
      <c r="AB440" s="69"/>
      <c r="AC440" s="70"/>
      <c r="AD440" s="71"/>
      <c r="AE440" s="68"/>
      <c r="AF440" s="68"/>
      <c r="AG440" s="68"/>
      <c r="AH440" s="68"/>
      <c r="AI440" s="69"/>
      <c r="AJ440" s="69"/>
      <c r="AK440" s="68"/>
      <c r="AL440" s="77"/>
      <c r="AM440" s="71"/>
      <c r="AN440" s="68"/>
      <c r="AO440" s="68"/>
      <c r="AP440" s="68"/>
      <c r="AQ440" s="68"/>
      <c r="AR440" s="68"/>
      <c r="AS440" s="68"/>
      <c r="AT440" s="68"/>
      <c r="AU440" s="70"/>
      <c r="AV440" s="72"/>
      <c r="AW440" s="69"/>
      <c r="AX440" s="69"/>
      <c r="AY440" s="69"/>
      <c r="AZ440" s="69"/>
      <c r="BA440" s="69"/>
      <c r="BB440" s="69"/>
      <c r="BC440" s="69"/>
      <c r="BD440" s="70"/>
      <c r="BE440" s="71"/>
      <c r="BF440" s="68"/>
      <c r="BG440" s="68"/>
      <c r="BH440" s="70"/>
      <c r="BI440" s="67"/>
      <c r="BJ440" s="68"/>
      <c r="BK440" s="70"/>
      <c r="BL440" s="71"/>
      <c r="BM440" s="68"/>
      <c r="BN440" s="69"/>
      <c r="BO440" s="78"/>
      <c r="BP440" s="37">
        <f t="shared" si="39"/>
        <v>0</v>
      </c>
    </row>
    <row r="441" spans="1:68" ht="25.5" customHeight="1" thickTop="1" thickBot="1" x14ac:dyDescent="0.2">
      <c r="A441" s="17">
        <f t="shared" si="40"/>
        <v>426</v>
      </c>
      <c r="B441" s="1044"/>
      <c r="C441" s="1045"/>
      <c r="D441" s="38"/>
      <c r="E441" s="954"/>
      <c r="F441" s="53"/>
      <c r="G441" s="39"/>
      <c r="H441" s="1050"/>
      <c r="I441" s="684" t="str">
        <f t="shared" si="36"/>
        <v/>
      </c>
      <c r="J441" s="754">
        <f t="shared" si="37"/>
        <v>0</v>
      </c>
      <c r="K441" s="1254"/>
      <c r="L441" s="1253"/>
      <c r="M441" s="1253"/>
      <c r="N441" s="773" t="str">
        <f t="shared" si="41"/>
        <v/>
      </c>
      <c r="O441" s="774" t="str">
        <f>IF('Set up ~ Config'!$G$32=6,IF(OR($N441=7,$N441=8,$N441=9),1,IF(OR($N441=10,$N441=11,$N441=12),2,IF(OR($N441=1,$N441=2,$N441=3),3,IF(OR($N441=4,$N441=5,$N441=6),4,"")))),IF(OR($N441=9,$N441=10,$N441=11),1,IF(OR($N441=12,$N441=1,$N441=2),2,IF(OR($N441=3,$N441=4,$N441=5),3,IF(OR($N441=6,$N441=7,$N441=8),4,"")))))</f>
        <v/>
      </c>
      <c r="P441" s="40"/>
      <c r="Q441" s="67"/>
      <c r="R441" s="68"/>
      <c r="S441" s="755">
        <f t="shared" si="38"/>
        <v>0</v>
      </c>
      <c r="T441" s="68"/>
      <c r="U441" s="68"/>
      <c r="V441" s="68"/>
      <c r="W441" s="68"/>
      <c r="X441" s="68"/>
      <c r="Y441" s="68"/>
      <c r="Z441" s="68"/>
      <c r="AA441" s="68"/>
      <c r="AB441" s="69"/>
      <c r="AC441" s="70"/>
      <c r="AD441" s="71"/>
      <c r="AE441" s="68"/>
      <c r="AF441" s="68"/>
      <c r="AG441" s="68"/>
      <c r="AH441" s="68"/>
      <c r="AI441" s="69"/>
      <c r="AJ441" s="69"/>
      <c r="AK441" s="68"/>
      <c r="AL441" s="77"/>
      <c r="AM441" s="71"/>
      <c r="AN441" s="68"/>
      <c r="AO441" s="68"/>
      <c r="AP441" s="68"/>
      <c r="AQ441" s="68"/>
      <c r="AR441" s="68"/>
      <c r="AS441" s="68"/>
      <c r="AT441" s="68"/>
      <c r="AU441" s="70"/>
      <c r="AV441" s="72"/>
      <c r="AW441" s="69"/>
      <c r="AX441" s="69"/>
      <c r="AY441" s="69"/>
      <c r="AZ441" s="69"/>
      <c r="BA441" s="69"/>
      <c r="BB441" s="69"/>
      <c r="BC441" s="69"/>
      <c r="BD441" s="70"/>
      <c r="BE441" s="71"/>
      <c r="BF441" s="68"/>
      <c r="BG441" s="68"/>
      <c r="BH441" s="70"/>
      <c r="BI441" s="67"/>
      <c r="BJ441" s="68"/>
      <c r="BK441" s="70"/>
      <c r="BL441" s="71"/>
      <c r="BM441" s="68"/>
      <c r="BN441" s="69"/>
      <c r="BO441" s="78"/>
      <c r="BP441" s="37">
        <f t="shared" si="39"/>
        <v>0</v>
      </c>
    </row>
    <row r="442" spans="1:68" ht="25.5" customHeight="1" thickTop="1" thickBot="1" x14ac:dyDescent="0.2">
      <c r="A442" s="17">
        <f t="shared" si="40"/>
        <v>427</v>
      </c>
      <c r="B442" s="1044"/>
      <c r="C442" s="1045"/>
      <c r="D442" s="38"/>
      <c r="E442" s="954"/>
      <c r="F442" s="53"/>
      <c r="G442" s="39"/>
      <c r="H442" s="1050"/>
      <c r="I442" s="684" t="str">
        <f t="shared" si="36"/>
        <v/>
      </c>
      <c r="J442" s="754">
        <f t="shared" si="37"/>
        <v>0</v>
      </c>
      <c r="K442" s="1254"/>
      <c r="L442" s="1253"/>
      <c r="M442" s="1253"/>
      <c r="N442" s="773" t="str">
        <f t="shared" si="41"/>
        <v/>
      </c>
      <c r="O442" s="774" t="str">
        <f>IF('Set up ~ Config'!$G$32=6,IF(OR($N442=7,$N442=8,$N442=9),1,IF(OR($N442=10,$N442=11,$N442=12),2,IF(OR($N442=1,$N442=2,$N442=3),3,IF(OR($N442=4,$N442=5,$N442=6),4,"")))),IF(OR($N442=9,$N442=10,$N442=11),1,IF(OR($N442=12,$N442=1,$N442=2),2,IF(OR($N442=3,$N442=4,$N442=5),3,IF(OR($N442=6,$N442=7,$N442=8),4,"")))))</f>
        <v/>
      </c>
      <c r="P442" s="40"/>
      <c r="Q442" s="67"/>
      <c r="R442" s="68"/>
      <c r="S442" s="755">
        <f t="shared" si="38"/>
        <v>0</v>
      </c>
      <c r="T442" s="68"/>
      <c r="U442" s="68"/>
      <c r="V442" s="68"/>
      <c r="W442" s="68"/>
      <c r="X442" s="68"/>
      <c r="Y442" s="68"/>
      <c r="Z442" s="68"/>
      <c r="AA442" s="68"/>
      <c r="AB442" s="69"/>
      <c r="AC442" s="70"/>
      <c r="AD442" s="71"/>
      <c r="AE442" s="68"/>
      <c r="AF442" s="68"/>
      <c r="AG442" s="68"/>
      <c r="AH442" s="68"/>
      <c r="AI442" s="69"/>
      <c r="AJ442" s="69"/>
      <c r="AK442" s="68"/>
      <c r="AL442" s="77"/>
      <c r="AM442" s="71"/>
      <c r="AN442" s="68"/>
      <c r="AO442" s="68"/>
      <c r="AP442" s="68"/>
      <c r="AQ442" s="68"/>
      <c r="AR442" s="68"/>
      <c r="AS442" s="68"/>
      <c r="AT442" s="68"/>
      <c r="AU442" s="70"/>
      <c r="AV442" s="72"/>
      <c r="AW442" s="69"/>
      <c r="AX442" s="69"/>
      <c r="AY442" s="69"/>
      <c r="AZ442" s="69"/>
      <c r="BA442" s="69"/>
      <c r="BB442" s="69"/>
      <c r="BC442" s="69"/>
      <c r="BD442" s="70"/>
      <c r="BE442" s="71"/>
      <c r="BF442" s="68"/>
      <c r="BG442" s="68"/>
      <c r="BH442" s="70"/>
      <c r="BI442" s="67"/>
      <c r="BJ442" s="68"/>
      <c r="BK442" s="70"/>
      <c r="BL442" s="71"/>
      <c r="BM442" s="68"/>
      <c r="BN442" s="69"/>
      <c r="BO442" s="78"/>
      <c r="BP442" s="37">
        <f t="shared" si="39"/>
        <v>0</v>
      </c>
    </row>
    <row r="443" spans="1:68" ht="25.5" customHeight="1" thickTop="1" thickBot="1" x14ac:dyDescent="0.2">
      <c r="A443" s="17">
        <f t="shared" si="40"/>
        <v>428</v>
      </c>
      <c r="B443" s="1044"/>
      <c r="C443" s="1045"/>
      <c r="D443" s="38"/>
      <c r="E443" s="954"/>
      <c r="F443" s="53"/>
      <c r="G443" s="39"/>
      <c r="H443" s="1050"/>
      <c r="I443" s="684" t="str">
        <f t="shared" si="36"/>
        <v/>
      </c>
      <c r="J443" s="754">
        <f t="shared" si="37"/>
        <v>0</v>
      </c>
      <c r="K443" s="1254"/>
      <c r="L443" s="1253"/>
      <c r="M443" s="1253"/>
      <c r="N443" s="773" t="str">
        <f t="shared" si="41"/>
        <v/>
      </c>
      <c r="O443" s="774" t="str">
        <f>IF('Set up ~ Config'!$G$32=6,IF(OR($N443=7,$N443=8,$N443=9),1,IF(OR($N443=10,$N443=11,$N443=12),2,IF(OR($N443=1,$N443=2,$N443=3),3,IF(OR($N443=4,$N443=5,$N443=6),4,"")))),IF(OR($N443=9,$N443=10,$N443=11),1,IF(OR($N443=12,$N443=1,$N443=2),2,IF(OR($N443=3,$N443=4,$N443=5),3,IF(OR($N443=6,$N443=7,$N443=8),4,"")))))</f>
        <v/>
      </c>
      <c r="P443" s="40"/>
      <c r="Q443" s="67"/>
      <c r="R443" s="68"/>
      <c r="S443" s="755">
        <f t="shared" si="38"/>
        <v>0</v>
      </c>
      <c r="T443" s="68"/>
      <c r="U443" s="68"/>
      <c r="V443" s="68"/>
      <c r="W443" s="68"/>
      <c r="X443" s="68"/>
      <c r="Y443" s="68"/>
      <c r="Z443" s="68"/>
      <c r="AA443" s="68"/>
      <c r="AB443" s="69"/>
      <c r="AC443" s="70"/>
      <c r="AD443" s="71"/>
      <c r="AE443" s="68"/>
      <c r="AF443" s="68"/>
      <c r="AG443" s="68"/>
      <c r="AH443" s="68"/>
      <c r="AI443" s="69"/>
      <c r="AJ443" s="69"/>
      <c r="AK443" s="68"/>
      <c r="AL443" s="77"/>
      <c r="AM443" s="71"/>
      <c r="AN443" s="68"/>
      <c r="AO443" s="68"/>
      <c r="AP443" s="68"/>
      <c r="AQ443" s="68"/>
      <c r="AR443" s="68"/>
      <c r="AS443" s="68"/>
      <c r="AT443" s="68"/>
      <c r="AU443" s="70"/>
      <c r="AV443" s="72"/>
      <c r="AW443" s="69"/>
      <c r="AX443" s="69"/>
      <c r="AY443" s="69"/>
      <c r="AZ443" s="69"/>
      <c r="BA443" s="69"/>
      <c r="BB443" s="69"/>
      <c r="BC443" s="69"/>
      <c r="BD443" s="70"/>
      <c r="BE443" s="71"/>
      <c r="BF443" s="68"/>
      <c r="BG443" s="68"/>
      <c r="BH443" s="70"/>
      <c r="BI443" s="67"/>
      <c r="BJ443" s="68"/>
      <c r="BK443" s="70"/>
      <c r="BL443" s="71"/>
      <c r="BM443" s="68"/>
      <c r="BN443" s="69"/>
      <c r="BO443" s="78"/>
      <c r="BP443" s="37">
        <f t="shared" si="39"/>
        <v>0</v>
      </c>
    </row>
    <row r="444" spans="1:68" ht="25.5" customHeight="1" thickTop="1" thickBot="1" x14ac:dyDescent="0.2">
      <c r="A444" s="17">
        <f t="shared" si="40"/>
        <v>429</v>
      </c>
      <c r="B444" s="1044"/>
      <c r="C444" s="1045"/>
      <c r="D444" s="38"/>
      <c r="E444" s="954"/>
      <c r="F444" s="53"/>
      <c r="G444" s="39"/>
      <c r="H444" s="1050"/>
      <c r="I444" s="684" t="str">
        <f t="shared" si="36"/>
        <v/>
      </c>
      <c r="J444" s="754">
        <f t="shared" si="37"/>
        <v>0</v>
      </c>
      <c r="K444" s="1254"/>
      <c r="L444" s="1253"/>
      <c r="M444" s="1253"/>
      <c r="N444" s="773" t="str">
        <f t="shared" si="41"/>
        <v/>
      </c>
      <c r="O444" s="774" t="str">
        <f>IF('Set up ~ Config'!$G$32=6,IF(OR($N444=7,$N444=8,$N444=9),1,IF(OR($N444=10,$N444=11,$N444=12),2,IF(OR($N444=1,$N444=2,$N444=3),3,IF(OR($N444=4,$N444=5,$N444=6),4,"")))),IF(OR($N444=9,$N444=10,$N444=11),1,IF(OR($N444=12,$N444=1,$N444=2),2,IF(OR($N444=3,$N444=4,$N444=5),3,IF(OR($N444=6,$N444=7,$N444=8),4,"")))))</f>
        <v/>
      </c>
      <c r="P444" s="40"/>
      <c r="Q444" s="67"/>
      <c r="R444" s="68"/>
      <c r="S444" s="755">
        <f t="shared" si="38"/>
        <v>0</v>
      </c>
      <c r="T444" s="68"/>
      <c r="U444" s="68"/>
      <c r="V444" s="68"/>
      <c r="W444" s="68"/>
      <c r="X444" s="68"/>
      <c r="Y444" s="68"/>
      <c r="Z444" s="68"/>
      <c r="AA444" s="68"/>
      <c r="AB444" s="69"/>
      <c r="AC444" s="70"/>
      <c r="AD444" s="71"/>
      <c r="AE444" s="68"/>
      <c r="AF444" s="68"/>
      <c r="AG444" s="68"/>
      <c r="AH444" s="68"/>
      <c r="AI444" s="69"/>
      <c r="AJ444" s="69"/>
      <c r="AK444" s="68"/>
      <c r="AL444" s="77"/>
      <c r="AM444" s="71"/>
      <c r="AN444" s="68"/>
      <c r="AO444" s="68"/>
      <c r="AP444" s="68"/>
      <c r="AQ444" s="68"/>
      <c r="AR444" s="68"/>
      <c r="AS444" s="68"/>
      <c r="AT444" s="68"/>
      <c r="AU444" s="70"/>
      <c r="AV444" s="72"/>
      <c r="AW444" s="69"/>
      <c r="AX444" s="69"/>
      <c r="AY444" s="69"/>
      <c r="AZ444" s="69"/>
      <c r="BA444" s="69"/>
      <c r="BB444" s="69"/>
      <c r="BC444" s="69"/>
      <c r="BD444" s="70"/>
      <c r="BE444" s="71"/>
      <c r="BF444" s="68"/>
      <c r="BG444" s="68"/>
      <c r="BH444" s="70"/>
      <c r="BI444" s="67"/>
      <c r="BJ444" s="68"/>
      <c r="BK444" s="70"/>
      <c r="BL444" s="71"/>
      <c r="BM444" s="68"/>
      <c r="BN444" s="69"/>
      <c r="BO444" s="78"/>
      <c r="BP444" s="37">
        <f t="shared" si="39"/>
        <v>0</v>
      </c>
    </row>
    <row r="445" spans="1:68" ht="25.5" customHeight="1" thickTop="1" thickBot="1" x14ac:dyDescent="0.2">
      <c r="A445" s="17">
        <f t="shared" si="40"/>
        <v>430</v>
      </c>
      <c r="B445" s="1044"/>
      <c r="C445" s="1045"/>
      <c r="D445" s="38"/>
      <c r="E445" s="954"/>
      <c r="F445" s="53"/>
      <c r="G445" s="39"/>
      <c r="H445" s="1050"/>
      <c r="I445" s="684" t="str">
        <f t="shared" si="36"/>
        <v/>
      </c>
      <c r="J445" s="754">
        <f t="shared" si="37"/>
        <v>0</v>
      </c>
      <c r="K445" s="1254"/>
      <c r="L445" s="1253"/>
      <c r="M445" s="1253"/>
      <c r="N445" s="773" t="str">
        <f t="shared" si="41"/>
        <v/>
      </c>
      <c r="O445" s="774" t="str">
        <f>IF('Set up ~ Config'!$G$32=6,IF(OR($N445=7,$N445=8,$N445=9),1,IF(OR($N445=10,$N445=11,$N445=12),2,IF(OR($N445=1,$N445=2,$N445=3),3,IF(OR($N445=4,$N445=5,$N445=6),4,"")))),IF(OR($N445=9,$N445=10,$N445=11),1,IF(OR($N445=12,$N445=1,$N445=2),2,IF(OR($N445=3,$N445=4,$N445=5),3,IF(OR($N445=6,$N445=7,$N445=8),4,"")))))</f>
        <v/>
      </c>
      <c r="P445" s="40"/>
      <c r="Q445" s="67"/>
      <c r="R445" s="68"/>
      <c r="S445" s="755">
        <f t="shared" si="38"/>
        <v>0</v>
      </c>
      <c r="T445" s="68"/>
      <c r="U445" s="68"/>
      <c r="V445" s="68"/>
      <c r="W445" s="68"/>
      <c r="X445" s="68"/>
      <c r="Y445" s="68"/>
      <c r="Z445" s="68"/>
      <c r="AA445" s="68"/>
      <c r="AB445" s="69"/>
      <c r="AC445" s="70"/>
      <c r="AD445" s="71"/>
      <c r="AE445" s="68"/>
      <c r="AF445" s="68"/>
      <c r="AG445" s="68"/>
      <c r="AH445" s="68"/>
      <c r="AI445" s="69"/>
      <c r="AJ445" s="69"/>
      <c r="AK445" s="68"/>
      <c r="AL445" s="77"/>
      <c r="AM445" s="71"/>
      <c r="AN445" s="68"/>
      <c r="AO445" s="68"/>
      <c r="AP445" s="68"/>
      <c r="AQ445" s="68"/>
      <c r="AR445" s="68"/>
      <c r="AS445" s="68"/>
      <c r="AT445" s="68"/>
      <c r="AU445" s="70"/>
      <c r="AV445" s="72"/>
      <c r="AW445" s="69"/>
      <c r="AX445" s="69"/>
      <c r="AY445" s="69"/>
      <c r="AZ445" s="69"/>
      <c r="BA445" s="69"/>
      <c r="BB445" s="69"/>
      <c r="BC445" s="69"/>
      <c r="BD445" s="70"/>
      <c r="BE445" s="71"/>
      <c r="BF445" s="68"/>
      <c r="BG445" s="68"/>
      <c r="BH445" s="70"/>
      <c r="BI445" s="67"/>
      <c r="BJ445" s="68"/>
      <c r="BK445" s="70"/>
      <c r="BL445" s="71"/>
      <c r="BM445" s="68"/>
      <c r="BN445" s="69"/>
      <c r="BO445" s="78"/>
      <c r="BP445" s="37">
        <f t="shared" si="39"/>
        <v>0</v>
      </c>
    </row>
    <row r="446" spans="1:68" ht="25.5" customHeight="1" thickTop="1" thickBot="1" x14ac:dyDescent="0.2">
      <c r="A446" s="17">
        <f t="shared" si="40"/>
        <v>431</v>
      </c>
      <c r="B446" s="1044"/>
      <c r="C446" s="1045"/>
      <c r="D446" s="38"/>
      <c r="E446" s="954"/>
      <c r="F446" s="53"/>
      <c r="G446" s="39"/>
      <c r="H446" s="1050"/>
      <c r="I446" s="684" t="str">
        <f t="shared" si="36"/>
        <v/>
      </c>
      <c r="J446" s="754">
        <f t="shared" si="37"/>
        <v>0</v>
      </c>
      <c r="K446" s="1254"/>
      <c r="L446" s="1253"/>
      <c r="M446" s="1253"/>
      <c r="N446" s="773" t="str">
        <f t="shared" si="41"/>
        <v/>
      </c>
      <c r="O446" s="774" t="str">
        <f>IF('Set up ~ Config'!$G$32=6,IF(OR($N446=7,$N446=8,$N446=9),1,IF(OR($N446=10,$N446=11,$N446=12),2,IF(OR($N446=1,$N446=2,$N446=3),3,IF(OR($N446=4,$N446=5,$N446=6),4,"")))),IF(OR($N446=9,$N446=10,$N446=11),1,IF(OR($N446=12,$N446=1,$N446=2),2,IF(OR($N446=3,$N446=4,$N446=5),3,IF(OR($N446=6,$N446=7,$N446=8),4,"")))))</f>
        <v/>
      </c>
      <c r="P446" s="40"/>
      <c r="Q446" s="67"/>
      <c r="R446" s="68"/>
      <c r="S446" s="755">
        <f t="shared" si="38"/>
        <v>0</v>
      </c>
      <c r="T446" s="68"/>
      <c r="U446" s="68"/>
      <c r="V446" s="68"/>
      <c r="W446" s="68"/>
      <c r="X446" s="68"/>
      <c r="Y446" s="68"/>
      <c r="Z446" s="68"/>
      <c r="AA446" s="68"/>
      <c r="AB446" s="69"/>
      <c r="AC446" s="70"/>
      <c r="AD446" s="71"/>
      <c r="AE446" s="68"/>
      <c r="AF446" s="68"/>
      <c r="AG446" s="68"/>
      <c r="AH446" s="68"/>
      <c r="AI446" s="69"/>
      <c r="AJ446" s="69"/>
      <c r="AK446" s="68"/>
      <c r="AL446" s="77"/>
      <c r="AM446" s="71"/>
      <c r="AN446" s="68"/>
      <c r="AO446" s="68"/>
      <c r="AP446" s="68"/>
      <c r="AQ446" s="68"/>
      <c r="AR446" s="68"/>
      <c r="AS446" s="68"/>
      <c r="AT446" s="68"/>
      <c r="AU446" s="70"/>
      <c r="AV446" s="72"/>
      <c r="AW446" s="69"/>
      <c r="AX446" s="69"/>
      <c r="AY446" s="69"/>
      <c r="AZ446" s="69"/>
      <c r="BA446" s="69"/>
      <c r="BB446" s="69"/>
      <c r="BC446" s="69"/>
      <c r="BD446" s="70"/>
      <c r="BE446" s="71"/>
      <c r="BF446" s="68"/>
      <c r="BG446" s="68"/>
      <c r="BH446" s="70"/>
      <c r="BI446" s="67"/>
      <c r="BJ446" s="68"/>
      <c r="BK446" s="70"/>
      <c r="BL446" s="71"/>
      <c r="BM446" s="68"/>
      <c r="BN446" s="69"/>
      <c r="BO446" s="78"/>
      <c r="BP446" s="37">
        <f t="shared" si="39"/>
        <v>0</v>
      </c>
    </row>
    <row r="447" spans="1:68" ht="25.5" customHeight="1" thickTop="1" thickBot="1" x14ac:dyDescent="0.2">
      <c r="A447" s="17">
        <f t="shared" si="40"/>
        <v>432</v>
      </c>
      <c r="B447" s="1044"/>
      <c r="C447" s="1045"/>
      <c r="D447" s="38"/>
      <c r="E447" s="954"/>
      <c r="F447" s="53"/>
      <c r="G447" s="39"/>
      <c r="H447" s="1050"/>
      <c r="I447" s="684" t="str">
        <f t="shared" si="36"/>
        <v/>
      </c>
      <c r="J447" s="754">
        <f t="shared" si="37"/>
        <v>0</v>
      </c>
      <c r="K447" s="1254"/>
      <c r="L447" s="1253"/>
      <c r="M447" s="1253"/>
      <c r="N447" s="773" t="str">
        <f t="shared" si="41"/>
        <v/>
      </c>
      <c r="O447" s="774" t="str">
        <f>IF('Set up ~ Config'!$G$32=6,IF(OR($N447=7,$N447=8,$N447=9),1,IF(OR($N447=10,$N447=11,$N447=12),2,IF(OR($N447=1,$N447=2,$N447=3),3,IF(OR($N447=4,$N447=5,$N447=6),4,"")))),IF(OR($N447=9,$N447=10,$N447=11),1,IF(OR($N447=12,$N447=1,$N447=2),2,IF(OR($N447=3,$N447=4,$N447=5),3,IF(OR($N447=6,$N447=7,$N447=8),4,"")))))</f>
        <v/>
      </c>
      <c r="P447" s="40"/>
      <c r="Q447" s="67"/>
      <c r="R447" s="68"/>
      <c r="S447" s="755">
        <f t="shared" si="38"/>
        <v>0</v>
      </c>
      <c r="T447" s="68"/>
      <c r="U447" s="68"/>
      <c r="V447" s="68"/>
      <c r="W447" s="68"/>
      <c r="X447" s="68"/>
      <c r="Y447" s="68"/>
      <c r="Z447" s="68"/>
      <c r="AA447" s="68"/>
      <c r="AB447" s="69"/>
      <c r="AC447" s="70"/>
      <c r="AD447" s="71"/>
      <c r="AE447" s="68"/>
      <c r="AF447" s="68"/>
      <c r="AG447" s="68"/>
      <c r="AH447" s="68"/>
      <c r="AI447" s="69"/>
      <c r="AJ447" s="69"/>
      <c r="AK447" s="68"/>
      <c r="AL447" s="77"/>
      <c r="AM447" s="71"/>
      <c r="AN447" s="68"/>
      <c r="AO447" s="68"/>
      <c r="AP447" s="68"/>
      <c r="AQ447" s="68"/>
      <c r="AR447" s="68"/>
      <c r="AS447" s="68"/>
      <c r="AT447" s="68"/>
      <c r="AU447" s="70"/>
      <c r="AV447" s="72"/>
      <c r="AW447" s="69"/>
      <c r="AX447" s="69"/>
      <c r="AY447" s="69"/>
      <c r="AZ447" s="69"/>
      <c r="BA447" s="69"/>
      <c r="BB447" s="69"/>
      <c r="BC447" s="69"/>
      <c r="BD447" s="70"/>
      <c r="BE447" s="71"/>
      <c r="BF447" s="68"/>
      <c r="BG447" s="68"/>
      <c r="BH447" s="70"/>
      <c r="BI447" s="67"/>
      <c r="BJ447" s="68"/>
      <c r="BK447" s="70"/>
      <c r="BL447" s="71"/>
      <c r="BM447" s="68"/>
      <c r="BN447" s="69"/>
      <c r="BO447" s="78"/>
      <c r="BP447" s="37">
        <f t="shared" si="39"/>
        <v>0</v>
      </c>
    </row>
    <row r="448" spans="1:68" ht="25.5" customHeight="1" thickTop="1" thickBot="1" x14ac:dyDescent="0.2">
      <c r="A448" s="17">
        <f t="shared" si="40"/>
        <v>433</v>
      </c>
      <c r="B448" s="1044"/>
      <c r="C448" s="1045"/>
      <c r="D448" s="38"/>
      <c r="E448" s="954"/>
      <c r="F448" s="53"/>
      <c r="G448" s="39"/>
      <c r="H448" s="1050"/>
      <c r="I448" s="684" t="str">
        <f t="shared" si="36"/>
        <v/>
      </c>
      <c r="J448" s="754">
        <f t="shared" si="37"/>
        <v>0</v>
      </c>
      <c r="K448" s="1254"/>
      <c r="L448" s="1253"/>
      <c r="M448" s="1253"/>
      <c r="N448" s="773" t="str">
        <f t="shared" si="41"/>
        <v/>
      </c>
      <c r="O448" s="774" t="str">
        <f>IF('Set up ~ Config'!$G$32=6,IF(OR($N448=7,$N448=8,$N448=9),1,IF(OR($N448=10,$N448=11,$N448=12),2,IF(OR($N448=1,$N448=2,$N448=3),3,IF(OR($N448=4,$N448=5,$N448=6),4,"")))),IF(OR($N448=9,$N448=10,$N448=11),1,IF(OR($N448=12,$N448=1,$N448=2),2,IF(OR($N448=3,$N448=4,$N448=5),3,IF(OR($N448=6,$N448=7,$N448=8),4,"")))))</f>
        <v/>
      </c>
      <c r="P448" s="40"/>
      <c r="Q448" s="67"/>
      <c r="R448" s="68"/>
      <c r="S448" s="755">
        <f t="shared" si="38"/>
        <v>0</v>
      </c>
      <c r="T448" s="68"/>
      <c r="U448" s="68"/>
      <c r="V448" s="68"/>
      <c r="W448" s="68"/>
      <c r="X448" s="68"/>
      <c r="Y448" s="68"/>
      <c r="Z448" s="68"/>
      <c r="AA448" s="68"/>
      <c r="AB448" s="69"/>
      <c r="AC448" s="70"/>
      <c r="AD448" s="71"/>
      <c r="AE448" s="68"/>
      <c r="AF448" s="68"/>
      <c r="AG448" s="68"/>
      <c r="AH448" s="68"/>
      <c r="AI448" s="69"/>
      <c r="AJ448" s="69"/>
      <c r="AK448" s="68"/>
      <c r="AL448" s="77"/>
      <c r="AM448" s="71"/>
      <c r="AN448" s="68"/>
      <c r="AO448" s="68"/>
      <c r="AP448" s="68"/>
      <c r="AQ448" s="68"/>
      <c r="AR448" s="68"/>
      <c r="AS448" s="68"/>
      <c r="AT448" s="68"/>
      <c r="AU448" s="70"/>
      <c r="AV448" s="72"/>
      <c r="AW448" s="69"/>
      <c r="AX448" s="69"/>
      <c r="AY448" s="69"/>
      <c r="AZ448" s="69"/>
      <c r="BA448" s="69"/>
      <c r="BB448" s="69"/>
      <c r="BC448" s="69"/>
      <c r="BD448" s="70"/>
      <c r="BE448" s="71"/>
      <c r="BF448" s="68"/>
      <c r="BG448" s="68"/>
      <c r="BH448" s="70"/>
      <c r="BI448" s="67"/>
      <c r="BJ448" s="68"/>
      <c r="BK448" s="70"/>
      <c r="BL448" s="71"/>
      <c r="BM448" s="68"/>
      <c r="BN448" s="69"/>
      <c r="BO448" s="78"/>
      <c r="BP448" s="37">
        <f t="shared" si="39"/>
        <v>0</v>
      </c>
    </row>
    <row r="449" spans="1:68" ht="25.5" customHeight="1" thickTop="1" thickBot="1" x14ac:dyDescent="0.2">
      <c r="A449" s="17">
        <f t="shared" si="40"/>
        <v>434</v>
      </c>
      <c r="B449" s="1044"/>
      <c r="C449" s="1045"/>
      <c r="D449" s="38"/>
      <c r="E449" s="954"/>
      <c r="F449" s="53"/>
      <c r="G449" s="39"/>
      <c r="H449" s="1050"/>
      <c r="I449" s="684" t="str">
        <f t="shared" si="36"/>
        <v/>
      </c>
      <c r="J449" s="754">
        <f t="shared" si="37"/>
        <v>0</v>
      </c>
      <c r="K449" s="1254"/>
      <c r="L449" s="1253"/>
      <c r="M449" s="1253"/>
      <c r="N449" s="773" t="str">
        <f t="shared" si="41"/>
        <v/>
      </c>
      <c r="O449" s="774" t="str">
        <f>IF('Set up ~ Config'!$G$32=6,IF(OR($N449=7,$N449=8,$N449=9),1,IF(OR($N449=10,$N449=11,$N449=12),2,IF(OR($N449=1,$N449=2,$N449=3),3,IF(OR($N449=4,$N449=5,$N449=6),4,"")))),IF(OR($N449=9,$N449=10,$N449=11),1,IF(OR($N449=12,$N449=1,$N449=2),2,IF(OR($N449=3,$N449=4,$N449=5),3,IF(OR($N449=6,$N449=7,$N449=8),4,"")))))</f>
        <v/>
      </c>
      <c r="P449" s="40"/>
      <c r="Q449" s="67"/>
      <c r="R449" s="68"/>
      <c r="S449" s="755">
        <f t="shared" si="38"/>
        <v>0</v>
      </c>
      <c r="T449" s="68"/>
      <c r="U449" s="68"/>
      <c r="V449" s="68"/>
      <c r="W449" s="68"/>
      <c r="X449" s="68"/>
      <c r="Y449" s="68"/>
      <c r="Z449" s="68"/>
      <c r="AA449" s="68"/>
      <c r="AB449" s="69"/>
      <c r="AC449" s="70"/>
      <c r="AD449" s="71"/>
      <c r="AE449" s="68"/>
      <c r="AF449" s="68"/>
      <c r="AG449" s="68"/>
      <c r="AH449" s="68"/>
      <c r="AI449" s="69"/>
      <c r="AJ449" s="69"/>
      <c r="AK449" s="68"/>
      <c r="AL449" s="77"/>
      <c r="AM449" s="71"/>
      <c r="AN449" s="68"/>
      <c r="AO449" s="68"/>
      <c r="AP449" s="68"/>
      <c r="AQ449" s="68"/>
      <c r="AR449" s="68"/>
      <c r="AS449" s="68"/>
      <c r="AT449" s="68"/>
      <c r="AU449" s="70"/>
      <c r="AV449" s="72"/>
      <c r="AW449" s="69"/>
      <c r="AX449" s="69"/>
      <c r="AY449" s="69"/>
      <c r="AZ449" s="69"/>
      <c r="BA449" s="69"/>
      <c r="BB449" s="69"/>
      <c r="BC449" s="69"/>
      <c r="BD449" s="70"/>
      <c r="BE449" s="71"/>
      <c r="BF449" s="68"/>
      <c r="BG449" s="68"/>
      <c r="BH449" s="70"/>
      <c r="BI449" s="67"/>
      <c r="BJ449" s="68"/>
      <c r="BK449" s="70"/>
      <c r="BL449" s="71"/>
      <c r="BM449" s="68"/>
      <c r="BN449" s="69"/>
      <c r="BO449" s="78"/>
      <c r="BP449" s="37">
        <f t="shared" si="39"/>
        <v>0</v>
      </c>
    </row>
    <row r="450" spans="1:68" ht="25.5" customHeight="1" thickTop="1" thickBot="1" x14ac:dyDescent="0.2">
      <c r="A450" s="17">
        <f t="shared" si="40"/>
        <v>435</v>
      </c>
      <c r="B450" s="1044"/>
      <c r="C450" s="1045"/>
      <c r="D450" s="38"/>
      <c r="E450" s="954"/>
      <c r="F450" s="53"/>
      <c r="G450" s="39"/>
      <c r="H450" s="1050"/>
      <c r="I450" s="684" t="str">
        <f t="shared" si="36"/>
        <v/>
      </c>
      <c r="J450" s="754">
        <f t="shared" si="37"/>
        <v>0</v>
      </c>
      <c r="K450" s="1254"/>
      <c r="L450" s="1253"/>
      <c r="M450" s="1253"/>
      <c r="N450" s="773" t="str">
        <f t="shared" si="41"/>
        <v/>
      </c>
      <c r="O450" s="774" t="str">
        <f>IF('Set up ~ Config'!$G$32=6,IF(OR($N450=7,$N450=8,$N450=9),1,IF(OR($N450=10,$N450=11,$N450=12),2,IF(OR($N450=1,$N450=2,$N450=3),3,IF(OR($N450=4,$N450=5,$N450=6),4,"")))),IF(OR($N450=9,$N450=10,$N450=11),1,IF(OR($N450=12,$N450=1,$N450=2),2,IF(OR($N450=3,$N450=4,$N450=5),3,IF(OR($N450=6,$N450=7,$N450=8),4,"")))))</f>
        <v/>
      </c>
      <c r="P450" s="40"/>
      <c r="Q450" s="67"/>
      <c r="R450" s="68"/>
      <c r="S450" s="755">
        <f t="shared" si="38"/>
        <v>0</v>
      </c>
      <c r="T450" s="68"/>
      <c r="U450" s="68"/>
      <c r="V450" s="68"/>
      <c r="W450" s="68"/>
      <c r="X450" s="68"/>
      <c r="Y450" s="68"/>
      <c r="Z450" s="68"/>
      <c r="AA450" s="68"/>
      <c r="AB450" s="69"/>
      <c r="AC450" s="70"/>
      <c r="AD450" s="71"/>
      <c r="AE450" s="68"/>
      <c r="AF450" s="68"/>
      <c r="AG450" s="68"/>
      <c r="AH450" s="68"/>
      <c r="AI450" s="69"/>
      <c r="AJ450" s="69"/>
      <c r="AK450" s="68"/>
      <c r="AL450" s="77"/>
      <c r="AM450" s="71"/>
      <c r="AN450" s="68"/>
      <c r="AO450" s="68"/>
      <c r="AP450" s="68"/>
      <c r="AQ450" s="68"/>
      <c r="AR450" s="68"/>
      <c r="AS450" s="68"/>
      <c r="AT450" s="68"/>
      <c r="AU450" s="70"/>
      <c r="AV450" s="72"/>
      <c r="AW450" s="69"/>
      <c r="AX450" s="69"/>
      <c r="AY450" s="69"/>
      <c r="AZ450" s="69"/>
      <c r="BA450" s="69"/>
      <c r="BB450" s="69"/>
      <c r="BC450" s="69"/>
      <c r="BD450" s="70"/>
      <c r="BE450" s="71"/>
      <c r="BF450" s="68"/>
      <c r="BG450" s="68"/>
      <c r="BH450" s="70"/>
      <c r="BI450" s="67"/>
      <c r="BJ450" s="68"/>
      <c r="BK450" s="70"/>
      <c r="BL450" s="71"/>
      <c r="BM450" s="68"/>
      <c r="BN450" s="69"/>
      <c r="BO450" s="78"/>
      <c r="BP450" s="37">
        <f t="shared" si="39"/>
        <v>0</v>
      </c>
    </row>
    <row r="451" spans="1:68" ht="25.5" customHeight="1" thickTop="1" thickBot="1" x14ac:dyDescent="0.2">
      <c r="A451" s="17">
        <f t="shared" si="40"/>
        <v>436</v>
      </c>
      <c r="B451" s="1044"/>
      <c r="C451" s="1045"/>
      <c r="D451" s="38"/>
      <c r="E451" s="954"/>
      <c r="F451" s="53"/>
      <c r="G451" s="39"/>
      <c r="H451" s="1050"/>
      <c r="I451" s="684" t="str">
        <f t="shared" si="36"/>
        <v/>
      </c>
      <c r="J451" s="754">
        <f t="shared" si="37"/>
        <v>0</v>
      </c>
      <c r="K451" s="1254"/>
      <c r="L451" s="1253"/>
      <c r="M451" s="1253"/>
      <c r="N451" s="773" t="str">
        <f t="shared" si="41"/>
        <v/>
      </c>
      <c r="O451" s="774" t="str">
        <f>IF('Set up ~ Config'!$G$32=6,IF(OR($N451=7,$N451=8,$N451=9),1,IF(OR($N451=10,$N451=11,$N451=12),2,IF(OR($N451=1,$N451=2,$N451=3),3,IF(OR($N451=4,$N451=5,$N451=6),4,"")))),IF(OR($N451=9,$N451=10,$N451=11),1,IF(OR($N451=12,$N451=1,$N451=2),2,IF(OR($N451=3,$N451=4,$N451=5),3,IF(OR($N451=6,$N451=7,$N451=8),4,"")))))</f>
        <v/>
      </c>
      <c r="P451" s="40"/>
      <c r="Q451" s="67"/>
      <c r="R451" s="68"/>
      <c r="S451" s="755">
        <f t="shared" si="38"/>
        <v>0</v>
      </c>
      <c r="T451" s="68"/>
      <c r="U451" s="68"/>
      <c r="V451" s="68"/>
      <c r="W451" s="68"/>
      <c r="X451" s="68"/>
      <c r="Y451" s="68"/>
      <c r="Z451" s="68"/>
      <c r="AA451" s="68"/>
      <c r="AB451" s="69"/>
      <c r="AC451" s="70"/>
      <c r="AD451" s="71"/>
      <c r="AE451" s="68"/>
      <c r="AF451" s="68"/>
      <c r="AG451" s="68"/>
      <c r="AH451" s="68"/>
      <c r="AI451" s="69"/>
      <c r="AJ451" s="69"/>
      <c r="AK451" s="68"/>
      <c r="AL451" s="77"/>
      <c r="AM451" s="71"/>
      <c r="AN451" s="68"/>
      <c r="AO451" s="68"/>
      <c r="AP451" s="68"/>
      <c r="AQ451" s="68"/>
      <c r="AR451" s="68"/>
      <c r="AS451" s="68"/>
      <c r="AT451" s="68"/>
      <c r="AU451" s="70"/>
      <c r="AV451" s="72"/>
      <c r="AW451" s="69"/>
      <c r="AX451" s="69"/>
      <c r="AY451" s="69"/>
      <c r="AZ451" s="69"/>
      <c r="BA451" s="69"/>
      <c r="BB451" s="69"/>
      <c r="BC451" s="69"/>
      <c r="BD451" s="70"/>
      <c r="BE451" s="71"/>
      <c r="BF451" s="68"/>
      <c r="BG451" s="68"/>
      <c r="BH451" s="70"/>
      <c r="BI451" s="67"/>
      <c r="BJ451" s="68"/>
      <c r="BK451" s="70"/>
      <c r="BL451" s="71"/>
      <c r="BM451" s="68"/>
      <c r="BN451" s="69"/>
      <c r="BO451" s="78"/>
      <c r="BP451" s="37">
        <f t="shared" si="39"/>
        <v>0</v>
      </c>
    </row>
    <row r="452" spans="1:68" ht="25.5" customHeight="1" thickTop="1" thickBot="1" x14ac:dyDescent="0.2">
      <c r="A452" s="17">
        <f t="shared" si="40"/>
        <v>437</v>
      </c>
      <c r="B452" s="1044"/>
      <c r="C452" s="1045"/>
      <c r="D452" s="38"/>
      <c r="E452" s="954"/>
      <c r="F452" s="53"/>
      <c r="G452" s="39"/>
      <c r="H452" s="1050"/>
      <c r="I452" s="684" t="str">
        <f t="shared" si="36"/>
        <v/>
      </c>
      <c r="J452" s="754">
        <f t="shared" si="37"/>
        <v>0</v>
      </c>
      <c r="K452" s="1254"/>
      <c r="L452" s="1253"/>
      <c r="M452" s="1253"/>
      <c r="N452" s="773" t="str">
        <f t="shared" si="41"/>
        <v/>
      </c>
      <c r="O452" s="774" t="str">
        <f>IF('Set up ~ Config'!$G$32=6,IF(OR($N452=7,$N452=8,$N452=9),1,IF(OR($N452=10,$N452=11,$N452=12),2,IF(OR($N452=1,$N452=2,$N452=3),3,IF(OR($N452=4,$N452=5,$N452=6),4,"")))),IF(OR($N452=9,$N452=10,$N452=11),1,IF(OR($N452=12,$N452=1,$N452=2),2,IF(OR($N452=3,$N452=4,$N452=5),3,IF(OR($N452=6,$N452=7,$N452=8),4,"")))))</f>
        <v/>
      </c>
      <c r="P452" s="40"/>
      <c r="Q452" s="67"/>
      <c r="R452" s="68"/>
      <c r="S452" s="755">
        <f t="shared" si="38"/>
        <v>0</v>
      </c>
      <c r="T452" s="68"/>
      <c r="U452" s="68"/>
      <c r="V452" s="68"/>
      <c r="W452" s="68"/>
      <c r="X452" s="68"/>
      <c r="Y452" s="68"/>
      <c r="Z452" s="68"/>
      <c r="AA452" s="68"/>
      <c r="AB452" s="69"/>
      <c r="AC452" s="70"/>
      <c r="AD452" s="71"/>
      <c r="AE452" s="68"/>
      <c r="AF452" s="68"/>
      <c r="AG452" s="68"/>
      <c r="AH452" s="68"/>
      <c r="AI452" s="69"/>
      <c r="AJ452" s="69"/>
      <c r="AK452" s="68"/>
      <c r="AL452" s="77"/>
      <c r="AM452" s="71"/>
      <c r="AN452" s="68"/>
      <c r="AO452" s="68"/>
      <c r="AP452" s="68"/>
      <c r="AQ452" s="68"/>
      <c r="AR452" s="68"/>
      <c r="AS452" s="68"/>
      <c r="AT452" s="68"/>
      <c r="AU452" s="70"/>
      <c r="AV452" s="72"/>
      <c r="AW452" s="69"/>
      <c r="AX452" s="69"/>
      <c r="AY452" s="69"/>
      <c r="AZ452" s="69"/>
      <c r="BA452" s="69"/>
      <c r="BB452" s="69"/>
      <c r="BC452" s="69"/>
      <c r="BD452" s="70"/>
      <c r="BE452" s="71"/>
      <c r="BF452" s="68"/>
      <c r="BG452" s="68"/>
      <c r="BH452" s="70"/>
      <c r="BI452" s="67"/>
      <c r="BJ452" s="68"/>
      <c r="BK452" s="70"/>
      <c r="BL452" s="71"/>
      <c r="BM452" s="68"/>
      <c r="BN452" s="69"/>
      <c r="BO452" s="78"/>
      <c r="BP452" s="37">
        <f t="shared" si="39"/>
        <v>0</v>
      </c>
    </row>
    <row r="453" spans="1:68" ht="25.5" customHeight="1" thickTop="1" thickBot="1" x14ac:dyDescent="0.2">
      <c r="A453" s="17">
        <f t="shared" si="40"/>
        <v>438</v>
      </c>
      <c r="B453" s="1044"/>
      <c r="C453" s="1045"/>
      <c r="D453" s="38"/>
      <c r="E453" s="954"/>
      <c r="F453" s="53"/>
      <c r="G453" s="39"/>
      <c r="H453" s="1050"/>
      <c r="I453" s="684" t="str">
        <f t="shared" si="36"/>
        <v/>
      </c>
      <c r="J453" s="754">
        <f t="shared" si="37"/>
        <v>0</v>
      </c>
      <c r="K453" s="1254"/>
      <c r="L453" s="1253"/>
      <c r="M453" s="1253"/>
      <c r="N453" s="773" t="str">
        <f t="shared" si="41"/>
        <v/>
      </c>
      <c r="O453" s="774" t="str">
        <f>IF('Set up ~ Config'!$G$32=6,IF(OR($N453=7,$N453=8,$N453=9),1,IF(OR($N453=10,$N453=11,$N453=12),2,IF(OR($N453=1,$N453=2,$N453=3),3,IF(OR($N453=4,$N453=5,$N453=6),4,"")))),IF(OR($N453=9,$N453=10,$N453=11),1,IF(OR($N453=12,$N453=1,$N453=2),2,IF(OR($N453=3,$N453=4,$N453=5),3,IF(OR($N453=6,$N453=7,$N453=8),4,"")))))</f>
        <v/>
      </c>
      <c r="P453" s="40"/>
      <c r="Q453" s="67"/>
      <c r="R453" s="68"/>
      <c r="S453" s="755">
        <f t="shared" si="38"/>
        <v>0</v>
      </c>
      <c r="T453" s="68"/>
      <c r="U453" s="68"/>
      <c r="V453" s="68"/>
      <c r="W453" s="68"/>
      <c r="X453" s="68"/>
      <c r="Y453" s="68"/>
      <c r="Z453" s="68"/>
      <c r="AA453" s="68"/>
      <c r="AB453" s="69"/>
      <c r="AC453" s="70"/>
      <c r="AD453" s="71"/>
      <c r="AE453" s="68"/>
      <c r="AF453" s="68"/>
      <c r="AG453" s="68"/>
      <c r="AH453" s="68"/>
      <c r="AI453" s="69"/>
      <c r="AJ453" s="69"/>
      <c r="AK453" s="68"/>
      <c r="AL453" s="77"/>
      <c r="AM453" s="71"/>
      <c r="AN453" s="68"/>
      <c r="AO453" s="68"/>
      <c r="AP453" s="68"/>
      <c r="AQ453" s="68"/>
      <c r="AR453" s="68"/>
      <c r="AS453" s="68"/>
      <c r="AT453" s="68"/>
      <c r="AU453" s="70"/>
      <c r="AV453" s="72"/>
      <c r="AW453" s="69"/>
      <c r="AX453" s="69"/>
      <c r="AY453" s="69"/>
      <c r="AZ453" s="69"/>
      <c r="BA453" s="69"/>
      <c r="BB453" s="69"/>
      <c r="BC453" s="69"/>
      <c r="BD453" s="70"/>
      <c r="BE453" s="71"/>
      <c r="BF453" s="68"/>
      <c r="BG453" s="68"/>
      <c r="BH453" s="70"/>
      <c r="BI453" s="67"/>
      <c r="BJ453" s="68"/>
      <c r="BK453" s="70"/>
      <c r="BL453" s="71"/>
      <c r="BM453" s="68"/>
      <c r="BN453" s="69"/>
      <c r="BO453" s="78"/>
      <c r="BP453" s="37">
        <f t="shared" si="39"/>
        <v>0</v>
      </c>
    </row>
    <row r="454" spans="1:68" ht="25.5" customHeight="1" thickTop="1" thickBot="1" x14ac:dyDescent="0.2">
      <c r="A454" s="17">
        <f t="shared" si="40"/>
        <v>439</v>
      </c>
      <c r="B454" s="1044"/>
      <c r="C454" s="1045"/>
      <c r="D454" s="38"/>
      <c r="E454" s="954"/>
      <c r="F454" s="53"/>
      <c r="G454" s="39"/>
      <c r="H454" s="1050"/>
      <c r="I454" s="684" t="str">
        <f t="shared" si="36"/>
        <v/>
      </c>
      <c r="J454" s="754">
        <f t="shared" si="37"/>
        <v>0</v>
      </c>
      <c r="K454" s="1254"/>
      <c r="L454" s="1253"/>
      <c r="M454" s="1253"/>
      <c r="N454" s="773" t="str">
        <f t="shared" si="41"/>
        <v/>
      </c>
      <c r="O454" s="774" t="str">
        <f>IF('Set up ~ Config'!$G$32=6,IF(OR($N454=7,$N454=8,$N454=9),1,IF(OR($N454=10,$N454=11,$N454=12),2,IF(OR($N454=1,$N454=2,$N454=3),3,IF(OR($N454=4,$N454=5,$N454=6),4,"")))),IF(OR($N454=9,$N454=10,$N454=11),1,IF(OR($N454=12,$N454=1,$N454=2),2,IF(OR($N454=3,$N454=4,$N454=5),3,IF(OR($N454=6,$N454=7,$N454=8),4,"")))))</f>
        <v/>
      </c>
      <c r="P454" s="40"/>
      <c r="Q454" s="67"/>
      <c r="R454" s="68"/>
      <c r="S454" s="755">
        <f t="shared" si="38"/>
        <v>0</v>
      </c>
      <c r="T454" s="68"/>
      <c r="U454" s="68"/>
      <c r="V454" s="68"/>
      <c r="W454" s="68"/>
      <c r="X454" s="68"/>
      <c r="Y454" s="68"/>
      <c r="Z454" s="68"/>
      <c r="AA454" s="68"/>
      <c r="AB454" s="69"/>
      <c r="AC454" s="70"/>
      <c r="AD454" s="71"/>
      <c r="AE454" s="68"/>
      <c r="AF454" s="68"/>
      <c r="AG454" s="68"/>
      <c r="AH454" s="68"/>
      <c r="AI454" s="69"/>
      <c r="AJ454" s="69"/>
      <c r="AK454" s="68"/>
      <c r="AL454" s="77"/>
      <c r="AM454" s="71"/>
      <c r="AN454" s="68"/>
      <c r="AO454" s="68"/>
      <c r="AP454" s="68"/>
      <c r="AQ454" s="68"/>
      <c r="AR454" s="68"/>
      <c r="AS454" s="68"/>
      <c r="AT454" s="68"/>
      <c r="AU454" s="70"/>
      <c r="AV454" s="72"/>
      <c r="AW454" s="69"/>
      <c r="AX454" s="69"/>
      <c r="AY454" s="69"/>
      <c r="AZ454" s="69"/>
      <c r="BA454" s="69"/>
      <c r="BB454" s="69"/>
      <c r="BC454" s="69"/>
      <c r="BD454" s="70"/>
      <c r="BE454" s="71"/>
      <c r="BF454" s="68"/>
      <c r="BG454" s="68"/>
      <c r="BH454" s="70"/>
      <c r="BI454" s="67"/>
      <c r="BJ454" s="68"/>
      <c r="BK454" s="70"/>
      <c r="BL454" s="71"/>
      <c r="BM454" s="68"/>
      <c r="BN454" s="69"/>
      <c r="BO454" s="78"/>
      <c r="BP454" s="37">
        <f t="shared" si="39"/>
        <v>0</v>
      </c>
    </row>
    <row r="455" spans="1:68" ht="25.5" customHeight="1" thickTop="1" thickBot="1" x14ac:dyDescent="0.2">
      <c r="A455" s="17">
        <f t="shared" si="40"/>
        <v>440</v>
      </c>
      <c r="B455" s="1044"/>
      <c r="C455" s="1045"/>
      <c r="D455" s="38"/>
      <c r="E455" s="954"/>
      <c r="F455" s="53"/>
      <c r="G455" s="39"/>
      <c r="H455" s="1050"/>
      <c r="I455" s="684" t="str">
        <f t="shared" si="36"/>
        <v/>
      </c>
      <c r="J455" s="754">
        <f t="shared" si="37"/>
        <v>0</v>
      </c>
      <c r="K455" s="1254"/>
      <c r="L455" s="1253"/>
      <c r="M455" s="1253"/>
      <c r="N455" s="773" t="str">
        <f t="shared" si="41"/>
        <v/>
      </c>
      <c r="O455" s="774" t="str">
        <f>IF('Set up ~ Config'!$G$32=6,IF(OR($N455=7,$N455=8,$N455=9),1,IF(OR($N455=10,$N455=11,$N455=12),2,IF(OR($N455=1,$N455=2,$N455=3),3,IF(OR($N455=4,$N455=5,$N455=6),4,"")))),IF(OR($N455=9,$N455=10,$N455=11),1,IF(OR($N455=12,$N455=1,$N455=2),2,IF(OR($N455=3,$N455=4,$N455=5),3,IF(OR($N455=6,$N455=7,$N455=8),4,"")))))</f>
        <v/>
      </c>
      <c r="P455" s="40"/>
      <c r="Q455" s="67"/>
      <c r="R455" s="68"/>
      <c r="S455" s="755">
        <f t="shared" si="38"/>
        <v>0</v>
      </c>
      <c r="T455" s="68"/>
      <c r="U455" s="68"/>
      <c r="V455" s="68"/>
      <c r="W455" s="68"/>
      <c r="X455" s="68"/>
      <c r="Y455" s="68"/>
      <c r="Z455" s="68"/>
      <c r="AA455" s="68"/>
      <c r="AB455" s="69"/>
      <c r="AC455" s="70"/>
      <c r="AD455" s="71"/>
      <c r="AE455" s="68"/>
      <c r="AF455" s="68"/>
      <c r="AG455" s="68"/>
      <c r="AH455" s="68"/>
      <c r="AI455" s="69"/>
      <c r="AJ455" s="69"/>
      <c r="AK455" s="68"/>
      <c r="AL455" s="77"/>
      <c r="AM455" s="71"/>
      <c r="AN455" s="68"/>
      <c r="AO455" s="68"/>
      <c r="AP455" s="68"/>
      <c r="AQ455" s="68"/>
      <c r="AR455" s="68"/>
      <c r="AS455" s="68"/>
      <c r="AT455" s="68"/>
      <c r="AU455" s="70"/>
      <c r="AV455" s="72"/>
      <c r="AW455" s="69"/>
      <c r="AX455" s="69"/>
      <c r="AY455" s="69"/>
      <c r="AZ455" s="69"/>
      <c r="BA455" s="69"/>
      <c r="BB455" s="69"/>
      <c r="BC455" s="69"/>
      <c r="BD455" s="70"/>
      <c r="BE455" s="71"/>
      <c r="BF455" s="68"/>
      <c r="BG455" s="68"/>
      <c r="BH455" s="70"/>
      <c r="BI455" s="67"/>
      <c r="BJ455" s="68"/>
      <c r="BK455" s="70"/>
      <c r="BL455" s="71"/>
      <c r="BM455" s="68"/>
      <c r="BN455" s="69"/>
      <c r="BO455" s="78"/>
      <c r="BP455" s="37">
        <f t="shared" si="39"/>
        <v>0</v>
      </c>
    </row>
    <row r="456" spans="1:68" ht="25.5" customHeight="1" thickTop="1" thickBot="1" x14ac:dyDescent="0.2">
      <c r="A456" s="17">
        <f t="shared" si="40"/>
        <v>441</v>
      </c>
      <c r="B456" s="1044"/>
      <c r="C456" s="1045"/>
      <c r="D456" s="38"/>
      <c r="E456" s="954"/>
      <c r="F456" s="53"/>
      <c r="G456" s="39"/>
      <c r="H456" s="1050"/>
      <c r="I456" s="684" t="str">
        <f t="shared" si="36"/>
        <v/>
      </c>
      <c r="J456" s="754">
        <f t="shared" si="37"/>
        <v>0</v>
      </c>
      <c r="K456" s="1254"/>
      <c r="L456" s="1253"/>
      <c r="M456" s="1253"/>
      <c r="N456" s="773" t="str">
        <f t="shared" si="41"/>
        <v/>
      </c>
      <c r="O456" s="774" t="str">
        <f>IF('Set up ~ Config'!$G$32=6,IF(OR($N456=7,$N456=8,$N456=9),1,IF(OR($N456=10,$N456=11,$N456=12),2,IF(OR($N456=1,$N456=2,$N456=3),3,IF(OR($N456=4,$N456=5,$N456=6),4,"")))),IF(OR($N456=9,$N456=10,$N456=11),1,IF(OR($N456=12,$N456=1,$N456=2),2,IF(OR($N456=3,$N456=4,$N456=5),3,IF(OR($N456=6,$N456=7,$N456=8),4,"")))))</f>
        <v/>
      </c>
      <c r="P456" s="40"/>
      <c r="Q456" s="67"/>
      <c r="R456" s="68"/>
      <c r="S456" s="755">
        <f t="shared" si="38"/>
        <v>0</v>
      </c>
      <c r="T456" s="68"/>
      <c r="U456" s="68"/>
      <c r="V456" s="68"/>
      <c r="W456" s="68"/>
      <c r="X456" s="68"/>
      <c r="Y456" s="68"/>
      <c r="Z456" s="68"/>
      <c r="AA456" s="68"/>
      <c r="AB456" s="69"/>
      <c r="AC456" s="70"/>
      <c r="AD456" s="71"/>
      <c r="AE456" s="68"/>
      <c r="AF456" s="68"/>
      <c r="AG456" s="68"/>
      <c r="AH456" s="68"/>
      <c r="AI456" s="69"/>
      <c r="AJ456" s="69"/>
      <c r="AK456" s="68"/>
      <c r="AL456" s="77"/>
      <c r="AM456" s="71"/>
      <c r="AN456" s="68"/>
      <c r="AO456" s="68"/>
      <c r="AP456" s="68"/>
      <c r="AQ456" s="68"/>
      <c r="AR456" s="68"/>
      <c r="AS456" s="68"/>
      <c r="AT456" s="68"/>
      <c r="AU456" s="70"/>
      <c r="AV456" s="72"/>
      <c r="AW456" s="69"/>
      <c r="AX456" s="69"/>
      <c r="AY456" s="69"/>
      <c r="AZ456" s="69"/>
      <c r="BA456" s="69"/>
      <c r="BB456" s="69"/>
      <c r="BC456" s="69"/>
      <c r="BD456" s="70"/>
      <c r="BE456" s="71"/>
      <c r="BF456" s="68"/>
      <c r="BG456" s="68"/>
      <c r="BH456" s="70"/>
      <c r="BI456" s="67"/>
      <c r="BJ456" s="68"/>
      <c r="BK456" s="70"/>
      <c r="BL456" s="71"/>
      <c r="BM456" s="68"/>
      <c r="BN456" s="69"/>
      <c r="BO456" s="78"/>
      <c r="BP456" s="37">
        <f t="shared" si="39"/>
        <v>0</v>
      </c>
    </row>
    <row r="457" spans="1:68" ht="25.5" customHeight="1" thickTop="1" thickBot="1" x14ac:dyDescent="0.2">
      <c r="A457" s="17">
        <f t="shared" si="40"/>
        <v>442</v>
      </c>
      <c r="B457" s="1044"/>
      <c r="C457" s="1045"/>
      <c r="D457" s="38"/>
      <c r="E457" s="954"/>
      <c r="F457" s="53"/>
      <c r="G457" s="39"/>
      <c r="H457" s="1050"/>
      <c r="I457" s="684" t="str">
        <f t="shared" si="36"/>
        <v/>
      </c>
      <c r="J457" s="754">
        <f t="shared" si="37"/>
        <v>0</v>
      </c>
      <c r="K457" s="1254"/>
      <c r="L457" s="1253"/>
      <c r="M457" s="1253"/>
      <c r="N457" s="773" t="str">
        <f t="shared" si="41"/>
        <v/>
      </c>
      <c r="O457" s="774" t="str">
        <f>IF('Set up ~ Config'!$G$32=6,IF(OR($N457=7,$N457=8,$N457=9),1,IF(OR($N457=10,$N457=11,$N457=12),2,IF(OR($N457=1,$N457=2,$N457=3),3,IF(OR($N457=4,$N457=5,$N457=6),4,"")))),IF(OR($N457=9,$N457=10,$N457=11),1,IF(OR($N457=12,$N457=1,$N457=2),2,IF(OR($N457=3,$N457=4,$N457=5),3,IF(OR($N457=6,$N457=7,$N457=8),4,"")))))</f>
        <v/>
      </c>
      <c r="P457" s="40"/>
      <c r="Q457" s="67"/>
      <c r="R457" s="68"/>
      <c r="S457" s="755">
        <f t="shared" si="38"/>
        <v>0</v>
      </c>
      <c r="T457" s="68"/>
      <c r="U457" s="68"/>
      <c r="V457" s="68"/>
      <c r="W457" s="68"/>
      <c r="X457" s="68"/>
      <c r="Y457" s="68"/>
      <c r="Z457" s="68"/>
      <c r="AA457" s="68"/>
      <c r="AB457" s="69"/>
      <c r="AC457" s="70"/>
      <c r="AD457" s="71"/>
      <c r="AE457" s="68"/>
      <c r="AF457" s="68"/>
      <c r="AG457" s="68"/>
      <c r="AH457" s="68"/>
      <c r="AI457" s="69"/>
      <c r="AJ457" s="69"/>
      <c r="AK457" s="68"/>
      <c r="AL457" s="77"/>
      <c r="AM457" s="71"/>
      <c r="AN457" s="68"/>
      <c r="AO457" s="68"/>
      <c r="AP457" s="68"/>
      <c r="AQ457" s="68"/>
      <c r="AR457" s="68"/>
      <c r="AS457" s="68"/>
      <c r="AT457" s="68"/>
      <c r="AU457" s="70"/>
      <c r="AV457" s="72"/>
      <c r="AW457" s="69"/>
      <c r="AX457" s="69"/>
      <c r="AY457" s="69"/>
      <c r="AZ457" s="69"/>
      <c r="BA457" s="69"/>
      <c r="BB457" s="69"/>
      <c r="BC457" s="69"/>
      <c r="BD457" s="70"/>
      <c r="BE457" s="71"/>
      <c r="BF457" s="68"/>
      <c r="BG457" s="68"/>
      <c r="BH457" s="70"/>
      <c r="BI457" s="67"/>
      <c r="BJ457" s="68"/>
      <c r="BK457" s="70"/>
      <c r="BL457" s="71"/>
      <c r="BM457" s="68"/>
      <c r="BN457" s="69"/>
      <c r="BO457" s="78"/>
      <c r="BP457" s="37">
        <f t="shared" si="39"/>
        <v>0</v>
      </c>
    </row>
    <row r="458" spans="1:68" ht="25.5" customHeight="1" thickTop="1" thickBot="1" x14ac:dyDescent="0.2">
      <c r="A458" s="17">
        <f t="shared" si="40"/>
        <v>443</v>
      </c>
      <c r="B458" s="1044"/>
      <c r="C458" s="1045"/>
      <c r="D458" s="38"/>
      <c r="E458" s="954"/>
      <c r="F458" s="53"/>
      <c r="G458" s="39"/>
      <c r="H458" s="1050"/>
      <c r="I458" s="684" t="str">
        <f t="shared" si="36"/>
        <v/>
      </c>
      <c r="J458" s="754">
        <f t="shared" si="37"/>
        <v>0</v>
      </c>
      <c r="K458" s="1254"/>
      <c r="L458" s="1253"/>
      <c r="M458" s="1253"/>
      <c r="N458" s="773" t="str">
        <f t="shared" si="41"/>
        <v/>
      </c>
      <c r="O458" s="774" t="str">
        <f>IF('Set up ~ Config'!$G$32=6,IF(OR($N458=7,$N458=8,$N458=9),1,IF(OR($N458=10,$N458=11,$N458=12),2,IF(OR($N458=1,$N458=2,$N458=3),3,IF(OR($N458=4,$N458=5,$N458=6),4,"")))),IF(OR($N458=9,$N458=10,$N458=11),1,IF(OR($N458=12,$N458=1,$N458=2),2,IF(OR($N458=3,$N458=4,$N458=5),3,IF(OR($N458=6,$N458=7,$N458=8),4,"")))))</f>
        <v/>
      </c>
      <c r="P458" s="40"/>
      <c r="Q458" s="67"/>
      <c r="R458" s="68"/>
      <c r="S458" s="755">
        <f t="shared" si="38"/>
        <v>0</v>
      </c>
      <c r="T458" s="68"/>
      <c r="U458" s="68"/>
      <c r="V458" s="68"/>
      <c r="W458" s="68"/>
      <c r="X458" s="68"/>
      <c r="Y458" s="68"/>
      <c r="Z458" s="68"/>
      <c r="AA458" s="68"/>
      <c r="AB458" s="69"/>
      <c r="AC458" s="70"/>
      <c r="AD458" s="71"/>
      <c r="AE458" s="68"/>
      <c r="AF458" s="68"/>
      <c r="AG458" s="68"/>
      <c r="AH458" s="68"/>
      <c r="AI458" s="69"/>
      <c r="AJ458" s="69"/>
      <c r="AK458" s="68"/>
      <c r="AL458" s="77"/>
      <c r="AM458" s="71"/>
      <c r="AN458" s="68"/>
      <c r="AO458" s="68"/>
      <c r="AP458" s="68"/>
      <c r="AQ458" s="68"/>
      <c r="AR458" s="68"/>
      <c r="AS458" s="68"/>
      <c r="AT458" s="68"/>
      <c r="AU458" s="70"/>
      <c r="AV458" s="72"/>
      <c r="AW458" s="69"/>
      <c r="AX458" s="69"/>
      <c r="AY458" s="69"/>
      <c r="AZ458" s="69"/>
      <c r="BA458" s="69"/>
      <c r="BB458" s="69"/>
      <c r="BC458" s="69"/>
      <c r="BD458" s="70"/>
      <c r="BE458" s="71"/>
      <c r="BF458" s="68"/>
      <c r="BG458" s="68"/>
      <c r="BH458" s="70"/>
      <c r="BI458" s="67"/>
      <c r="BJ458" s="68"/>
      <c r="BK458" s="70"/>
      <c r="BL458" s="71"/>
      <c r="BM458" s="68"/>
      <c r="BN458" s="69"/>
      <c r="BO458" s="78"/>
      <c r="BP458" s="37">
        <f t="shared" si="39"/>
        <v>0</v>
      </c>
    </row>
    <row r="459" spans="1:68" ht="25.5" customHeight="1" thickTop="1" thickBot="1" x14ac:dyDescent="0.2">
      <c r="A459" s="17">
        <f t="shared" si="40"/>
        <v>444</v>
      </c>
      <c r="B459" s="1044"/>
      <c r="C459" s="1045"/>
      <c r="D459" s="38"/>
      <c r="E459" s="954"/>
      <c r="F459" s="53"/>
      <c r="G459" s="39"/>
      <c r="H459" s="1050"/>
      <c r="I459" s="684" t="str">
        <f t="shared" si="36"/>
        <v/>
      </c>
      <c r="J459" s="754">
        <f t="shared" si="37"/>
        <v>0</v>
      </c>
      <c r="K459" s="1254"/>
      <c r="L459" s="1253"/>
      <c r="M459" s="1253"/>
      <c r="N459" s="773" t="str">
        <f t="shared" si="41"/>
        <v/>
      </c>
      <c r="O459" s="774" t="str">
        <f>IF('Set up ~ Config'!$G$32=6,IF(OR($N459=7,$N459=8,$N459=9),1,IF(OR($N459=10,$N459=11,$N459=12),2,IF(OR($N459=1,$N459=2,$N459=3),3,IF(OR($N459=4,$N459=5,$N459=6),4,"")))),IF(OR($N459=9,$N459=10,$N459=11),1,IF(OR($N459=12,$N459=1,$N459=2),2,IF(OR($N459=3,$N459=4,$N459=5),3,IF(OR($N459=6,$N459=7,$N459=8),4,"")))))</f>
        <v/>
      </c>
      <c r="P459" s="40"/>
      <c r="Q459" s="67"/>
      <c r="R459" s="68"/>
      <c r="S459" s="755">
        <f t="shared" si="38"/>
        <v>0</v>
      </c>
      <c r="T459" s="68"/>
      <c r="U459" s="68"/>
      <c r="V459" s="68"/>
      <c r="W459" s="68"/>
      <c r="X459" s="68"/>
      <c r="Y459" s="68"/>
      <c r="Z459" s="68"/>
      <c r="AA459" s="68"/>
      <c r="AB459" s="69"/>
      <c r="AC459" s="70"/>
      <c r="AD459" s="71"/>
      <c r="AE459" s="68"/>
      <c r="AF459" s="68"/>
      <c r="AG459" s="68"/>
      <c r="AH459" s="68"/>
      <c r="AI459" s="69"/>
      <c r="AJ459" s="69"/>
      <c r="AK459" s="68"/>
      <c r="AL459" s="77"/>
      <c r="AM459" s="71"/>
      <c r="AN459" s="68"/>
      <c r="AO459" s="68"/>
      <c r="AP459" s="68"/>
      <c r="AQ459" s="68"/>
      <c r="AR459" s="68"/>
      <c r="AS459" s="68"/>
      <c r="AT459" s="68"/>
      <c r="AU459" s="70"/>
      <c r="AV459" s="72"/>
      <c r="AW459" s="69"/>
      <c r="AX459" s="69"/>
      <c r="AY459" s="69"/>
      <c r="AZ459" s="69"/>
      <c r="BA459" s="69"/>
      <c r="BB459" s="69"/>
      <c r="BC459" s="69"/>
      <c r="BD459" s="70"/>
      <c r="BE459" s="71"/>
      <c r="BF459" s="68"/>
      <c r="BG459" s="68"/>
      <c r="BH459" s="70"/>
      <c r="BI459" s="67"/>
      <c r="BJ459" s="68"/>
      <c r="BK459" s="70"/>
      <c r="BL459" s="71"/>
      <c r="BM459" s="68"/>
      <c r="BN459" s="69"/>
      <c r="BO459" s="78"/>
      <c r="BP459" s="37">
        <f t="shared" si="39"/>
        <v>0</v>
      </c>
    </row>
    <row r="460" spans="1:68" ht="25.5" customHeight="1" thickTop="1" thickBot="1" x14ac:dyDescent="0.2">
      <c r="A460" s="17">
        <f t="shared" si="40"/>
        <v>445</v>
      </c>
      <c r="B460" s="1044"/>
      <c r="C460" s="1045"/>
      <c r="D460" s="38"/>
      <c r="E460" s="954"/>
      <c r="F460" s="53"/>
      <c r="G460" s="39"/>
      <c r="H460" s="1050"/>
      <c r="I460" s="684" t="str">
        <f t="shared" si="36"/>
        <v/>
      </c>
      <c r="J460" s="754">
        <f t="shared" si="37"/>
        <v>0</v>
      </c>
      <c r="K460" s="1254"/>
      <c r="L460" s="1253"/>
      <c r="M460" s="1253"/>
      <c r="N460" s="773" t="str">
        <f t="shared" si="41"/>
        <v/>
      </c>
      <c r="O460" s="774" t="str">
        <f>IF('Set up ~ Config'!$G$32=6,IF(OR($N460=7,$N460=8,$N460=9),1,IF(OR($N460=10,$N460=11,$N460=12),2,IF(OR($N460=1,$N460=2,$N460=3),3,IF(OR($N460=4,$N460=5,$N460=6),4,"")))),IF(OR($N460=9,$N460=10,$N460=11),1,IF(OR($N460=12,$N460=1,$N460=2),2,IF(OR($N460=3,$N460=4,$N460=5),3,IF(OR($N460=6,$N460=7,$N460=8),4,"")))))</f>
        <v/>
      </c>
      <c r="P460" s="40"/>
      <c r="Q460" s="67"/>
      <c r="R460" s="68"/>
      <c r="S460" s="755">
        <f t="shared" si="38"/>
        <v>0</v>
      </c>
      <c r="T460" s="68"/>
      <c r="U460" s="68"/>
      <c r="V460" s="68"/>
      <c r="W460" s="68"/>
      <c r="X460" s="68"/>
      <c r="Y460" s="68"/>
      <c r="Z460" s="68"/>
      <c r="AA460" s="68"/>
      <c r="AB460" s="69"/>
      <c r="AC460" s="70"/>
      <c r="AD460" s="71"/>
      <c r="AE460" s="68"/>
      <c r="AF460" s="68"/>
      <c r="AG460" s="68"/>
      <c r="AH460" s="68"/>
      <c r="AI460" s="69"/>
      <c r="AJ460" s="69"/>
      <c r="AK460" s="68"/>
      <c r="AL460" s="77"/>
      <c r="AM460" s="71"/>
      <c r="AN460" s="68"/>
      <c r="AO460" s="68"/>
      <c r="AP460" s="68"/>
      <c r="AQ460" s="68"/>
      <c r="AR460" s="68"/>
      <c r="AS460" s="68"/>
      <c r="AT460" s="68"/>
      <c r="AU460" s="70"/>
      <c r="AV460" s="72"/>
      <c r="AW460" s="69"/>
      <c r="AX460" s="69"/>
      <c r="AY460" s="69"/>
      <c r="AZ460" s="69"/>
      <c r="BA460" s="69"/>
      <c r="BB460" s="69"/>
      <c r="BC460" s="69"/>
      <c r="BD460" s="70"/>
      <c r="BE460" s="71"/>
      <c r="BF460" s="68"/>
      <c r="BG460" s="68"/>
      <c r="BH460" s="70"/>
      <c r="BI460" s="67"/>
      <c r="BJ460" s="68"/>
      <c r="BK460" s="70"/>
      <c r="BL460" s="71"/>
      <c r="BM460" s="68"/>
      <c r="BN460" s="69"/>
      <c r="BO460" s="78"/>
      <c r="BP460" s="37">
        <f t="shared" si="39"/>
        <v>0</v>
      </c>
    </row>
    <row r="461" spans="1:68" ht="25.5" customHeight="1" thickTop="1" thickBot="1" x14ac:dyDescent="0.2">
      <c r="A461" s="17">
        <f t="shared" si="40"/>
        <v>446</v>
      </c>
      <c r="B461" s="1044"/>
      <c r="C461" s="1045"/>
      <c r="D461" s="38"/>
      <c r="E461" s="954"/>
      <c r="F461" s="53"/>
      <c r="G461" s="39"/>
      <c r="H461" s="1050"/>
      <c r="I461" s="684" t="str">
        <f t="shared" si="36"/>
        <v/>
      </c>
      <c r="J461" s="754">
        <f t="shared" si="37"/>
        <v>0</v>
      </c>
      <c r="K461" s="1254"/>
      <c r="L461" s="1253"/>
      <c r="M461" s="1253"/>
      <c r="N461" s="773" t="str">
        <f t="shared" si="41"/>
        <v/>
      </c>
      <c r="O461" s="774" t="str">
        <f>IF('Set up ~ Config'!$G$32=6,IF(OR($N461=7,$N461=8,$N461=9),1,IF(OR($N461=10,$N461=11,$N461=12),2,IF(OR($N461=1,$N461=2,$N461=3),3,IF(OR($N461=4,$N461=5,$N461=6),4,"")))),IF(OR($N461=9,$N461=10,$N461=11),1,IF(OR($N461=12,$N461=1,$N461=2),2,IF(OR($N461=3,$N461=4,$N461=5),3,IF(OR($N461=6,$N461=7,$N461=8),4,"")))))</f>
        <v/>
      </c>
      <c r="P461" s="40"/>
      <c r="Q461" s="67"/>
      <c r="R461" s="68"/>
      <c r="S461" s="755">
        <f t="shared" si="38"/>
        <v>0</v>
      </c>
      <c r="T461" s="68"/>
      <c r="U461" s="68"/>
      <c r="V461" s="68"/>
      <c r="W461" s="68"/>
      <c r="X461" s="68"/>
      <c r="Y461" s="68"/>
      <c r="Z461" s="68"/>
      <c r="AA461" s="68"/>
      <c r="AB461" s="69"/>
      <c r="AC461" s="70"/>
      <c r="AD461" s="71"/>
      <c r="AE461" s="68"/>
      <c r="AF461" s="68"/>
      <c r="AG461" s="68"/>
      <c r="AH461" s="68"/>
      <c r="AI461" s="69"/>
      <c r="AJ461" s="69"/>
      <c r="AK461" s="68"/>
      <c r="AL461" s="77"/>
      <c r="AM461" s="71"/>
      <c r="AN461" s="68"/>
      <c r="AO461" s="68"/>
      <c r="AP461" s="68"/>
      <c r="AQ461" s="68"/>
      <c r="AR461" s="68"/>
      <c r="AS461" s="68"/>
      <c r="AT461" s="68"/>
      <c r="AU461" s="70"/>
      <c r="AV461" s="72"/>
      <c r="AW461" s="69"/>
      <c r="AX461" s="69"/>
      <c r="AY461" s="69"/>
      <c r="AZ461" s="69"/>
      <c r="BA461" s="69"/>
      <c r="BB461" s="69"/>
      <c r="BC461" s="69"/>
      <c r="BD461" s="70"/>
      <c r="BE461" s="71"/>
      <c r="BF461" s="68"/>
      <c r="BG461" s="68"/>
      <c r="BH461" s="70"/>
      <c r="BI461" s="67"/>
      <c r="BJ461" s="68"/>
      <c r="BK461" s="70"/>
      <c r="BL461" s="71"/>
      <c r="BM461" s="68"/>
      <c r="BN461" s="69"/>
      <c r="BO461" s="78"/>
      <c r="BP461" s="37">
        <f t="shared" si="39"/>
        <v>0</v>
      </c>
    </row>
    <row r="462" spans="1:68" ht="25.5" customHeight="1" thickTop="1" thickBot="1" x14ac:dyDescent="0.2">
      <c r="A462" s="17">
        <f t="shared" si="40"/>
        <v>447</v>
      </c>
      <c r="B462" s="1044"/>
      <c r="C462" s="1045"/>
      <c r="D462" s="38"/>
      <c r="E462" s="954"/>
      <c r="F462" s="53"/>
      <c r="G462" s="39"/>
      <c r="H462" s="1050"/>
      <c r="I462" s="684" t="str">
        <f t="shared" si="36"/>
        <v/>
      </c>
      <c r="J462" s="754">
        <f t="shared" si="37"/>
        <v>0</v>
      </c>
      <c r="K462" s="1254"/>
      <c r="L462" s="1253"/>
      <c r="M462" s="1253"/>
      <c r="N462" s="773" t="str">
        <f t="shared" si="41"/>
        <v/>
      </c>
      <c r="O462" s="774" t="str">
        <f>IF('Set up ~ Config'!$G$32=6,IF(OR($N462=7,$N462=8,$N462=9),1,IF(OR($N462=10,$N462=11,$N462=12),2,IF(OR($N462=1,$N462=2,$N462=3),3,IF(OR($N462=4,$N462=5,$N462=6),4,"")))),IF(OR($N462=9,$N462=10,$N462=11),1,IF(OR($N462=12,$N462=1,$N462=2),2,IF(OR($N462=3,$N462=4,$N462=5),3,IF(OR($N462=6,$N462=7,$N462=8),4,"")))))</f>
        <v/>
      </c>
      <c r="P462" s="40"/>
      <c r="Q462" s="67"/>
      <c r="R462" s="68"/>
      <c r="S462" s="755">
        <f t="shared" si="38"/>
        <v>0</v>
      </c>
      <c r="T462" s="68"/>
      <c r="U462" s="68"/>
      <c r="V462" s="68"/>
      <c r="W462" s="68"/>
      <c r="X462" s="68"/>
      <c r="Y462" s="68"/>
      <c r="Z462" s="68"/>
      <c r="AA462" s="68"/>
      <c r="AB462" s="69"/>
      <c r="AC462" s="70"/>
      <c r="AD462" s="71"/>
      <c r="AE462" s="68"/>
      <c r="AF462" s="68"/>
      <c r="AG462" s="68"/>
      <c r="AH462" s="68"/>
      <c r="AI462" s="69"/>
      <c r="AJ462" s="69"/>
      <c r="AK462" s="68"/>
      <c r="AL462" s="77"/>
      <c r="AM462" s="71"/>
      <c r="AN462" s="68"/>
      <c r="AO462" s="68"/>
      <c r="AP462" s="68"/>
      <c r="AQ462" s="68"/>
      <c r="AR462" s="68"/>
      <c r="AS462" s="68"/>
      <c r="AT462" s="68"/>
      <c r="AU462" s="70"/>
      <c r="AV462" s="72"/>
      <c r="AW462" s="69"/>
      <c r="AX462" s="69"/>
      <c r="AY462" s="69"/>
      <c r="AZ462" s="69"/>
      <c r="BA462" s="69"/>
      <c r="BB462" s="69"/>
      <c r="BC462" s="69"/>
      <c r="BD462" s="70"/>
      <c r="BE462" s="71"/>
      <c r="BF462" s="68"/>
      <c r="BG462" s="68"/>
      <c r="BH462" s="70"/>
      <c r="BI462" s="67"/>
      <c r="BJ462" s="68"/>
      <c r="BK462" s="70"/>
      <c r="BL462" s="71"/>
      <c r="BM462" s="68"/>
      <c r="BN462" s="69"/>
      <c r="BO462" s="78"/>
      <c r="BP462" s="37">
        <f t="shared" si="39"/>
        <v>0</v>
      </c>
    </row>
    <row r="463" spans="1:68" ht="25.5" customHeight="1" thickTop="1" thickBot="1" x14ac:dyDescent="0.2">
      <c r="A463" s="17">
        <f t="shared" si="40"/>
        <v>448</v>
      </c>
      <c r="B463" s="1044"/>
      <c r="C463" s="1045"/>
      <c r="D463" s="38"/>
      <c r="E463" s="954"/>
      <c r="F463" s="53"/>
      <c r="G463" s="39"/>
      <c r="H463" s="1050"/>
      <c r="I463" s="684" t="str">
        <f t="shared" si="36"/>
        <v/>
      </c>
      <c r="J463" s="754">
        <f t="shared" si="37"/>
        <v>0</v>
      </c>
      <c r="K463" s="1254"/>
      <c r="L463" s="1253"/>
      <c r="M463" s="1253"/>
      <c r="N463" s="773" t="str">
        <f t="shared" si="41"/>
        <v/>
      </c>
      <c r="O463" s="774" t="str">
        <f>IF('Set up ~ Config'!$G$32=6,IF(OR($N463=7,$N463=8,$N463=9),1,IF(OR($N463=10,$N463=11,$N463=12),2,IF(OR($N463=1,$N463=2,$N463=3),3,IF(OR($N463=4,$N463=5,$N463=6),4,"")))),IF(OR($N463=9,$N463=10,$N463=11),1,IF(OR($N463=12,$N463=1,$N463=2),2,IF(OR($N463=3,$N463=4,$N463=5),3,IF(OR($N463=6,$N463=7,$N463=8),4,"")))))</f>
        <v/>
      </c>
      <c r="P463" s="40"/>
      <c r="Q463" s="67"/>
      <c r="R463" s="68"/>
      <c r="S463" s="755">
        <f t="shared" si="38"/>
        <v>0</v>
      </c>
      <c r="T463" s="68"/>
      <c r="U463" s="68"/>
      <c r="V463" s="68"/>
      <c r="W463" s="68"/>
      <c r="X463" s="68"/>
      <c r="Y463" s="68"/>
      <c r="Z463" s="68"/>
      <c r="AA463" s="68"/>
      <c r="AB463" s="69"/>
      <c r="AC463" s="70"/>
      <c r="AD463" s="71"/>
      <c r="AE463" s="68"/>
      <c r="AF463" s="68"/>
      <c r="AG463" s="68"/>
      <c r="AH463" s="68"/>
      <c r="AI463" s="69"/>
      <c r="AJ463" s="69"/>
      <c r="AK463" s="68"/>
      <c r="AL463" s="77"/>
      <c r="AM463" s="71"/>
      <c r="AN463" s="68"/>
      <c r="AO463" s="68"/>
      <c r="AP463" s="68"/>
      <c r="AQ463" s="68"/>
      <c r="AR463" s="68"/>
      <c r="AS463" s="68"/>
      <c r="AT463" s="68"/>
      <c r="AU463" s="70"/>
      <c r="AV463" s="72"/>
      <c r="AW463" s="69"/>
      <c r="AX463" s="69"/>
      <c r="AY463" s="69"/>
      <c r="AZ463" s="69"/>
      <c r="BA463" s="69"/>
      <c r="BB463" s="69"/>
      <c r="BC463" s="69"/>
      <c r="BD463" s="70"/>
      <c r="BE463" s="71"/>
      <c r="BF463" s="68"/>
      <c r="BG463" s="68"/>
      <c r="BH463" s="70"/>
      <c r="BI463" s="67"/>
      <c r="BJ463" s="68"/>
      <c r="BK463" s="70"/>
      <c r="BL463" s="71"/>
      <c r="BM463" s="68"/>
      <c r="BN463" s="69"/>
      <c r="BO463" s="78"/>
      <c r="BP463" s="37">
        <f t="shared" si="39"/>
        <v>0</v>
      </c>
    </row>
    <row r="464" spans="1:68" ht="25.5" customHeight="1" thickTop="1" thickBot="1" x14ac:dyDescent="0.2">
      <c r="A464" s="17">
        <f t="shared" si="40"/>
        <v>449</v>
      </c>
      <c r="B464" s="1044"/>
      <c r="C464" s="1045"/>
      <c r="D464" s="38"/>
      <c r="E464" s="954"/>
      <c r="F464" s="53"/>
      <c r="G464" s="39"/>
      <c r="H464" s="1050"/>
      <c r="I464" s="684" t="str">
        <f t="shared" ref="I464:I515" si="42">LEFT(H464,4)</f>
        <v/>
      </c>
      <c r="J464" s="754">
        <f t="shared" ref="J464:J515" si="43">G464-BP464</f>
        <v>0</v>
      </c>
      <c r="K464" s="1254"/>
      <c r="L464" s="1253"/>
      <c r="M464" s="1253"/>
      <c r="N464" s="773" t="str">
        <f t="shared" si="41"/>
        <v/>
      </c>
      <c r="O464" s="774" t="str">
        <f>IF('Set up ~ Config'!$G$32=6,IF(OR($N464=7,$N464=8,$N464=9),1,IF(OR($N464=10,$N464=11,$N464=12),2,IF(OR($N464=1,$N464=2,$N464=3),3,IF(OR($N464=4,$N464=5,$N464=6),4,"")))),IF(OR($N464=9,$N464=10,$N464=11),1,IF(OR($N464=12,$N464=1,$N464=2),2,IF(OR($N464=3,$N464=4,$N464=5),3,IF(OR($N464=6,$N464=7,$N464=8),4,"")))))</f>
        <v/>
      </c>
      <c r="P464" s="40"/>
      <c r="Q464" s="67"/>
      <c r="R464" s="68"/>
      <c r="S464" s="755">
        <f t="shared" ref="S464:S515" si="44">SUM(T464:W464)</f>
        <v>0</v>
      </c>
      <c r="T464" s="68"/>
      <c r="U464" s="68"/>
      <c r="V464" s="68"/>
      <c r="W464" s="68"/>
      <c r="X464" s="68"/>
      <c r="Y464" s="68"/>
      <c r="Z464" s="68"/>
      <c r="AA464" s="68"/>
      <c r="AB464" s="69"/>
      <c r="AC464" s="70"/>
      <c r="AD464" s="71"/>
      <c r="AE464" s="68"/>
      <c r="AF464" s="68"/>
      <c r="AG464" s="68"/>
      <c r="AH464" s="68"/>
      <c r="AI464" s="69"/>
      <c r="AJ464" s="69"/>
      <c r="AK464" s="68"/>
      <c r="AL464" s="77"/>
      <c r="AM464" s="71"/>
      <c r="AN464" s="68"/>
      <c r="AO464" s="68"/>
      <c r="AP464" s="68"/>
      <c r="AQ464" s="68"/>
      <c r="AR464" s="68"/>
      <c r="AS464" s="68"/>
      <c r="AT464" s="68"/>
      <c r="AU464" s="70"/>
      <c r="AV464" s="72"/>
      <c r="AW464" s="69"/>
      <c r="AX464" s="69"/>
      <c r="AY464" s="69"/>
      <c r="AZ464" s="69"/>
      <c r="BA464" s="69"/>
      <c r="BB464" s="69"/>
      <c r="BC464" s="69"/>
      <c r="BD464" s="70"/>
      <c r="BE464" s="71"/>
      <c r="BF464" s="68"/>
      <c r="BG464" s="68"/>
      <c r="BH464" s="70"/>
      <c r="BI464" s="67"/>
      <c r="BJ464" s="68"/>
      <c r="BK464" s="70"/>
      <c r="BL464" s="71"/>
      <c r="BM464" s="68"/>
      <c r="BN464" s="69"/>
      <c r="BO464" s="78"/>
      <c r="BP464" s="37">
        <f t="shared" ref="BP464:BP515" si="45">SUM(Q464:R464,T464:BO464)</f>
        <v>0</v>
      </c>
    </row>
    <row r="465" spans="1:68" ht="25.5" customHeight="1" thickTop="1" thickBot="1" x14ac:dyDescent="0.2">
      <c r="A465" s="17">
        <f t="shared" ref="A465:A515" si="46">$A464+1</f>
        <v>450</v>
      </c>
      <c r="B465" s="1044"/>
      <c r="C465" s="1045"/>
      <c r="D465" s="38"/>
      <c r="E465" s="954"/>
      <c r="F465" s="53"/>
      <c r="G465" s="39"/>
      <c r="H465" s="1050"/>
      <c r="I465" s="684" t="str">
        <f t="shared" si="42"/>
        <v/>
      </c>
      <c r="J465" s="754">
        <f t="shared" si="43"/>
        <v>0</v>
      </c>
      <c r="K465" s="1254"/>
      <c r="L465" s="1253"/>
      <c r="M465" s="1253"/>
      <c r="N465" s="773" t="str">
        <f t="shared" ref="N465:N515" si="47">IF($E465="","",MONTH($E465))</f>
        <v/>
      </c>
      <c r="O465" s="774" t="str">
        <f>IF('Set up ~ Config'!$G$32=6,IF(OR($N465=7,$N465=8,$N465=9),1,IF(OR($N465=10,$N465=11,$N465=12),2,IF(OR($N465=1,$N465=2,$N465=3),3,IF(OR($N465=4,$N465=5,$N465=6),4,"")))),IF(OR($N465=9,$N465=10,$N465=11),1,IF(OR($N465=12,$N465=1,$N465=2),2,IF(OR($N465=3,$N465=4,$N465=5),3,IF(OR($N465=6,$N465=7,$N465=8),4,"")))))</f>
        <v/>
      </c>
      <c r="P465" s="40"/>
      <c r="Q465" s="67"/>
      <c r="R465" s="68"/>
      <c r="S465" s="755">
        <f t="shared" si="44"/>
        <v>0</v>
      </c>
      <c r="T465" s="68"/>
      <c r="U465" s="68"/>
      <c r="V465" s="68"/>
      <c r="W465" s="68"/>
      <c r="X465" s="68"/>
      <c r="Y465" s="68"/>
      <c r="Z465" s="68"/>
      <c r="AA465" s="68"/>
      <c r="AB465" s="69"/>
      <c r="AC465" s="70"/>
      <c r="AD465" s="71"/>
      <c r="AE465" s="68"/>
      <c r="AF465" s="68"/>
      <c r="AG465" s="68"/>
      <c r="AH465" s="68"/>
      <c r="AI465" s="69"/>
      <c r="AJ465" s="69"/>
      <c r="AK465" s="68"/>
      <c r="AL465" s="77"/>
      <c r="AM465" s="71"/>
      <c r="AN465" s="68"/>
      <c r="AO465" s="68"/>
      <c r="AP465" s="68"/>
      <c r="AQ465" s="68"/>
      <c r="AR465" s="68"/>
      <c r="AS465" s="68"/>
      <c r="AT465" s="68"/>
      <c r="AU465" s="70"/>
      <c r="AV465" s="72"/>
      <c r="AW465" s="69"/>
      <c r="AX465" s="69"/>
      <c r="AY465" s="69"/>
      <c r="AZ465" s="69"/>
      <c r="BA465" s="69"/>
      <c r="BB465" s="69"/>
      <c r="BC465" s="69"/>
      <c r="BD465" s="70"/>
      <c r="BE465" s="71"/>
      <c r="BF465" s="68"/>
      <c r="BG465" s="68"/>
      <c r="BH465" s="70"/>
      <c r="BI465" s="67"/>
      <c r="BJ465" s="68"/>
      <c r="BK465" s="70"/>
      <c r="BL465" s="71"/>
      <c r="BM465" s="68"/>
      <c r="BN465" s="69"/>
      <c r="BO465" s="78"/>
      <c r="BP465" s="37">
        <f t="shared" si="45"/>
        <v>0</v>
      </c>
    </row>
    <row r="466" spans="1:68" ht="25.5" customHeight="1" thickTop="1" thickBot="1" x14ac:dyDescent="0.2">
      <c r="A466" s="17">
        <f t="shared" si="46"/>
        <v>451</v>
      </c>
      <c r="B466" s="1044"/>
      <c r="C466" s="1045"/>
      <c r="D466" s="38"/>
      <c r="E466" s="954"/>
      <c r="F466" s="53"/>
      <c r="G466" s="39"/>
      <c r="H466" s="1050"/>
      <c r="I466" s="684" t="str">
        <f t="shared" si="42"/>
        <v/>
      </c>
      <c r="J466" s="754">
        <f t="shared" si="43"/>
        <v>0</v>
      </c>
      <c r="K466" s="1254"/>
      <c r="L466" s="1253"/>
      <c r="M466" s="1253"/>
      <c r="N466" s="773" t="str">
        <f t="shared" si="47"/>
        <v/>
      </c>
      <c r="O466" s="774" t="str">
        <f>IF('Set up ~ Config'!$G$32=6,IF(OR($N466=7,$N466=8,$N466=9),1,IF(OR($N466=10,$N466=11,$N466=12),2,IF(OR($N466=1,$N466=2,$N466=3),3,IF(OR($N466=4,$N466=5,$N466=6),4,"")))),IF(OR($N466=9,$N466=10,$N466=11),1,IF(OR($N466=12,$N466=1,$N466=2),2,IF(OR($N466=3,$N466=4,$N466=5),3,IF(OR($N466=6,$N466=7,$N466=8),4,"")))))</f>
        <v/>
      </c>
      <c r="P466" s="40"/>
      <c r="Q466" s="67"/>
      <c r="R466" s="68"/>
      <c r="S466" s="755">
        <f t="shared" si="44"/>
        <v>0</v>
      </c>
      <c r="T466" s="68"/>
      <c r="U466" s="68"/>
      <c r="V466" s="68"/>
      <c r="W466" s="68"/>
      <c r="X466" s="68"/>
      <c r="Y466" s="68"/>
      <c r="Z466" s="68"/>
      <c r="AA466" s="68"/>
      <c r="AB466" s="69"/>
      <c r="AC466" s="70"/>
      <c r="AD466" s="71"/>
      <c r="AE466" s="68"/>
      <c r="AF466" s="68"/>
      <c r="AG466" s="68"/>
      <c r="AH466" s="68"/>
      <c r="AI466" s="69"/>
      <c r="AJ466" s="69"/>
      <c r="AK466" s="68"/>
      <c r="AL466" s="77"/>
      <c r="AM466" s="71"/>
      <c r="AN466" s="68"/>
      <c r="AO466" s="68"/>
      <c r="AP466" s="68"/>
      <c r="AQ466" s="68"/>
      <c r="AR466" s="68"/>
      <c r="AS466" s="68"/>
      <c r="AT466" s="68"/>
      <c r="AU466" s="70"/>
      <c r="AV466" s="72"/>
      <c r="AW466" s="69"/>
      <c r="AX466" s="69"/>
      <c r="AY466" s="69"/>
      <c r="AZ466" s="69"/>
      <c r="BA466" s="69"/>
      <c r="BB466" s="69"/>
      <c r="BC466" s="69"/>
      <c r="BD466" s="70"/>
      <c r="BE466" s="71"/>
      <c r="BF466" s="68"/>
      <c r="BG466" s="68"/>
      <c r="BH466" s="70"/>
      <c r="BI466" s="67"/>
      <c r="BJ466" s="68"/>
      <c r="BK466" s="70"/>
      <c r="BL466" s="71"/>
      <c r="BM466" s="68"/>
      <c r="BN466" s="69"/>
      <c r="BO466" s="78"/>
      <c r="BP466" s="37">
        <f t="shared" si="45"/>
        <v>0</v>
      </c>
    </row>
    <row r="467" spans="1:68" ht="25.5" customHeight="1" thickTop="1" thickBot="1" x14ac:dyDescent="0.2">
      <c r="A467" s="17">
        <f t="shared" si="46"/>
        <v>452</v>
      </c>
      <c r="B467" s="1044"/>
      <c r="C467" s="1045"/>
      <c r="D467" s="38"/>
      <c r="E467" s="954"/>
      <c r="F467" s="53"/>
      <c r="G467" s="39"/>
      <c r="H467" s="1050"/>
      <c r="I467" s="684" t="str">
        <f t="shared" si="42"/>
        <v/>
      </c>
      <c r="J467" s="754">
        <f t="shared" si="43"/>
        <v>0</v>
      </c>
      <c r="K467" s="1254"/>
      <c r="L467" s="1253"/>
      <c r="M467" s="1253"/>
      <c r="N467" s="773" t="str">
        <f t="shared" si="47"/>
        <v/>
      </c>
      <c r="O467" s="774" t="str">
        <f>IF('Set up ~ Config'!$G$32=6,IF(OR($N467=7,$N467=8,$N467=9),1,IF(OR($N467=10,$N467=11,$N467=12),2,IF(OR($N467=1,$N467=2,$N467=3),3,IF(OR($N467=4,$N467=5,$N467=6),4,"")))),IF(OR($N467=9,$N467=10,$N467=11),1,IF(OR($N467=12,$N467=1,$N467=2),2,IF(OR($N467=3,$N467=4,$N467=5),3,IF(OR($N467=6,$N467=7,$N467=8),4,"")))))</f>
        <v/>
      </c>
      <c r="P467" s="40"/>
      <c r="Q467" s="67"/>
      <c r="R467" s="68"/>
      <c r="S467" s="755">
        <f t="shared" si="44"/>
        <v>0</v>
      </c>
      <c r="T467" s="68"/>
      <c r="U467" s="68"/>
      <c r="V467" s="68"/>
      <c r="W467" s="68"/>
      <c r="X467" s="68"/>
      <c r="Y467" s="68"/>
      <c r="Z467" s="68"/>
      <c r="AA467" s="68"/>
      <c r="AB467" s="69"/>
      <c r="AC467" s="70"/>
      <c r="AD467" s="71"/>
      <c r="AE467" s="68"/>
      <c r="AF467" s="68"/>
      <c r="AG467" s="68"/>
      <c r="AH467" s="68"/>
      <c r="AI467" s="69"/>
      <c r="AJ467" s="69"/>
      <c r="AK467" s="68"/>
      <c r="AL467" s="77"/>
      <c r="AM467" s="71"/>
      <c r="AN467" s="68"/>
      <c r="AO467" s="68"/>
      <c r="AP467" s="68"/>
      <c r="AQ467" s="68"/>
      <c r="AR467" s="68"/>
      <c r="AS467" s="68"/>
      <c r="AT467" s="68"/>
      <c r="AU467" s="70"/>
      <c r="AV467" s="72"/>
      <c r="AW467" s="69"/>
      <c r="AX467" s="69"/>
      <c r="AY467" s="69"/>
      <c r="AZ467" s="69"/>
      <c r="BA467" s="69"/>
      <c r="BB467" s="69"/>
      <c r="BC467" s="69"/>
      <c r="BD467" s="70"/>
      <c r="BE467" s="71"/>
      <c r="BF467" s="68"/>
      <c r="BG467" s="68"/>
      <c r="BH467" s="70"/>
      <c r="BI467" s="67"/>
      <c r="BJ467" s="68"/>
      <c r="BK467" s="70"/>
      <c r="BL467" s="71"/>
      <c r="BM467" s="68"/>
      <c r="BN467" s="69"/>
      <c r="BO467" s="78"/>
      <c r="BP467" s="37">
        <f t="shared" si="45"/>
        <v>0</v>
      </c>
    </row>
    <row r="468" spans="1:68" ht="25.5" customHeight="1" thickTop="1" thickBot="1" x14ac:dyDescent="0.2">
      <c r="A468" s="17">
        <f t="shared" si="46"/>
        <v>453</v>
      </c>
      <c r="B468" s="1044"/>
      <c r="C468" s="1045"/>
      <c r="D468" s="38"/>
      <c r="E468" s="954"/>
      <c r="F468" s="53"/>
      <c r="G468" s="39"/>
      <c r="H468" s="1050"/>
      <c r="I468" s="684" t="str">
        <f t="shared" si="42"/>
        <v/>
      </c>
      <c r="J468" s="754">
        <f t="shared" si="43"/>
        <v>0</v>
      </c>
      <c r="K468" s="1254"/>
      <c r="L468" s="1253"/>
      <c r="M468" s="1253"/>
      <c r="N468" s="773" t="str">
        <f t="shared" si="47"/>
        <v/>
      </c>
      <c r="O468" s="774" t="str">
        <f>IF('Set up ~ Config'!$G$32=6,IF(OR($N468=7,$N468=8,$N468=9),1,IF(OR($N468=10,$N468=11,$N468=12),2,IF(OR($N468=1,$N468=2,$N468=3),3,IF(OR($N468=4,$N468=5,$N468=6),4,"")))),IF(OR($N468=9,$N468=10,$N468=11),1,IF(OR($N468=12,$N468=1,$N468=2),2,IF(OR($N468=3,$N468=4,$N468=5),3,IF(OR($N468=6,$N468=7,$N468=8),4,"")))))</f>
        <v/>
      </c>
      <c r="P468" s="40"/>
      <c r="Q468" s="67"/>
      <c r="R468" s="68"/>
      <c r="S468" s="755">
        <f t="shared" si="44"/>
        <v>0</v>
      </c>
      <c r="T468" s="68"/>
      <c r="U468" s="68"/>
      <c r="V468" s="68"/>
      <c r="W468" s="68"/>
      <c r="X468" s="68"/>
      <c r="Y468" s="68"/>
      <c r="Z468" s="68"/>
      <c r="AA468" s="68"/>
      <c r="AB468" s="69"/>
      <c r="AC468" s="70"/>
      <c r="AD468" s="71"/>
      <c r="AE468" s="68"/>
      <c r="AF468" s="68"/>
      <c r="AG468" s="68"/>
      <c r="AH468" s="68"/>
      <c r="AI468" s="69"/>
      <c r="AJ468" s="69"/>
      <c r="AK468" s="68"/>
      <c r="AL468" s="77"/>
      <c r="AM468" s="71"/>
      <c r="AN468" s="68"/>
      <c r="AO468" s="68"/>
      <c r="AP468" s="68"/>
      <c r="AQ468" s="68"/>
      <c r="AR468" s="68"/>
      <c r="AS468" s="68"/>
      <c r="AT468" s="68"/>
      <c r="AU468" s="70"/>
      <c r="AV468" s="72"/>
      <c r="AW468" s="69"/>
      <c r="AX468" s="69"/>
      <c r="AY468" s="69"/>
      <c r="AZ468" s="69"/>
      <c r="BA468" s="69"/>
      <c r="BB468" s="69"/>
      <c r="BC468" s="69"/>
      <c r="BD468" s="70"/>
      <c r="BE468" s="71"/>
      <c r="BF468" s="68"/>
      <c r="BG468" s="68"/>
      <c r="BH468" s="70"/>
      <c r="BI468" s="67"/>
      <c r="BJ468" s="68"/>
      <c r="BK468" s="70"/>
      <c r="BL468" s="71"/>
      <c r="BM468" s="68"/>
      <c r="BN468" s="69"/>
      <c r="BO468" s="78"/>
      <c r="BP468" s="37">
        <f t="shared" si="45"/>
        <v>0</v>
      </c>
    </row>
    <row r="469" spans="1:68" ht="25.5" customHeight="1" thickTop="1" thickBot="1" x14ac:dyDescent="0.2">
      <c r="A469" s="17">
        <f t="shared" si="46"/>
        <v>454</v>
      </c>
      <c r="B469" s="1044"/>
      <c r="C469" s="1045"/>
      <c r="D469" s="38"/>
      <c r="E469" s="954"/>
      <c r="F469" s="53"/>
      <c r="G469" s="39"/>
      <c r="H469" s="1050"/>
      <c r="I469" s="684" t="str">
        <f t="shared" si="42"/>
        <v/>
      </c>
      <c r="J469" s="754">
        <f t="shared" si="43"/>
        <v>0</v>
      </c>
      <c r="K469" s="1254"/>
      <c r="L469" s="1253"/>
      <c r="M469" s="1253"/>
      <c r="N469" s="773" t="str">
        <f t="shared" si="47"/>
        <v/>
      </c>
      <c r="O469" s="774" t="str">
        <f>IF('Set up ~ Config'!$G$32=6,IF(OR($N469=7,$N469=8,$N469=9),1,IF(OR($N469=10,$N469=11,$N469=12),2,IF(OR($N469=1,$N469=2,$N469=3),3,IF(OR($N469=4,$N469=5,$N469=6),4,"")))),IF(OR($N469=9,$N469=10,$N469=11),1,IF(OR($N469=12,$N469=1,$N469=2),2,IF(OR($N469=3,$N469=4,$N469=5),3,IF(OR($N469=6,$N469=7,$N469=8),4,"")))))</f>
        <v/>
      </c>
      <c r="P469" s="40"/>
      <c r="Q469" s="67"/>
      <c r="R469" s="68"/>
      <c r="S469" s="755">
        <f t="shared" si="44"/>
        <v>0</v>
      </c>
      <c r="T469" s="68"/>
      <c r="U469" s="68"/>
      <c r="V469" s="68"/>
      <c r="W469" s="68"/>
      <c r="X469" s="68"/>
      <c r="Y469" s="68"/>
      <c r="Z469" s="68"/>
      <c r="AA469" s="68"/>
      <c r="AB469" s="69"/>
      <c r="AC469" s="70"/>
      <c r="AD469" s="71"/>
      <c r="AE469" s="68"/>
      <c r="AF469" s="68"/>
      <c r="AG469" s="68"/>
      <c r="AH469" s="68"/>
      <c r="AI469" s="69"/>
      <c r="AJ469" s="69"/>
      <c r="AK469" s="68"/>
      <c r="AL469" s="77"/>
      <c r="AM469" s="71"/>
      <c r="AN469" s="68"/>
      <c r="AO469" s="68"/>
      <c r="AP469" s="68"/>
      <c r="AQ469" s="68"/>
      <c r="AR469" s="68"/>
      <c r="AS469" s="68"/>
      <c r="AT469" s="68"/>
      <c r="AU469" s="70"/>
      <c r="AV469" s="72"/>
      <c r="AW469" s="69"/>
      <c r="AX469" s="69"/>
      <c r="AY469" s="69"/>
      <c r="AZ469" s="69"/>
      <c r="BA469" s="69"/>
      <c r="BB469" s="69"/>
      <c r="BC469" s="69"/>
      <c r="BD469" s="70"/>
      <c r="BE469" s="71"/>
      <c r="BF469" s="68"/>
      <c r="BG469" s="68"/>
      <c r="BH469" s="70"/>
      <c r="BI469" s="67"/>
      <c r="BJ469" s="68"/>
      <c r="BK469" s="70"/>
      <c r="BL469" s="71"/>
      <c r="BM469" s="68"/>
      <c r="BN469" s="69"/>
      <c r="BO469" s="78"/>
      <c r="BP469" s="37">
        <f t="shared" si="45"/>
        <v>0</v>
      </c>
    </row>
    <row r="470" spans="1:68" ht="25.5" customHeight="1" thickTop="1" thickBot="1" x14ac:dyDescent="0.2">
      <c r="A470" s="17">
        <f t="shared" si="46"/>
        <v>455</v>
      </c>
      <c r="B470" s="1044"/>
      <c r="C470" s="1045"/>
      <c r="D470" s="38"/>
      <c r="E470" s="954"/>
      <c r="F470" s="53"/>
      <c r="G470" s="39"/>
      <c r="H470" s="1050"/>
      <c r="I470" s="684" t="str">
        <f t="shared" si="42"/>
        <v/>
      </c>
      <c r="J470" s="754">
        <f t="shared" si="43"/>
        <v>0</v>
      </c>
      <c r="K470" s="1254"/>
      <c r="L470" s="1253"/>
      <c r="M470" s="1253"/>
      <c r="N470" s="773" t="str">
        <f t="shared" si="47"/>
        <v/>
      </c>
      <c r="O470" s="774" t="str">
        <f>IF('Set up ~ Config'!$G$32=6,IF(OR($N470=7,$N470=8,$N470=9),1,IF(OR($N470=10,$N470=11,$N470=12),2,IF(OR($N470=1,$N470=2,$N470=3),3,IF(OR($N470=4,$N470=5,$N470=6),4,"")))),IF(OR($N470=9,$N470=10,$N470=11),1,IF(OR($N470=12,$N470=1,$N470=2),2,IF(OR($N470=3,$N470=4,$N470=5),3,IF(OR($N470=6,$N470=7,$N470=8),4,"")))))</f>
        <v/>
      </c>
      <c r="P470" s="40"/>
      <c r="Q470" s="67"/>
      <c r="R470" s="68"/>
      <c r="S470" s="755">
        <f t="shared" si="44"/>
        <v>0</v>
      </c>
      <c r="T470" s="68"/>
      <c r="U470" s="68"/>
      <c r="V470" s="68"/>
      <c r="W470" s="68"/>
      <c r="X470" s="68"/>
      <c r="Y470" s="68"/>
      <c r="Z470" s="68"/>
      <c r="AA470" s="68"/>
      <c r="AB470" s="69"/>
      <c r="AC470" s="70"/>
      <c r="AD470" s="71"/>
      <c r="AE470" s="68"/>
      <c r="AF470" s="68"/>
      <c r="AG470" s="68"/>
      <c r="AH470" s="68"/>
      <c r="AI470" s="69"/>
      <c r="AJ470" s="69"/>
      <c r="AK470" s="68"/>
      <c r="AL470" s="77"/>
      <c r="AM470" s="71"/>
      <c r="AN470" s="68"/>
      <c r="AO470" s="68"/>
      <c r="AP470" s="68"/>
      <c r="AQ470" s="68"/>
      <c r="AR470" s="68"/>
      <c r="AS470" s="68"/>
      <c r="AT470" s="68"/>
      <c r="AU470" s="70"/>
      <c r="AV470" s="72"/>
      <c r="AW470" s="69"/>
      <c r="AX470" s="69"/>
      <c r="AY470" s="69"/>
      <c r="AZ470" s="69"/>
      <c r="BA470" s="69"/>
      <c r="BB470" s="69"/>
      <c r="BC470" s="69"/>
      <c r="BD470" s="70"/>
      <c r="BE470" s="71"/>
      <c r="BF470" s="68"/>
      <c r="BG470" s="68"/>
      <c r="BH470" s="70"/>
      <c r="BI470" s="67"/>
      <c r="BJ470" s="68"/>
      <c r="BK470" s="70"/>
      <c r="BL470" s="71"/>
      <c r="BM470" s="68"/>
      <c r="BN470" s="69"/>
      <c r="BO470" s="78"/>
      <c r="BP470" s="37">
        <f t="shared" si="45"/>
        <v>0</v>
      </c>
    </row>
    <row r="471" spans="1:68" ht="25.5" customHeight="1" thickTop="1" thickBot="1" x14ac:dyDescent="0.2">
      <c r="A471" s="17">
        <f t="shared" si="46"/>
        <v>456</v>
      </c>
      <c r="B471" s="1044"/>
      <c r="C471" s="1045"/>
      <c r="D471" s="38"/>
      <c r="E471" s="954"/>
      <c r="F471" s="53"/>
      <c r="G471" s="39"/>
      <c r="H471" s="1050"/>
      <c r="I471" s="684" t="str">
        <f t="shared" si="42"/>
        <v/>
      </c>
      <c r="J471" s="754">
        <f t="shared" si="43"/>
        <v>0</v>
      </c>
      <c r="K471" s="1254"/>
      <c r="L471" s="1253"/>
      <c r="M471" s="1253"/>
      <c r="N471" s="773" t="str">
        <f t="shared" si="47"/>
        <v/>
      </c>
      <c r="O471" s="774" t="str">
        <f>IF('Set up ~ Config'!$G$32=6,IF(OR($N471=7,$N471=8,$N471=9),1,IF(OR($N471=10,$N471=11,$N471=12),2,IF(OR($N471=1,$N471=2,$N471=3),3,IF(OR($N471=4,$N471=5,$N471=6),4,"")))),IF(OR($N471=9,$N471=10,$N471=11),1,IF(OR($N471=12,$N471=1,$N471=2),2,IF(OR($N471=3,$N471=4,$N471=5),3,IF(OR($N471=6,$N471=7,$N471=8),4,"")))))</f>
        <v/>
      </c>
      <c r="P471" s="40"/>
      <c r="Q471" s="67"/>
      <c r="R471" s="68"/>
      <c r="S471" s="755">
        <f t="shared" si="44"/>
        <v>0</v>
      </c>
      <c r="T471" s="68"/>
      <c r="U471" s="68"/>
      <c r="V471" s="68"/>
      <c r="W471" s="68"/>
      <c r="X471" s="68"/>
      <c r="Y471" s="68"/>
      <c r="Z471" s="68"/>
      <c r="AA471" s="68"/>
      <c r="AB471" s="69"/>
      <c r="AC471" s="70"/>
      <c r="AD471" s="71"/>
      <c r="AE471" s="68"/>
      <c r="AF471" s="68"/>
      <c r="AG471" s="68"/>
      <c r="AH471" s="68"/>
      <c r="AI471" s="69"/>
      <c r="AJ471" s="69"/>
      <c r="AK471" s="68"/>
      <c r="AL471" s="77"/>
      <c r="AM471" s="71"/>
      <c r="AN471" s="68"/>
      <c r="AO471" s="68"/>
      <c r="AP471" s="68"/>
      <c r="AQ471" s="68"/>
      <c r="AR471" s="68"/>
      <c r="AS471" s="68"/>
      <c r="AT471" s="68"/>
      <c r="AU471" s="70"/>
      <c r="AV471" s="72"/>
      <c r="AW471" s="69"/>
      <c r="AX471" s="69"/>
      <c r="AY471" s="69"/>
      <c r="AZ471" s="69"/>
      <c r="BA471" s="69"/>
      <c r="BB471" s="69"/>
      <c r="BC471" s="69"/>
      <c r="BD471" s="70"/>
      <c r="BE471" s="71"/>
      <c r="BF471" s="68"/>
      <c r="BG471" s="68"/>
      <c r="BH471" s="70"/>
      <c r="BI471" s="67"/>
      <c r="BJ471" s="68"/>
      <c r="BK471" s="70"/>
      <c r="BL471" s="71"/>
      <c r="BM471" s="68"/>
      <c r="BN471" s="69"/>
      <c r="BO471" s="78"/>
      <c r="BP471" s="37">
        <f t="shared" si="45"/>
        <v>0</v>
      </c>
    </row>
    <row r="472" spans="1:68" ht="25.5" customHeight="1" thickTop="1" thickBot="1" x14ac:dyDescent="0.2">
      <c r="A472" s="17">
        <f t="shared" si="46"/>
        <v>457</v>
      </c>
      <c r="B472" s="1044"/>
      <c r="C472" s="1045"/>
      <c r="D472" s="38"/>
      <c r="E472" s="954"/>
      <c r="F472" s="53"/>
      <c r="G472" s="39"/>
      <c r="H472" s="1050"/>
      <c r="I472" s="684" t="str">
        <f t="shared" si="42"/>
        <v/>
      </c>
      <c r="J472" s="754">
        <f t="shared" si="43"/>
        <v>0</v>
      </c>
      <c r="K472" s="1254"/>
      <c r="L472" s="1253"/>
      <c r="M472" s="1253"/>
      <c r="N472" s="773" t="str">
        <f t="shared" si="47"/>
        <v/>
      </c>
      <c r="O472" s="774" t="str">
        <f>IF('Set up ~ Config'!$G$32=6,IF(OR($N472=7,$N472=8,$N472=9),1,IF(OR($N472=10,$N472=11,$N472=12),2,IF(OR($N472=1,$N472=2,$N472=3),3,IF(OR($N472=4,$N472=5,$N472=6),4,"")))),IF(OR($N472=9,$N472=10,$N472=11),1,IF(OR($N472=12,$N472=1,$N472=2),2,IF(OR($N472=3,$N472=4,$N472=5),3,IF(OR($N472=6,$N472=7,$N472=8),4,"")))))</f>
        <v/>
      </c>
      <c r="P472" s="40"/>
      <c r="Q472" s="67"/>
      <c r="R472" s="68"/>
      <c r="S472" s="755">
        <f t="shared" si="44"/>
        <v>0</v>
      </c>
      <c r="T472" s="68"/>
      <c r="U472" s="68"/>
      <c r="V472" s="68"/>
      <c r="W472" s="68"/>
      <c r="X472" s="68"/>
      <c r="Y472" s="68"/>
      <c r="Z472" s="68"/>
      <c r="AA472" s="68"/>
      <c r="AB472" s="69"/>
      <c r="AC472" s="70"/>
      <c r="AD472" s="71"/>
      <c r="AE472" s="68"/>
      <c r="AF472" s="68"/>
      <c r="AG472" s="68"/>
      <c r="AH472" s="68"/>
      <c r="AI472" s="69"/>
      <c r="AJ472" s="69"/>
      <c r="AK472" s="68"/>
      <c r="AL472" s="77"/>
      <c r="AM472" s="71"/>
      <c r="AN472" s="68"/>
      <c r="AO472" s="68"/>
      <c r="AP472" s="68"/>
      <c r="AQ472" s="68"/>
      <c r="AR472" s="68"/>
      <c r="AS472" s="68"/>
      <c r="AT472" s="68"/>
      <c r="AU472" s="70"/>
      <c r="AV472" s="72"/>
      <c r="AW472" s="69"/>
      <c r="AX472" s="69"/>
      <c r="AY472" s="69"/>
      <c r="AZ472" s="69"/>
      <c r="BA472" s="69"/>
      <c r="BB472" s="69"/>
      <c r="BC472" s="69"/>
      <c r="BD472" s="70"/>
      <c r="BE472" s="71"/>
      <c r="BF472" s="68"/>
      <c r="BG472" s="68"/>
      <c r="BH472" s="70"/>
      <c r="BI472" s="67"/>
      <c r="BJ472" s="68"/>
      <c r="BK472" s="70"/>
      <c r="BL472" s="71"/>
      <c r="BM472" s="68"/>
      <c r="BN472" s="69"/>
      <c r="BO472" s="78"/>
      <c r="BP472" s="37">
        <f t="shared" si="45"/>
        <v>0</v>
      </c>
    </row>
    <row r="473" spans="1:68" ht="25.5" customHeight="1" thickTop="1" thickBot="1" x14ac:dyDescent="0.2">
      <c r="A473" s="17">
        <f t="shared" si="46"/>
        <v>458</v>
      </c>
      <c r="B473" s="1044"/>
      <c r="C473" s="1045"/>
      <c r="D473" s="38"/>
      <c r="E473" s="954"/>
      <c r="F473" s="53"/>
      <c r="G473" s="39"/>
      <c r="H473" s="1050"/>
      <c r="I473" s="684" t="str">
        <f t="shared" si="42"/>
        <v/>
      </c>
      <c r="J473" s="754">
        <f t="shared" si="43"/>
        <v>0</v>
      </c>
      <c r="K473" s="1254"/>
      <c r="L473" s="1253"/>
      <c r="M473" s="1253"/>
      <c r="N473" s="773" t="str">
        <f t="shared" si="47"/>
        <v/>
      </c>
      <c r="O473" s="774" t="str">
        <f>IF('Set up ~ Config'!$G$32=6,IF(OR($N473=7,$N473=8,$N473=9),1,IF(OR($N473=10,$N473=11,$N473=12),2,IF(OR($N473=1,$N473=2,$N473=3),3,IF(OR($N473=4,$N473=5,$N473=6),4,"")))),IF(OR($N473=9,$N473=10,$N473=11),1,IF(OR($N473=12,$N473=1,$N473=2),2,IF(OR($N473=3,$N473=4,$N473=5),3,IF(OR($N473=6,$N473=7,$N473=8),4,"")))))</f>
        <v/>
      </c>
      <c r="P473" s="40"/>
      <c r="Q473" s="67"/>
      <c r="R473" s="68"/>
      <c r="S473" s="755">
        <f t="shared" si="44"/>
        <v>0</v>
      </c>
      <c r="T473" s="68"/>
      <c r="U473" s="68"/>
      <c r="V473" s="68"/>
      <c r="W473" s="68"/>
      <c r="X473" s="68"/>
      <c r="Y473" s="68"/>
      <c r="Z473" s="68"/>
      <c r="AA473" s="68"/>
      <c r="AB473" s="69"/>
      <c r="AC473" s="70"/>
      <c r="AD473" s="71"/>
      <c r="AE473" s="68"/>
      <c r="AF473" s="68"/>
      <c r="AG473" s="68"/>
      <c r="AH473" s="68"/>
      <c r="AI473" s="69"/>
      <c r="AJ473" s="69"/>
      <c r="AK473" s="68"/>
      <c r="AL473" s="77"/>
      <c r="AM473" s="71"/>
      <c r="AN473" s="68"/>
      <c r="AO473" s="68"/>
      <c r="AP473" s="68"/>
      <c r="AQ473" s="68"/>
      <c r="AR473" s="68"/>
      <c r="AS473" s="68"/>
      <c r="AT473" s="68"/>
      <c r="AU473" s="70"/>
      <c r="AV473" s="72"/>
      <c r="AW473" s="69"/>
      <c r="AX473" s="69"/>
      <c r="AY473" s="69"/>
      <c r="AZ473" s="69"/>
      <c r="BA473" s="69"/>
      <c r="BB473" s="69"/>
      <c r="BC473" s="69"/>
      <c r="BD473" s="70"/>
      <c r="BE473" s="71"/>
      <c r="BF473" s="68"/>
      <c r="BG473" s="68"/>
      <c r="BH473" s="70"/>
      <c r="BI473" s="67"/>
      <c r="BJ473" s="68"/>
      <c r="BK473" s="70"/>
      <c r="BL473" s="71"/>
      <c r="BM473" s="68"/>
      <c r="BN473" s="69"/>
      <c r="BO473" s="78"/>
      <c r="BP473" s="37">
        <f t="shared" si="45"/>
        <v>0</v>
      </c>
    </row>
    <row r="474" spans="1:68" ht="25.5" customHeight="1" thickTop="1" thickBot="1" x14ac:dyDescent="0.2">
      <c r="A474" s="17">
        <f t="shared" si="46"/>
        <v>459</v>
      </c>
      <c r="B474" s="1044"/>
      <c r="C474" s="1045"/>
      <c r="D474" s="38"/>
      <c r="E474" s="954"/>
      <c r="F474" s="53"/>
      <c r="G474" s="39"/>
      <c r="H474" s="1050"/>
      <c r="I474" s="684" t="str">
        <f t="shared" si="42"/>
        <v/>
      </c>
      <c r="J474" s="754">
        <f t="shared" si="43"/>
        <v>0</v>
      </c>
      <c r="K474" s="1254"/>
      <c r="L474" s="1253"/>
      <c r="M474" s="1253"/>
      <c r="N474" s="773" t="str">
        <f t="shared" si="47"/>
        <v/>
      </c>
      <c r="O474" s="774" t="str">
        <f>IF('Set up ~ Config'!$G$32=6,IF(OR($N474=7,$N474=8,$N474=9),1,IF(OR($N474=10,$N474=11,$N474=12),2,IF(OR($N474=1,$N474=2,$N474=3),3,IF(OR($N474=4,$N474=5,$N474=6),4,"")))),IF(OR($N474=9,$N474=10,$N474=11),1,IF(OR($N474=12,$N474=1,$N474=2),2,IF(OR($N474=3,$N474=4,$N474=5),3,IF(OR($N474=6,$N474=7,$N474=8),4,"")))))</f>
        <v/>
      </c>
      <c r="P474" s="40"/>
      <c r="Q474" s="67"/>
      <c r="R474" s="68"/>
      <c r="S474" s="755">
        <f t="shared" si="44"/>
        <v>0</v>
      </c>
      <c r="T474" s="68"/>
      <c r="U474" s="68"/>
      <c r="V474" s="68"/>
      <c r="W474" s="68"/>
      <c r="X474" s="68"/>
      <c r="Y474" s="68"/>
      <c r="Z474" s="68"/>
      <c r="AA474" s="68"/>
      <c r="AB474" s="69"/>
      <c r="AC474" s="70"/>
      <c r="AD474" s="71"/>
      <c r="AE474" s="68"/>
      <c r="AF474" s="68"/>
      <c r="AG474" s="68"/>
      <c r="AH474" s="68"/>
      <c r="AI474" s="69"/>
      <c r="AJ474" s="69"/>
      <c r="AK474" s="68"/>
      <c r="AL474" s="77"/>
      <c r="AM474" s="71"/>
      <c r="AN474" s="68"/>
      <c r="AO474" s="68"/>
      <c r="AP474" s="68"/>
      <c r="AQ474" s="68"/>
      <c r="AR474" s="68"/>
      <c r="AS474" s="68"/>
      <c r="AT474" s="68"/>
      <c r="AU474" s="70"/>
      <c r="AV474" s="72"/>
      <c r="AW474" s="69"/>
      <c r="AX474" s="69"/>
      <c r="AY474" s="69"/>
      <c r="AZ474" s="69"/>
      <c r="BA474" s="69"/>
      <c r="BB474" s="69"/>
      <c r="BC474" s="69"/>
      <c r="BD474" s="70"/>
      <c r="BE474" s="71"/>
      <c r="BF474" s="68"/>
      <c r="BG474" s="68"/>
      <c r="BH474" s="70"/>
      <c r="BI474" s="67"/>
      <c r="BJ474" s="68"/>
      <c r="BK474" s="70"/>
      <c r="BL474" s="71"/>
      <c r="BM474" s="68"/>
      <c r="BN474" s="69"/>
      <c r="BO474" s="78"/>
      <c r="BP474" s="37">
        <f t="shared" si="45"/>
        <v>0</v>
      </c>
    </row>
    <row r="475" spans="1:68" ht="25.5" customHeight="1" thickTop="1" thickBot="1" x14ac:dyDescent="0.2">
      <c r="A475" s="17">
        <f t="shared" si="46"/>
        <v>460</v>
      </c>
      <c r="B475" s="1044"/>
      <c r="C475" s="1045"/>
      <c r="D475" s="38"/>
      <c r="E475" s="954"/>
      <c r="F475" s="53"/>
      <c r="G475" s="39"/>
      <c r="H475" s="1050"/>
      <c r="I475" s="684" t="str">
        <f t="shared" si="42"/>
        <v/>
      </c>
      <c r="J475" s="754">
        <f t="shared" si="43"/>
        <v>0</v>
      </c>
      <c r="K475" s="1254"/>
      <c r="L475" s="1253"/>
      <c r="M475" s="1253"/>
      <c r="N475" s="773" t="str">
        <f t="shared" si="47"/>
        <v/>
      </c>
      <c r="O475" s="774" t="str">
        <f>IF('Set up ~ Config'!$G$32=6,IF(OR($N475=7,$N475=8,$N475=9),1,IF(OR($N475=10,$N475=11,$N475=12),2,IF(OR($N475=1,$N475=2,$N475=3),3,IF(OR($N475=4,$N475=5,$N475=6),4,"")))),IF(OR($N475=9,$N475=10,$N475=11),1,IF(OR($N475=12,$N475=1,$N475=2),2,IF(OR($N475=3,$N475=4,$N475=5),3,IF(OR($N475=6,$N475=7,$N475=8),4,"")))))</f>
        <v/>
      </c>
      <c r="P475" s="40"/>
      <c r="Q475" s="67"/>
      <c r="R475" s="68"/>
      <c r="S475" s="755">
        <f t="shared" si="44"/>
        <v>0</v>
      </c>
      <c r="T475" s="68"/>
      <c r="U475" s="68"/>
      <c r="V475" s="68"/>
      <c r="W475" s="68"/>
      <c r="X475" s="68"/>
      <c r="Y475" s="68"/>
      <c r="Z475" s="68"/>
      <c r="AA475" s="68"/>
      <c r="AB475" s="69"/>
      <c r="AC475" s="70"/>
      <c r="AD475" s="71"/>
      <c r="AE475" s="68"/>
      <c r="AF475" s="68"/>
      <c r="AG475" s="68"/>
      <c r="AH475" s="68"/>
      <c r="AI475" s="69"/>
      <c r="AJ475" s="69"/>
      <c r="AK475" s="68"/>
      <c r="AL475" s="77"/>
      <c r="AM475" s="71"/>
      <c r="AN475" s="68"/>
      <c r="AO475" s="68"/>
      <c r="AP475" s="68"/>
      <c r="AQ475" s="68"/>
      <c r="AR475" s="68"/>
      <c r="AS475" s="68"/>
      <c r="AT475" s="68"/>
      <c r="AU475" s="70"/>
      <c r="AV475" s="72"/>
      <c r="AW475" s="69"/>
      <c r="AX475" s="69"/>
      <c r="AY475" s="69"/>
      <c r="AZ475" s="69"/>
      <c r="BA475" s="69"/>
      <c r="BB475" s="69"/>
      <c r="BC475" s="69"/>
      <c r="BD475" s="70"/>
      <c r="BE475" s="71"/>
      <c r="BF475" s="68"/>
      <c r="BG475" s="68"/>
      <c r="BH475" s="70"/>
      <c r="BI475" s="67"/>
      <c r="BJ475" s="68"/>
      <c r="BK475" s="70"/>
      <c r="BL475" s="71"/>
      <c r="BM475" s="68"/>
      <c r="BN475" s="69"/>
      <c r="BO475" s="78"/>
      <c r="BP475" s="37">
        <f t="shared" si="45"/>
        <v>0</v>
      </c>
    </row>
    <row r="476" spans="1:68" ht="25.5" customHeight="1" thickTop="1" thickBot="1" x14ac:dyDescent="0.2">
      <c r="A476" s="17">
        <f t="shared" si="46"/>
        <v>461</v>
      </c>
      <c r="B476" s="1044"/>
      <c r="C476" s="1045"/>
      <c r="D476" s="38"/>
      <c r="E476" s="954"/>
      <c r="F476" s="53"/>
      <c r="G476" s="39"/>
      <c r="H476" s="1050"/>
      <c r="I476" s="684" t="str">
        <f t="shared" si="42"/>
        <v/>
      </c>
      <c r="J476" s="754">
        <f t="shared" si="43"/>
        <v>0</v>
      </c>
      <c r="K476" s="1254"/>
      <c r="L476" s="1253"/>
      <c r="M476" s="1253"/>
      <c r="N476" s="773" t="str">
        <f t="shared" si="47"/>
        <v/>
      </c>
      <c r="O476" s="774" t="str">
        <f>IF('Set up ~ Config'!$G$32=6,IF(OR($N476=7,$N476=8,$N476=9),1,IF(OR($N476=10,$N476=11,$N476=12),2,IF(OR($N476=1,$N476=2,$N476=3),3,IF(OR($N476=4,$N476=5,$N476=6),4,"")))),IF(OR($N476=9,$N476=10,$N476=11),1,IF(OR($N476=12,$N476=1,$N476=2),2,IF(OR($N476=3,$N476=4,$N476=5),3,IF(OR($N476=6,$N476=7,$N476=8),4,"")))))</f>
        <v/>
      </c>
      <c r="P476" s="40"/>
      <c r="Q476" s="67"/>
      <c r="R476" s="68"/>
      <c r="S476" s="755">
        <f t="shared" si="44"/>
        <v>0</v>
      </c>
      <c r="T476" s="68"/>
      <c r="U476" s="68"/>
      <c r="V476" s="68"/>
      <c r="W476" s="68"/>
      <c r="X476" s="68"/>
      <c r="Y476" s="68"/>
      <c r="Z476" s="68"/>
      <c r="AA476" s="68"/>
      <c r="AB476" s="69"/>
      <c r="AC476" s="70"/>
      <c r="AD476" s="71"/>
      <c r="AE476" s="68"/>
      <c r="AF476" s="68"/>
      <c r="AG476" s="68"/>
      <c r="AH476" s="68"/>
      <c r="AI476" s="69"/>
      <c r="AJ476" s="69"/>
      <c r="AK476" s="68"/>
      <c r="AL476" s="77"/>
      <c r="AM476" s="71"/>
      <c r="AN476" s="68"/>
      <c r="AO476" s="68"/>
      <c r="AP476" s="68"/>
      <c r="AQ476" s="68"/>
      <c r="AR476" s="68"/>
      <c r="AS476" s="68"/>
      <c r="AT476" s="68"/>
      <c r="AU476" s="70"/>
      <c r="AV476" s="72"/>
      <c r="AW476" s="69"/>
      <c r="AX476" s="69"/>
      <c r="AY476" s="69"/>
      <c r="AZ476" s="69"/>
      <c r="BA476" s="69"/>
      <c r="BB476" s="69"/>
      <c r="BC476" s="69"/>
      <c r="BD476" s="70"/>
      <c r="BE476" s="71"/>
      <c r="BF476" s="68"/>
      <c r="BG476" s="68"/>
      <c r="BH476" s="70"/>
      <c r="BI476" s="67"/>
      <c r="BJ476" s="68"/>
      <c r="BK476" s="70"/>
      <c r="BL476" s="71"/>
      <c r="BM476" s="68"/>
      <c r="BN476" s="69"/>
      <c r="BO476" s="78"/>
      <c r="BP476" s="37">
        <f t="shared" si="45"/>
        <v>0</v>
      </c>
    </row>
    <row r="477" spans="1:68" ht="25.5" customHeight="1" thickTop="1" thickBot="1" x14ac:dyDescent="0.2">
      <c r="A477" s="17">
        <f t="shared" si="46"/>
        <v>462</v>
      </c>
      <c r="B477" s="1044"/>
      <c r="C477" s="1045"/>
      <c r="D477" s="38"/>
      <c r="E477" s="954"/>
      <c r="F477" s="53"/>
      <c r="G477" s="39"/>
      <c r="H477" s="1050"/>
      <c r="I477" s="684" t="str">
        <f t="shared" si="42"/>
        <v/>
      </c>
      <c r="J477" s="754">
        <f t="shared" si="43"/>
        <v>0</v>
      </c>
      <c r="K477" s="1254"/>
      <c r="L477" s="1253"/>
      <c r="M477" s="1253"/>
      <c r="N477" s="773" t="str">
        <f t="shared" si="47"/>
        <v/>
      </c>
      <c r="O477" s="774" t="str">
        <f>IF('Set up ~ Config'!$G$32=6,IF(OR($N477=7,$N477=8,$N477=9),1,IF(OR($N477=10,$N477=11,$N477=12),2,IF(OR($N477=1,$N477=2,$N477=3),3,IF(OR($N477=4,$N477=5,$N477=6),4,"")))),IF(OR($N477=9,$N477=10,$N477=11),1,IF(OR($N477=12,$N477=1,$N477=2),2,IF(OR($N477=3,$N477=4,$N477=5),3,IF(OR($N477=6,$N477=7,$N477=8),4,"")))))</f>
        <v/>
      </c>
      <c r="P477" s="40"/>
      <c r="Q477" s="67"/>
      <c r="R477" s="68"/>
      <c r="S477" s="755">
        <f t="shared" si="44"/>
        <v>0</v>
      </c>
      <c r="T477" s="68"/>
      <c r="U477" s="68"/>
      <c r="V477" s="68"/>
      <c r="W477" s="68"/>
      <c r="X477" s="68"/>
      <c r="Y477" s="68"/>
      <c r="Z477" s="68"/>
      <c r="AA477" s="68"/>
      <c r="AB477" s="69"/>
      <c r="AC477" s="70"/>
      <c r="AD477" s="71"/>
      <c r="AE477" s="68"/>
      <c r="AF477" s="68"/>
      <c r="AG477" s="68"/>
      <c r="AH477" s="68"/>
      <c r="AI477" s="69"/>
      <c r="AJ477" s="69"/>
      <c r="AK477" s="68"/>
      <c r="AL477" s="77"/>
      <c r="AM477" s="71"/>
      <c r="AN477" s="68"/>
      <c r="AO477" s="68"/>
      <c r="AP477" s="68"/>
      <c r="AQ477" s="68"/>
      <c r="AR477" s="68"/>
      <c r="AS477" s="68"/>
      <c r="AT477" s="68"/>
      <c r="AU477" s="70"/>
      <c r="AV477" s="72"/>
      <c r="AW477" s="69"/>
      <c r="AX477" s="69"/>
      <c r="AY477" s="69"/>
      <c r="AZ477" s="69"/>
      <c r="BA477" s="69"/>
      <c r="BB477" s="69"/>
      <c r="BC477" s="69"/>
      <c r="BD477" s="70"/>
      <c r="BE477" s="71"/>
      <c r="BF477" s="68"/>
      <c r="BG477" s="68"/>
      <c r="BH477" s="70"/>
      <c r="BI477" s="67"/>
      <c r="BJ477" s="68"/>
      <c r="BK477" s="70"/>
      <c r="BL477" s="71"/>
      <c r="BM477" s="68"/>
      <c r="BN477" s="69"/>
      <c r="BO477" s="78"/>
      <c r="BP477" s="37">
        <f t="shared" si="45"/>
        <v>0</v>
      </c>
    </row>
    <row r="478" spans="1:68" ht="25.5" customHeight="1" thickTop="1" thickBot="1" x14ac:dyDescent="0.2">
      <c r="A478" s="17">
        <f t="shared" si="46"/>
        <v>463</v>
      </c>
      <c r="B478" s="1044"/>
      <c r="C478" s="1045"/>
      <c r="D478" s="38"/>
      <c r="E478" s="954"/>
      <c r="F478" s="53"/>
      <c r="G478" s="39"/>
      <c r="H478" s="1050"/>
      <c r="I478" s="684" t="str">
        <f t="shared" si="42"/>
        <v/>
      </c>
      <c r="J478" s="754">
        <f t="shared" si="43"/>
        <v>0</v>
      </c>
      <c r="K478" s="1254"/>
      <c r="L478" s="1253"/>
      <c r="M478" s="1253"/>
      <c r="N478" s="773" t="str">
        <f t="shared" si="47"/>
        <v/>
      </c>
      <c r="O478" s="774" t="str">
        <f>IF('Set up ~ Config'!$G$32=6,IF(OR($N478=7,$N478=8,$N478=9),1,IF(OR($N478=10,$N478=11,$N478=12),2,IF(OR($N478=1,$N478=2,$N478=3),3,IF(OR($N478=4,$N478=5,$N478=6),4,"")))),IF(OR($N478=9,$N478=10,$N478=11),1,IF(OR($N478=12,$N478=1,$N478=2),2,IF(OR($N478=3,$N478=4,$N478=5),3,IF(OR($N478=6,$N478=7,$N478=8),4,"")))))</f>
        <v/>
      </c>
      <c r="P478" s="40"/>
      <c r="Q478" s="67"/>
      <c r="R478" s="68"/>
      <c r="S478" s="755">
        <f t="shared" si="44"/>
        <v>0</v>
      </c>
      <c r="T478" s="68"/>
      <c r="U478" s="68"/>
      <c r="V478" s="68"/>
      <c r="W478" s="68"/>
      <c r="X478" s="68"/>
      <c r="Y478" s="68"/>
      <c r="Z478" s="68"/>
      <c r="AA478" s="68"/>
      <c r="AB478" s="69"/>
      <c r="AC478" s="70"/>
      <c r="AD478" s="71"/>
      <c r="AE478" s="68"/>
      <c r="AF478" s="68"/>
      <c r="AG478" s="68"/>
      <c r="AH478" s="68"/>
      <c r="AI478" s="69"/>
      <c r="AJ478" s="69"/>
      <c r="AK478" s="68"/>
      <c r="AL478" s="77"/>
      <c r="AM478" s="71"/>
      <c r="AN478" s="68"/>
      <c r="AO478" s="68"/>
      <c r="AP478" s="68"/>
      <c r="AQ478" s="68"/>
      <c r="AR478" s="68"/>
      <c r="AS478" s="68"/>
      <c r="AT478" s="68"/>
      <c r="AU478" s="70"/>
      <c r="AV478" s="72"/>
      <c r="AW478" s="69"/>
      <c r="AX478" s="69"/>
      <c r="AY478" s="69"/>
      <c r="AZ478" s="69"/>
      <c r="BA478" s="69"/>
      <c r="BB478" s="69"/>
      <c r="BC478" s="69"/>
      <c r="BD478" s="70"/>
      <c r="BE478" s="71"/>
      <c r="BF478" s="68"/>
      <c r="BG478" s="68"/>
      <c r="BH478" s="70"/>
      <c r="BI478" s="67"/>
      <c r="BJ478" s="68"/>
      <c r="BK478" s="70"/>
      <c r="BL478" s="71"/>
      <c r="BM478" s="68"/>
      <c r="BN478" s="69"/>
      <c r="BO478" s="78"/>
      <c r="BP478" s="37">
        <f t="shared" si="45"/>
        <v>0</v>
      </c>
    </row>
    <row r="479" spans="1:68" ht="25.5" customHeight="1" thickTop="1" thickBot="1" x14ac:dyDescent="0.2">
      <c r="A479" s="17">
        <f t="shared" si="46"/>
        <v>464</v>
      </c>
      <c r="B479" s="1044"/>
      <c r="C479" s="1045"/>
      <c r="D479" s="38"/>
      <c r="E479" s="954"/>
      <c r="F479" s="53"/>
      <c r="G479" s="39"/>
      <c r="H479" s="1050"/>
      <c r="I479" s="684" t="str">
        <f t="shared" si="42"/>
        <v/>
      </c>
      <c r="J479" s="754">
        <f t="shared" si="43"/>
        <v>0</v>
      </c>
      <c r="K479" s="1254"/>
      <c r="L479" s="1253"/>
      <c r="M479" s="1253"/>
      <c r="N479" s="773" t="str">
        <f t="shared" si="47"/>
        <v/>
      </c>
      <c r="O479" s="774" t="str">
        <f>IF('Set up ~ Config'!$G$32=6,IF(OR($N479=7,$N479=8,$N479=9),1,IF(OR($N479=10,$N479=11,$N479=12),2,IF(OR($N479=1,$N479=2,$N479=3),3,IF(OR($N479=4,$N479=5,$N479=6),4,"")))),IF(OR($N479=9,$N479=10,$N479=11),1,IF(OR($N479=12,$N479=1,$N479=2),2,IF(OR($N479=3,$N479=4,$N479=5),3,IF(OR($N479=6,$N479=7,$N479=8),4,"")))))</f>
        <v/>
      </c>
      <c r="P479" s="40"/>
      <c r="Q479" s="67"/>
      <c r="R479" s="68"/>
      <c r="S479" s="755">
        <f t="shared" si="44"/>
        <v>0</v>
      </c>
      <c r="T479" s="68"/>
      <c r="U479" s="68"/>
      <c r="V479" s="68"/>
      <c r="W479" s="68"/>
      <c r="X479" s="68"/>
      <c r="Y479" s="68"/>
      <c r="Z479" s="68"/>
      <c r="AA479" s="68"/>
      <c r="AB479" s="69"/>
      <c r="AC479" s="70"/>
      <c r="AD479" s="71"/>
      <c r="AE479" s="68"/>
      <c r="AF479" s="68"/>
      <c r="AG479" s="68"/>
      <c r="AH479" s="68"/>
      <c r="AI479" s="69"/>
      <c r="AJ479" s="69"/>
      <c r="AK479" s="68"/>
      <c r="AL479" s="77"/>
      <c r="AM479" s="71"/>
      <c r="AN479" s="68"/>
      <c r="AO479" s="68"/>
      <c r="AP479" s="68"/>
      <c r="AQ479" s="68"/>
      <c r="AR479" s="68"/>
      <c r="AS479" s="68"/>
      <c r="AT479" s="68"/>
      <c r="AU479" s="70"/>
      <c r="AV479" s="72"/>
      <c r="AW479" s="69"/>
      <c r="AX479" s="69"/>
      <c r="AY479" s="69"/>
      <c r="AZ479" s="69"/>
      <c r="BA479" s="69"/>
      <c r="BB479" s="69"/>
      <c r="BC479" s="69"/>
      <c r="BD479" s="70"/>
      <c r="BE479" s="71"/>
      <c r="BF479" s="68"/>
      <c r="BG479" s="68"/>
      <c r="BH479" s="70"/>
      <c r="BI479" s="67"/>
      <c r="BJ479" s="68"/>
      <c r="BK479" s="70"/>
      <c r="BL479" s="71"/>
      <c r="BM479" s="68"/>
      <c r="BN479" s="69"/>
      <c r="BO479" s="78"/>
      <c r="BP479" s="37">
        <f t="shared" si="45"/>
        <v>0</v>
      </c>
    </row>
    <row r="480" spans="1:68" ht="25.5" customHeight="1" thickTop="1" thickBot="1" x14ac:dyDescent="0.2">
      <c r="A480" s="17">
        <f t="shared" si="46"/>
        <v>465</v>
      </c>
      <c r="B480" s="1044"/>
      <c r="C480" s="1045"/>
      <c r="D480" s="38"/>
      <c r="E480" s="954"/>
      <c r="F480" s="53"/>
      <c r="G480" s="39"/>
      <c r="H480" s="1050"/>
      <c r="I480" s="684" t="str">
        <f t="shared" si="42"/>
        <v/>
      </c>
      <c r="J480" s="754">
        <f t="shared" si="43"/>
        <v>0</v>
      </c>
      <c r="K480" s="1254"/>
      <c r="L480" s="1253"/>
      <c r="M480" s="1253"/>
      <c r="N480" s="773" t="str">
        <f t="shared" si="47"/>
        <v/>
      </c>
      <c r="O480" s="774" t="str">
        <f>IF('Set up ~ Config'!$G$32=6,IF(OR($N480=7,$N480=8,$N480=9),1,IF(OR($N480=10,$N480=11,$N480=12),2,IF(OR($N480=1,$N480=2,$N480=3),3,IF(OR($N480=4,$N480=5,$N480=6),4,"")))),IF(OR($N480=9,$N480=10,$N480=11),1,IF(OR($N480=12,$N480=1,$N480=2),2,IF(OR($N480=3,$N480=4,$N480=5),3,IF(OR($N480=6,$N480=7,$N480=8),4,"")))))</f>
        <v/>
      </c>
      <c r="P480" s="40"/>
      <c r="Q480" s="67"/>
      <c r="R480" s="68"/>
      <c r="S480" s="755">
        <f t="shared" si="44"/>
        <v>0</v>
      </c>
      <c r="T480" s="68"/>
      <c r="U480" s="68"/>
      <c r="V480" s="68"/>
      <c r="W480" s="68"/>
      <c r="X480" s="68"/>
      <c r="Y480" s="68"/>
      <c r="Z480" s="68"/>
      <c r="AA480" s="68"/>
      <c r="AB480" s="69"/>
      <c r="AC480" s="70"/>
      <c r="AD480" s="71"/>
      <c r="AE480" s="68"/>
      <c r="AF480" s="68"/>
      <c r="AG480" s="68"/>
      <c r="AH480" s="68"/>
      <c r="AI480" s="69"/>
      <c r="AJ480" s="69"/>
      <c r="AK480" s="68"/>
      <c r="AL480" s="77"/>
      <c r="AM480" s="71"/>
      <c r="AN480" s="68"/>
      <c r="AO480" s="68"/>
      <c r="AP480" s="68"/>
      <c r="AQ480" s="68"/>
      <c r="AR480" s="68"/>
      <c r="AS480" s="68"/>
      <c r="AT480" s="68"/>
      <c r="AU480" s="70"/>
      <c r="AV480" s="72"/>
      <c r="AW480" s="69"/>
      <c r="AX480" s="69"/>
      <c r="AY480" s="69"/>
      <c r="AZ480" s="69"/>
      <c r="BA480" s="69"/>
      <c r="BB480" s="69"/>
      <c r="BC480" s="69"/>
      <c r="BD480" s="70"/>
      <c r="BE480" s="71"/>
      <c r="BF480" s="68"/>
      <c r="BG480" s="68"/>
      <c r="BH480" s="70"/>
      <c r="BI480" s="67"/>
      <c r="BJ480" s="68"/>
      <c r="BK480" s="70"/>
      <c r="BL480" s="71"/>
      <c r="BM480" s="68"/>
      <c r="BN480" s="69"/>
      <c r="BO480" s="78"/>
      <c r="BP480" s="37">
        <f t="shared" si="45"/>
        <v>0</v>
      </c>
    </row>
    <row r="481" spans="1:68" ht="25.5" customHeight="1" thickTop="1" thickBot="1" x14ac:dyDescent="0.2">
      <c r="A481" s="17">
        <f t="shared" si="46"/>
        <v>466</v>
      </c>
      <c r="B481" s="1044"/>
      <c r="C481" s="1045"/>
      <c r="D481" s="38"/>
      <c r="E481" s="954"/>
      <c r="F481" s="53"/>
      <c r="G481" s="39"/>
      <c r="H481" s="1050"/>
      <c r="I481" s="684" t="str">
        <f t="shared" si="42"/>
        <v/>
      </c>
      <c r="J481" s="754">
        <f t="shared" si="43"/>
        <v>0</v>
      </c>
      <c r="K481" s="1254"/>
      <c r="L481" s="1253"/>
      <c r="M481" s="1253"/>
      <c r="N481" s="773" t="str">
        <f t="shared" si="47"/>
        <v/>
      </c>
      <c r="O481" s="774" t="str">
        <f>IF('Set up ~ Config'!$G$32=6,IF(OR($N481=7,$N481=8,$N481=9),1,IF(OR($N481=10,$N481=11,$N481=12),2,IF(OR($N481=1,$N481=2,$N481=3),3,IF(OR($N481=4,$N481=5,$N481=6),4,"")))),IF(OR($N481=9,$N481=10,$N481=11),1,IF(OR($N481=12,$N481=1,$N481=2),2,IF(OR($N481=3,$N481=4,$N481=5),3,IF(OR($N481=6,$N481=7,$N481=8),4,"")))))</f>
        <v/>
      </c>
      <c r="P481" s="40"/>
      <c r="Q481" s="67"/>
      <c r="R481" s="68"/>
      <c r="S481" s="755">
        <f t="shared" si="44"/>
        <v>0</v>
      </c>
      <c r="T481" s="68"/>
      <c r="U481" s="68"/>
      <c r="V481" s="68"/>
      <c r="W481" s="68"/>
      <c r="X481" s="68"/>
      <c r="Y481" s="68"/>
      <c r="Z481" s="68"/>
      <c r="AA481" s="68"/>
      <c r="AB481" s="69"/>
      <c r="AC481" s="70"/>
      <c r="AD481" s="71"/>
      <c r="AE481" s="68"/>
      <c r="AF481" s="68"/>
      <c r="AG481" s="68"/>
      <c r="AH481" s="68"/>
      <c r="AI481" s="69"/>
      <c r="AJ481" s="69"/>
      <c r="AK481" s="68"/>
      <c r="AL481" s="77"/>
      <c r="AM481" s="71"/>
      <c r="AN481" s="68"/>
      <c r="AO481" s="68"/>
      <c r="AP481" s="68"/>
      <c r="AQ481" s="68"/>
      <c r="AR481" s="68"/>
      <c r="AS481" s="68"/>
      <c r="AT481" s="68"/>
      <c r="AU481" s="70"/>
      <c r="AV481" s="72"/>
      <c r="AW481" s="69"/>
      <c r="AX481" s="69"/>
      <c r="AY481" s="69"/>
      <c r="AZ481" s="69"/>
      <c r="BA481" s="69"/>
      <c r="BB481" s="69"/>
      <c r="BC481" s="69"/>
      <c r="BD481" s="70"/>
      <c r="BE481" s="71"/>
      <c r="BF481" s="68"/>
      <c r="BG481" s="68"/>
      <c r="BH481" s="70"/>
      <c r="BI481" s="67"/>
      <c r="BJ481" s="68"/>
      <c r="BK481" s="70"/>
      <c r="BL481" s="71"/>
      <c r="BM481" s="68"/>
      <c r="BN481" s="69"/>
      <c r="BO481" s="78"/>
      <c r="BP481" s="37">
        <f t="shared" si="45"/>
        <v>0</v>
      </c>
    </row>
    <row r="482" spans="1:68" ht="25.5" customHeight="1" thickTop="1" thickBot="1" x14ac:dyDescent="0.2">
      <c r="A482" s="17">
        <f t="shared" si="46"/>
        <v>467</v>
      </c>
      <c r="B482" s="1044"/>
      <c r="C482" s="1045"/>
      <c r="D482" s="38"/>
      <c r="E482" s="954"/>
      <c r="F482" s="53"/>
      <c r="G482" s="39"/>
      <c r="H482" s="1050"/>
      <c r="I482" s="684" t="str">
        <f t="shared" si="42"/>
        <v/>
      </c>
      <c r="J482" s="754">
        <f t="shared" si="43"/>
        <v>0</v>
      </c>
      <c r="K482" s="1254"/>
      <c r="L482" s="1253"/>
      <c r="M482" s="1253"/>
      <c r="N482" s="773" t="str">
        <f t="shared" si="47"/>
        <v/>
      </c>
      <c r="O482" s="774" t="str">
        <f>IF('Set up ~ Config'!$G$32=6,IF(OR($N482=7,$N482=8,$N482=9),1,IF(OR($N482=10,$N482=11,$N482=12),2,IF(OR($N482=1,$N482=2,$N482=3),3,IF(OR($N482=4,$N482=5,$N482=6),4,"")))),IF(OR($N482=9,$N482=10,$N482=11),1,IF(OR($N482=12,$N482=1,$N482=2),2,IF(OR($N482=3,$N482=4,$N482=5),3,IF(OR($N482=6,$N482=7,$N482=8),4,"")))))</f>
        <v/>
      </c>
      <c r="P482" s="40"/>
      <c r="Q482" s="67"/>
      <c r="R482" s="68"/>
      <c r="S482" s="755">
        <f t="shared" si="44"/>
        <v>0</v>
      </c>
      <c r="T482" s="68"/>
      <c r="U482" s="68"/>
      <c r="V482" s="68"/>
      <c r="W482" s="68"/>
      <c r="X482" s="68"/>
      <c r="Y482" s="68"/>
      <c r="Z482" s="68"/>
      <c r="AA482" s="68"/>
      <c r="AB482" s="69"/>
      <c r="AC482" s="70"/>
      <c r="AD482" s="71"/>
      <c r="AE482" s="68"/>
      <c r="AF482" s="68"/>
      <c r="AG482" s="68"/>
      <c r="AH482" s="68"/>
      <c r="AI482" s="69"/>
      <c r="AJ482" s="69"/>
      <c r="AK482" s="68"/>
      <c r="AL482" s="77"/>
      <c r="AM482" s="71"/>
      <c r="AN482" s="68"/>
      <c r="AO482" s="68"/>
      <c r="AP482" s="68"/>
      <c r="AQ482" s="68"/>
      <c r="AR482" s="68"/>
      <c r="AS482" s="68"/>
      <c r="AT482" s="68"/>
      <c r="AU482" s="70"/>
      <c r="AV482" s="72"/>
      <c r="AW482" s="69"/>
      <c r="AX482" s="69"/>
      <c r="AY482" s="69"/>
      <c r="AZ482" s="69"/>
      <c r="BA482" s="69"/>
      <c r="BB482" s="69"/>
      <c r="BC482" s="69"/>
      <c r="BD482" s="70"/>
      <c r="BE482" s="71"/>
      <c r="BF482" s="68"/>
      <c r="BG482" s="68"/>
      <c r="BH482" s="70"/>
      <c r="BI482" s="67"/>
      <c r="BJ482" s="68"/>
      <c r="BK482" s="70"/>
      <c r="BL482" s="71"/>
      <c r="BM482" s="68"/>
      <c r="BN482" s="69"/>
      <c r="BO482" s="78"/>
      <c r="BP482" s="37">
        <f t="shared" si="45"/>
        <v>0</v>
      </c>
    </row>
    <row r="483" spans="1:68" ht="25.5" customHeight="1" thickTop="1" thickBot="1" x14ac:dyDescent="0.2">
      <c r="A483" s="17">
        <f t="shared" si="46"/>
        <v>468</v>
      </c>
      <c r="B483" s="1044"/>
      <c r="C483" s="1045"/>
      <c r="D483" s="38"/>
      <c r="E483" s="954"/>
      <c r="F483" s="53"/>
      <c r="G483" s="39"/>
      <c r="H483" s="1050"/>
      <c r="I483" s="684" t="str">
        <f t="shared" si="42"/>
        <v/>
      </c>
      <c r="J483" s="754">
        <f t="shared" si="43"/>
        <v>0</v>
      </c>
      <c r="K483" s="1254"/>
      <c r="L483" s="1253"/>
      <c r="M483" s="1253"/>
      <c r="N483" s="773" t="str">
        <f t="shared" si="47"/>
        <v/>
      </c>
      <c r="O483" s="774" t="str">
        <f>IF('Set up ~ Config'!$G$32=6,IF(OR($N483=7,$N483=8,$N483=9),1,IF(OR($N483=10,$N483=11,$N483=12),2,IF(OR($N483=1,$N483=2,$N483=3),3,IF(OR($N483=4,$N483=5,$N483=6),4,"")))),IF(OR($N483=9,$N483=10,$N483=11),1,IF(OR($N483=12,$N483=1,$N483=2),2,IF(OR($N483=3,$N483=4,$N483=5),3,IF(OR($N483=6,$N483=7,$N483=8),4,"")))))</f>
        <v/>
      </c>
      <c r="P483" s="40"/>
      <c r="Q483" s="67"/>
      <c r="R483" s="68"/>
      <c r="S483" s="755">
        <f t="shared" si="44"/>
        <v>0</v>
      </c>
      <c r="T483" s="68"/>
      <c r="U483" s="68"/>
      <c r="V483" s="68"/>
      <c r="W483" s="68"/>
      <c r="X483" s="68"/>
      <c r="Y483" s="68"/>
      <c r="Z483" s="68"/>
      <c r="AA483" s="68"/>
      <c r="AB483" s="69"/>
      <c r="AC483" s="70"/>
      <c r="AD483" s="71"/>
      <c r="AE483" s="68"/>
      <c r="AF483" s="68"/>
      <c r="AG483" s="68"/>
      <c r="AH483" s="68"/>
      <c r="AI483" s="69"/>
      <c r="AJ483" s="69"/>
      <c r="AK483" s="68"/>
      <c r="AL483" s="77"/>
      <c r="AM483" s="71"/>
      <c r="AN483" s="68"/>
      <c r="AO483" s="68"/>
      <c r="AP483" s="68"/>
      <c r="AQ483" s="68"/>
      <c r="AR483" s="68"/>
      <c r="AS483" s="68"/>
      <c r="AT483" s="68"/>
      <c r="AU483" s="70"/>
      <c r="AV483" s="72"/>
      <c r="AW483" s="69"/>
      <c r="AX483" s="69"/>
      <c r="AY483" s="69"/>
      <c r="AZ483" s="69"/>
      <c r="BA483" s="69"/>
      <c r="BB483" s="69"/>
      <c r="BC483" s="69"/>
      <c r="BD483" s="70"/>
      <c r="BE483" s="71"/>
      <c r="BF483" s="68"/>
      <c r="BG483" s="68"/>
      <c r="BH483" s="70"/>
      <c r="BI483" s="67"/>
      <c r="BJ483" s="68"/>
      <c r="BK483" s="70"/>
      <c r="BL483" s="71"/>
      <c r="BM483" s="68"/>
      <c r="BN483" s="69"/>
      <c r="BO483" s="78"/>
      <c r="BP483" s="37">
        <f t="shared" si="45"/>
        <v>0</v>
      </c>
    </row>
    <row r="484" spans="1:68" ht="25.5" customHeight="1" thickTop="1" thickBot="1" x14ac:dyDescent="0.2">
      <c r="A484" s="17">
        <f t="shared" si="46"/>
        <v>469</v>
      </c>
      <c r="B484" s="1044"/>
      <c r="C484" s="1045"/>
      <c r="D484" s="38"/>
      <c r="E484" s="954"/>
      <c r="F484" s="53"/>
      <c r="G484" s="39"/>
      <c r="H484" s="1050"/>
      <c r="I484" s="684" t="str">
        <f t="shared" si="42"/>
        <v/>
      </c>
      <c r="J484" s="754">
        <f t="shared" si="43"/>
        <v>0</v>
      </c>
      <c r="K484" s="1254"/>
      <c r="L484" s="1253"/>
      <c r="M484" s="1253"/>
      <c r="N484" s="773" t="str">
        <f t="shared" si="47"/>
        <v/>
      </c>
      <c r="O484" s="774" t="str">
        <f>IF('Set up ~ Config'!$G$32=6,IF(OR($N484=7,$N484=8,$N484=9),1,IF(OR($N484=10,$N484=11,$N484=12),2,IF(OR($N484=1,$N484=2,$N484=3),3,IF(OR($N484=4,$N484=5,$N484=6),4,"")))),IF(OR($N484=9,$N484=10,$N484=11),1,IF(OR($N484=12,$N484=1,$N484=2),2,IF(OR($N484=3,$N484=4,$N484=5),3,IF(OR($N484=6,$N484=7,$N484=8),4,"")))))</f>
        <v/>
      </c>
      <c r="P484" s="40"/>
      <c r="Q484" s="67"/>
      <c r="R484" s="68"/>
      <c r="S484" s="755">
        <f t="shared" si="44"/>
        <v>0</v>
      </c>
      <c r="T484" s="68"/>
      <c r="U484" s="68"/>
      <c r="V484" s="68"/>
      <c r="W484" s="68"/>
      <c r="X484" s="68"/>
      <c r="Y484" s="68"/>
      <c r="Z484" s="68"/>
      <c r="AA484" s="68"/>
      <c r="AB484" s="69"/>
      <c r="AC484" s="70"/>
      <c r="AD484" s="71"/>
      <c r="AE484" s="68"/>
      <c r="AF484" s="68"/>
      <c r="AG484" s="68"/>
      <c r="AH484" s="68"/>
      <c r="AI484" s="69"/>
      <c r="AJ484" s="69"/>
      <c r="AK484" s="68"/>
      <c r="AL484" s="77"/>
      <c r="AM484" s="71"/>
      <c r="AN484" s="68"/>
      <c r="AO484" s="68"/>
      <c r="AP484" s="68"/>
      <c r="AQ484" s="68"/>
      <c r="AR484" s="68"/>
      <c r="AS484" s="68"/>
      <c r="AT484" s="68"/>
      <c r="AU484" s="70"/>
      <c r="AV484" s="72"/>
      <c r="AW484" s="69"/>
      <c r="AX484" s="69"/>
      <c r="AY484" s="69"/>
      <c r="AZ484" s="69"/>
      <c r="BA484" s="69"/>
      <c r="BB484" s="69"/>
      <c r="BC484" s="69"/>
      <c r="BD484" s="70"/>
      <c r="BE484" s="71"/>
      <c r="BF484" s="68"/>
      <c r="BG484" s="68"/>
      <c r="BH484" s="70"/>
      <c r="BI484" s="67"/>
      <c r="BJ484" s="68"/>
      <c r="BK484" s="70"/>
      <c r="BL484" s="71"/>
      <c r="BM484" s="68"/>
      <c r="BN484" s="69"/>
      <c r="BO484" s="78"/>
      <c r="BP484" s="37">
        <f t="shared" si="45"/>
        <v>0</v>
      </c>
    </row>
    <row r="485" spans="1:68" ht="25.5" customHeight="1" thickTop="1" thickBot="1" x14ac:dyDescent="0.2">
      <c r="A485" s="17">
        <f t="shared" si="46"/>
        <v>470</v>
      </c>
      <c r="B485" s="1044"/>
      <c r="C485" s="1045"/>
      <c r="D485" s="38"/>
      <c r="E485" s="954"/>
      <c r="F485" s="53"/>
      <c r="G485" s="39"/>
      <c r="H485" s="1050"/>
      <c r="I485" s="684" t="str">
        <f t="shared" si="42"/>
        <v/>
      </c>
      <c r="J485" s="754">
        <f t="shared" si="43"/>
        <v>0</v>
      </c>
      <c r="K485" s="1254"/>
      <c r="L485" s="1253"/>
      <c r="M485" s="1253"/>
      <c r="N485" s="773" t="str">
        <f t="shared" si="47"/>
        <v/>
      </c>
      <c r="O485" s="774" t="str">
        <f>IF('Set up ~ Config'!$G$32=6,IF(OR($N485=7,$N485=8,$N485=9),1,IF(OR($N485=10,$N485=11,$N485=12),2,IF(OR($N485=1,$N485=2,$N485=3),3,IF(OR($N485=4,$N485=5,$N485=6),4,"")))),IF(OR($N485=9,$N485=10,$N485=11),1,IF(OR($N485=12,$N485=1,$N485=2),2,IF(OR($N485=3,$N485=4,$N485=5),3,IF(OR($N485=6,$N485=7,$N485=8),4,"")))))</f>
        <v/>
      </c>
      <c r="P485" s="40"/>
      <c r="Q485" s="67"/>
      <c r="R485" s="68"/>
      <c r="S485" s="755">
        <f t="shared" si="44"/>
        <v>0</v>
      </c>
      <c r="T485" s="68"/>
      <c r="U485" s="68"/>
      <c r="V485" s="68"/>
      <c r="W485" s="68"/>
      <c r="X485" s="68"/>
      <c r="Y485" s="68"/>
      <c r="Z485" s="68"/>
      <c r="AA485" s="68"/>
      <c r="AB485" s="69"/>
      <c r="AC485" s="70"/>
      <c r="AD485" s="71"/>
      <c r="AE485" s="68"/>
      <c r="AF485" s="68"/>
      <c r="AG485" s="68"/>
      <c r="AH485" s="68"/>
      <c r="AI485" s="69"/>
      <c r="AJ485" s="69"/>
      <c r="AK485" s="68"/>
      <c r="AL485" s="77"/>
      <c r="AM485" s="71"/>
      <c r="AN485" s="68"/>
      <c r="AO485" s="68"/>
      <c r="AP485" s="68"/>
      <c r="AQ485" s="68"/>
      <c r="AR485" s="68"/>
      <c r="AS485" s="68"/>
      <c r="AT485" s="68"/>
      <c r="AU485" s="70"/>
      <c r="AV485" s="72"/>
      <c r="AW485" s="69"/>
      <c r="AX485" s="69"/>
      <c r="AY485" s="69"/>
      <c r="AZ485" s="69"/>
      <c r="BA485" s="69"/>
      <c r="BB485" s="69"/>
      <c r="BC485" s="69"/>
      <c r="BD485" s="70"/>
      <c r="BE485" s="71"/>
      <c r="BF485" s="68"/>
      <c r="BG485" s="68"/>
      <c r="BH485" s="70"/>
      <c r="BI485" s="67"/>
      <c r="BJ485" s="68"/>
      <c r="BK485" s="70"/>
      <c r="BL485" s="71"/>
      <c r="BM485" s="68"/>
      <c r="BN485" s="69"/>
      <c r="BO485" s="78"/>
      <c r="BP485" s="37">
        <f t="shared" si="45"/>
        <v>0</v>
      </c>
    </row>
    <row r="486" spans="1:68" ht="25.5" customHeight="1" thickTop="1" thickBot="1" x14ac:dyDescent="0.2">
      <c r="A486" s="17">
        <f t="shared" si="46"/>
        <v>471</v>
      </c>
      <c r="B486" s="1044"/>
      <c r="C486" s="1045"/>
      <c r="D486" s="38"/>
      <c r="E486" s="954"/>
      <c r="F486" s="53"/>
      <c r="G486" s="39"/>
      <c r="H486" s="1050"/>
      <c r="I486" s="684" t="str">
        <f t="shared" si="42"/>
        <v/>
      </c>
      <c r="J486" s="754">
        <f t="shared" si="43"/>
        <v>0</v>
      </c>
      <c r="K486" s="1254"/>
      <c r="L486" s="1253"/>
      <c r="M486" s="1253"/>
      <c r="N486" s="773" t="str">
        <f t="shared" si="47"/>
        <v/>
      </c>
      <c r="O486" s="774" t="str">
        <f>IF('Set up ~ Config'!$G$32=6,IF(OR($N486=7,$N486=8,$N486=9),1,IF(OR($N486=10,$N486=11,$N486=12),2,IF(OR($N486=1,$N486=2,$N486=3),3,IF(OR($N486=4,$N486=5,$N486=6),4,"")))),IF(OR($N486=9,$N486=10,$N486=11),1,IF(OR($N486=12,$N486=1,$N486=2),2,IF(OR($N486=3,$N486=4,$N486=5),3,IF(OR($N486=6,$N486=7,$N486=8),4,"")))))</f>
        <v/>
      </c>
      <c r="P486" s="40"/>
      <c r="Q486" s="67"/>
      <c r="R486" s="68"/>
      <c r="S486" s="755">
        <f t="shared" si="44"/>
        <v>0</v>
      </c>
      <c r="T486" s="68"/>
      <c r="U486" s="68"/>
      <c r="V486" s="68"/>
      <c r="W486" s="68"/>
      <c r="X486" s="68"/>
      <c r="Y486" s="68"/>
      <c r="Z486" s="68"/>
      <c r="AA486" s="68"/>
      <c r="AB486" s="69"/>
      <c r="AC486" s="70"/>
      <c r="AD486" s="71"/>
      <c r="AE486" s="68"/>
      <c r="AF486" s="68"/>
      <c r="AG486" s="68"/>
      <c r="AH486" s="68"/>
      <c r="AI486" s="69"/>
      <c r="AJ486" s="69"/>
      <c r="AK486" s="68"/>
      <c r="AL486" s="77"/>
      <c r="AM486" s="71"/>
      <c r="AN486" s="68"/>
      <c r="AO486" s="68"/>
      <c r="AP486" s="68"/>
      <c r="AQ486" s="68"/>
      <c r="AR486" s="68"/>
      <c r="AS486" s="68"/>
      <c r="AT486" s="68"/>
      <c r="AU486" s="70"/>
      <c r="AV486" s="72"/>
      <c r="AW486" s="69"/>
      <c r="AX486" s="69"/>
      <c r="AY486" s="69"/>
      <c r="AZ486" s="69"/>
      <c r="BA486" s="69"/>
      <c r="BB486" s="69"/>
      <c r="BC486" s="69"/>
      <c r="BD486" s="70"/>
      <c r="BE486" s="71"/>
      <c r="BF486" s="68"/>
      <c r="BG486" s="68"/>
      <c r="BH486" s="70"/>
      <c r="BI486" s="67"/>
      <c r="BJ486" s="68"/>
      <c r="BK486" s="70"/>
      <c r="BL486" s="71"/>
      <c r="BM486" s="68"/>
      <c r="BN486" s="69"/>
      <c r="BO486" s="78"/>
      <c r="BP486" s="37">
        <f t="shared" si="45"/>
        <v>0</v>
      </c>
    </row>
    <row r="487" spans="1:68" ht="25.5" customHeight="1" thickTop="1" thickBot="1" x14ac:dyDescent="0.2">
      <c r="A487" s="17">
        <f t="shared" si="46"/>
        <v>472</v>
      </c>
      <c r="B487" s="1044"/>
      <c r="C487" s="1045"/>
      <c r="D487" s="38"/>
      <c r="E487" s="954"/>
      <c r="F487" s="53"/>
      <c r="G487" s="39"/>
      <c r="H487" s="1050"/>
      <c r="I487" s="684" t="str">
        <f t="shared" si="42"/>
        <v/>
      </c>
      <c r="J487" s="754">
        <f t="shared" si="43"/>
        <v>0</v>
      </c>
      <c r="K487" s="1254"/>
      <c r="L487" s="1253"/>
      <c r="M487" s="1253"/>
      <c r="N487" s="773" t="str">
        <f t="shared" si="47"/>
        <v/>
      </c>
      <c r="O487" s="774" t="str">
        <f>IF('Set up ~ Config'!$G$32=6,IF(OR($N487=7,$N487=8,$N487=9),1,IF(OR($N487=10,$N487=11,$N487=12),2,IF(OR($N487=1,$N487=2,$N487=3),3,IF(OR($N487=4,$N487=5,$N487=6),4,"")))),IF(OR($N487=9,$N487=10,$N487=11),1,IF(OR($N487=12,$N487=1,$N487=2),2,IF(OR($N487=3,$N487=4,$N487=5),3,IF(OR($N487=6,$N487=7,$N487=8),4,"")))))</f>
        <v/>
      </c>
      <c r="P487" s="40"/>
      <c r="Q487" s="67"/>
      <c r="R487" s="68"/>
      <c r="S487" s="755">
        <f t="shared" si="44"/>
        <v>0</v>
      </c>
      <c r="T487" s="68"/>
      <c r="U487" s="68"/>
      <c r="V487" s="68"/>
      <c r="W487" s="68"/>
      <c r="X487" s="68"/>
      <c r="Y487" s="68"/>
      <c r="Z487" s="68"/>
      <c r="AA487" s="68"/>
      <c r="AB487" s="69"/>
      <c r="AC487" s="70"/>
      <c r="AD487" s="71"/>
      <c r="AE487" s="68"/>
      <c r="AF487" s="68"/>
      <c r="AG487" s="68"/>
      <c r="AH487" s="68"/>
      <c r="AI487" s="69"/>
      <c r="AJ487" s="69"/>
      <c r="AK487" s="68"/>
      <c r="AL487" s="77"/>
      <c r="AM487" s="71"/>
      <c r="AN487" s="68"/>
      <c r="AO487" s="68"/>
      <c r="AP487" s="68"/>
      <c r="AQ487" s="68"/>
      <c r="AR487" s="68"/>
      <c r="AS487" s="68"/>
      <c r="AT487" s="68"/>
      <c r="AU487" s="70"/>
      <c r="AV487" s="72"/>
      <c r="AW487" s="69"/>
      <c r="AX487" s="69"/>
      <c r="AY487" s="69"/>
      <c r="AZ487" s="69"/>
      <c r="BA487" s="69"/>
      <c r="BB487" s="69"/>
      <c r="BC487" s="69"/>
      <c r="BD487" s="70"/>
      <c r="BE487" s="71"/>
      <c r="BF487" s="68"/>
      <c r="BG487" s="68"/>
      <c r="BH487" s="70"/>
      <c r="BI487" s="67"/>
      <c r="BJ487" s="68"/>
      <c r="BK487" s="70"/>
      <c r="BL487" s="71"/>
      <c r="BM487" s="68"/>
      <c r="BN487" s="69"/>
      <c r="BO487" s="78"/>
      <c r="BP487" s="37">
        <f t="shared" si="45"/>
        <v>0</v>
      </c>
    </row>
    <row r="488" spans="1:68" ht="25.5" customHeight="1" thickTop="1" thickBot="1" x14ac:dyDescent="0.2">
      <c r="A488" s="17">
        <f t="shared" si="46"/>
        <v>473</v>
      </c>
      <c r="B488" s="1044"/>
      <c r="C488" s="1045"/>
      <c r="D488" s="38"/>
      <c r="E488" s="954"/>
      <c r="F488" s="53"/>
      <c r="G488" s="39"/>
      <c r="H488" s="1050"/>
      <c r="I488" s="684" t="str">
        <f t="shared" si="42"/>
        <v/>
      </c>
      <c r="J488" s="754">
        <f t="shared" si="43"/>
        <v>0</v>
      </c>
      <c r="K488" s="1254"/>
      <c r="L488" s="1253"/>
      <c r="M488" s="1253"/>
      <c r="N488" s="773" t="str">
        <f t="shared" si="47"/>
        <v/>
      </c>
      <c r="O488" s="774" t="str">
        <f>IF('Set up ~ Config'!$G$32=6,IF(OR($N488=7,$N488=8,$N488=9),1,IF(OR($N488=10,$N488=11,$N488=12),2,IF(OR($N488=1,$N488=2,$N488=3),3,IF(OR($N488=4,$N488=5,$N488=6),4,"")))),IF(OR($N488=9,$N488=10,$N488=11),1,IF(OR($N488=12,$N488=1,$N488=2),2,IF(OR($N488=3,$N488=4,$N488=5),3,IF(OR($N488=6,$N488=7,$N488=8),4,"")))))</f>
        <v/>
      </c>
      <c r="P488" s="40"/>
      <c r="Q488" s="67"/>
      <c r="R488" s="68"/>
      <c r="S488" s="755">
        <f t="shared" si="44"/>
        <v>0</v>
      </c>
      <c r="T488" s="68"/>
      <c r="U488" s="68"/>
      <c r="V488" s="68"/>
      <c r="W488" s="68"/>
      <c r="X488" s="68"/>
      <c r="Y488" s="68"/>
      <c r="Z488" s="68"/>
      <c r="AA488" s="68"/>
      <c r="AB488" s="69"/>
      <c r="AC488" s="70"/>
      <c r="AD488" s="71"/>
      <c r="AE488" s="68"/>
      <c r="AF488" s="68"/>
      <c r="AG488" s="68"/>
      <c r="AH488" s="68"/>
      <c r="AI488" s="69"/>
      <c r="AJ488" s="69"/>
      <c r="AK488" s="68"/>
      <c r="AL488" s="77"/>
      <c r="AM488" s="71"/>
      <c r="AN488" s="68"/>
      <c r="AO488" s="68"/>
      <c r="AP488" s="68"/>
      <c r="AQ488" s="68"/>
      <c r="AR488" s="68"/>
      <c r="AS488" s="68"/>
      <c r="AT488" s="68"/>
      <c r="AU488" s="70"/>
      <c r="AV488" s="72"/>
      <c r="AW488" s="69"/>
      <c r="AX488" s="69"/>
      <c r="AY488" s="69"/>
      <c r="AZ488" s="69"/>
      <c r="BA488" s="69"/>
      <c r="BB488" s="69"/>
      <c r="BC488" s="69"/>
      <c r="BD488" s="70"/>
      <c r="BE488" s="71"/>
      <c r="BF488" s="68"/>
      <c r="BG488" s="68"/>
      <c r="BH488" s="70"/>
      <c r="BI488" s="67"/>
      <c r="BJ488" s="68"/>
      <c r="BK488" s="70"/>
      <c r="BL488" s="71"/>
      <c r="BM488" s="68"/>
      <c r="BN488" s="69"/>
      <c r="BO488" s="78"/>
      <c r="BP488" s="37">
        <f t="shared" si="45"/>
        <v>0</v>
      </c>
    </row>
    <row r="489" spans="1:68" ht="25.5" customHeight="1" thickTop="1" thickBot="1" x14ac:dyDescent="0.2">
      <c r="A489" s="17">
        <f t="shared" si="46"/>
        <v>474</v>
      </c>
      <c r="B489" s="1044"/>
      <c r="C489" s="1045"/>
      <c r="D489" s="38"/>
      <c r="E489" s="954"/>
      <c r="F489" s="53"/>
      <c r="G489" s="39"/>
      <c r="H489" s="1050"/>
      <c r="I489" s="684" t="str">
        <f t="shared" si="42"/>
        <v/>
      </c>
      <c r="J489" s="754">
        <f t="shared" si="43"/>
        <v>0</v>
      </c>
      <c r="K489" s="1254"/>
      <c r="L489" s="1253"/>
      <c r="M489" s="1253"/>
      <c r="N489" s="773" t="str">
        <f t="shared" si="47"/>
        <v/>
      </c>
      <c r="O489" s="774" t="str">
        <f>IF('Set up ~ Config'!$G$32=6,IF(OR($N489=7,$N489=8,$N489=9),1,IF(OR($N489=10,$N489=11,$N489=12),2,IF(OR($N489=1,$N489=2,$N489=3),3,IF(OR($N489=4,$N489=5,$N489=6),4,"")))),IF(OR($N489=9,$N489=10,$N489=11),1,IF(OR($N489=12,$N489=1,$N489=2),2,IF(OR($N489=3,$N489=4,$N489=5),3,IF(OR($N489=6,$N489=7,$N489=8),4,"")))))</f>
        <v/>
      </c>
      <c r="P489" s="40"/>
      <c r="Q489" s="67"/>
      <c r="R489" s="68"/>
      <c r="S489" s="755">
        <f t="shared" si="44"/>
        <v>0</v>
      </c>
      <c r="T489" s="68"/>
      <c r="U489" s="68"/>
      <c r="V489" s="68"/>
      <c r="W489" s="68"/>
      <c r="X489" s="68"/>
      <c r="Y489" s="68"/>
      <c r="Z489" s="68"/>
      <c r="AA489" s="68"/>
      <c r="AB489" s="69"/>
      <c r="AC489" s="70"/>
      <c r="AD489" s="71"/>
      <c r="AE489" s="68"/>
      <c r="AF489" s="68"/>
      <c r="AG489" s="68"/>
      <c r="AH489" s="68"/>
      <c r="AI489" s="69"/>
      <c r="AJ489" s="69"/>
      <c r="AK489" s="68"/>
      <c r="AL489" s="77"/>
      <c r="AM489" s="71"/>
      <c r="AN489" s="68"/>
      <c r="AO489" s="68"/>
      <c r="AP489" s="68"/>
      <c r="AQ489" s="68"/>
      <c r="AR489" s="68"/>
      <c r="AS489" s="68"/>
      <c r="AT489" s="68"/>
      <c r="AU489" s="70"/>
      <c r="AV489" s="72"/>
      <c r="AW489" s="69"/>
      <c r="AX489" s="69"/>
      <c r="AY489" s="69"/>
      <c r="AZ489" s="69"/>
      <c r="BA489" s="69"/>
      <c r="BB489" s="69"/>
      <c r="BC489" s="69"/>
      <c r="BD489" s="70"/>
      <c r="BE489" s="71"/>
      <c r="BF489" s="68"/>
      <c r="BG489" s="68"/>
      <c r="BH489" s="70"/>
      <c r="BI489" s="67"/>
      <c r="BJ489" s="68"/>
      <c r="BK489" s="70"/>
      <c r="BL489" s="71"/>
      <c r="BM489" s="68"/>
      <c r="BN489" s="69"/>
      <c r="BO489" s="78"/>
      <c r="BP489" s="37">
        <f t="shared" si="45"/>
        <v>0</v>
      </c>
    </row>
    <row r="490" spans="1:68" ht="25.5" customHeight="1" thickTop="1" thickBot="1" x14ac:dyDescent="0.2">
      <c r="A490" s="17">
        <f t="shared" si="46"/>
        <v>475</v>
      </c>
      <c r="B490" s="1044"/>
      <c r="C490" s="1045"/>
      <c r="D490" s="38"/>
      <c r="E490" s="954"/>
      <c r="F490" s="53"/>
      <c r="G490" s="39"/>
      <c r="H490" s="1050"/>
      <c r="I490" s="684" t="str">
        <f t="shared" si="42"/>
        <v/>
      </c>
      <c r="J490" s="754">
        <f t="shared" si="43"/>
        <v>0</v>
      </c>
      <c r="K490" s="1254"/>
      <c r="L490" s="1253"/>
      <c r="M490" s="1253"/>
      <c r="N490" s="773" t="str">
        <f t="shared" si="47"/>
        <v/>
      </c>
      <c r="O490" s="774" t="str">
        <f>IF('Set up ~ Config'!$G$32=6,IF(OR($N490=7,$N490=8,$N490=9),1,IF(OR($N490=10,$N490=11,$N490=12),2,IF(OR($N490=1,$N490=2,$N490=3),3,IF(OR($N490=4,$N490=5,$N490=6),4,"")))),IF(OR($N490=9,$N490=10,$N490=11),1,IF(OR($N490=12,$N490=1,$N490=2),2,IF(OR($N490=3,$N490=4,$N490=5),3,IF(OR($N490=6,$N490=7,$N490=8),4,"")))))</f>
        <v/>
      </c>
      <c r="P490" s="40"/>
      <c r="Q490" s="67"/>
      <c r="R490" s="68"/>
      <c r="S490" s="755">
        <f t="shared" si="44"/>
        <v>0</v>
      </c>
      <c r="T490" s="68"/>
      <c r="U490" s="68"/>
      <c r="V490" s="68"/>
      <c r="W490" s="68"/>
      <c r="X490" s="68"/>
      <c r="Y490" s="68"/>
      <c r="Z490" s="68"/>
      <c r="AA490" s="68"/>
      <c r="AB490" s="69"/>
      <c r="AC490" s="70"/>
      <c r="AD490" s="71"/>
      <c r="AE490" s="68"/>
      <c r="AF490" s="68"/>
      <c r="AG490" s="68"/>
      <c r="AH490" s="68"/>
      <c r="AI490" s="69"/>
      <c r="AJ490" s="69"/>
      <c r="AK490" s="68"/>
      <c r="AL490" s="77"/>
      <c r="AM490" s="71"/>
      <c r="AN490" s="68"/>
      <c r="AO490" s="68"/>
      <c r="AP490" s="68"/>
      <c r="AQ490" s="68"/>
      <c r="AR490" s="68"/>
      <c r="AS490" s="68"/>
      <c r="AT490" s="68"/>
      <c r="AU490" s="70"/>
      <c r="AV490" s="72"/>
      <c r="AW490" s="69"/>
      <c r="AX490" s="69"/>
      <c r="AY490" s="69"/>
      <c r="AZ490" s="69"/>
      <c r="BA490" s="69"/>
      <c r="BB490" s="69"/>
      <c r="BC490" s="69"/>
      <c r="BD490" s="70"/>
      <c r="BE490" s="71"/>
      <c r="BF490" s="68"/>
      <c r="BG490" s="68"/>
      <c r="BH490" s="70"/>
      <c r="BI490" s="67"/>
      <c r="BJ490" s="68"/>
      <c r="BK490" s="70"/>
      <c r="BL490" s="71"/>
      <c r="BM490" s="68"/>
      <c r="BN490" s="69"/>
      <c r="BO490" s="78"/>
      <c r="BP490" s="37">
        <f t="shared" si="45"/>
        <v>0</v>
      </c>
    </row>
    <row r="491" spans="1:68" ht="25.5" customHeight="1" thickTop="1" thickBot="1" x14ac:dyDescent="0.2">
      <c r="A491" s="17">
        <f t="shared" si="46"/>
        <v>476</v>
      </c>
      <c r="B491" s="1044"/>
      <c r="C491" s="1045"/>
      <c r="D491" s="38"/>
      <c r="E491" s="954"/>
      <c r="F491" s="53"/>
      <c r="G491" s="39"/>
      <c r="H491" s="1050"/>
      <c r="I491" s="684" t="str">
        <f t="shared" si="42"/>
        <v/>
      </c>
      <c r="J491" s="754">
        <f t="shared" si="43"/>
        <v>0</v>
      </c>
      <c r="K491" s="1254"/>
      <c r="L491" s="1253"/>
      <c r="M491" s="1253"/>
      <c r="N491" s="773" t="str">
        <f t="shared" si="47"/>
        <v/>
      </c>
      <c r="O491" s="774" t="str">
        <f>IF('Set up ~ Config'!$G$32=6,IF(OR($N491=7,$N491=8,$N491=9),1,IF(OR($N491=10,$N491=11,$N491=12),2,IF(OR($N491=1,$N491=2,$N491=3),3,IF(OR($N491=4,$N491=5,$N491=6),4,"")))),IF(OR($N491=9,$N491=10,$N491=11),1,IF(OR($N491=12,$N491=1,$N491=2),2,IF(OR($N491=3,$N491=4,$N491=5),3,IF(OR($N491=6,$N491=7,$N491=8),4,"")))))</f>
        <v/>
      </c>
      <c r="P491" s="40"/>
      <c r="Q491" s="67"/>
      <c r="R491" s="68"/>
      <c r="S491" s="755">
        <f t="shared" si="44"/>
        <v>0</v>
      </c>
      <c r="T491" s="68"/>
      <c r="U491" s="68"/>
      <c r="V491" s="68"/>
      <c r="W491" s="68"/>
      <c r="X491" s="68"/>
      <c r="Y491" s="68"/>
      <c r="Z491" s="68"/>
      <c r="AA491" s="68"/>
      <c r="AB491" s="69"/>
      <c r="AC491" s="70"/>
      <c r="AD491" s="71"/>
      <c r="AE491" s="68"/>
      <c r="AF491" s="68"/>
      <c r="AG491" s="68"/>
      <c r="AH491" s="68"/>
      <c r="AI491" s="69"/>
      <c r="AJ491" s="69"/>
      <c r="AK491" s="68"/>
      <c r="AL491" s="77"/>
      <c r="AM491" s="71"/>
      <c r="AN491" s="68"/>
      <c r="AO491" s="68"/>
      <c r="AP491" s="68"/>
      <c r="AQ491" s="68"/>
      <c r="AR491" s="68"/>
      <c r="AS491" s="68"/>
      <c r="AT491" s="68"/>
      <c r="AU491" s="70"/>
      <c r="AV491" s="72"/>
      <c r="AW491" s="69"/>
      <c r="AX491" s="69"/>
      <c r="AY491" s="69"/>
      <c r="AZ491" s="69"/>
      <c r="BA491" s="69"/>
      <c r="BB491" s="69"/>
      <c r="BC491" s="69"/>
      <c r="BD491" s="70"/>
      <c r="BE491" s="71"/>
      <c r="BF491" s="68"/>
      <c r="BG491" s="68"/>
      <c r="BH491" s="70"/>
      <c r="BI491" s="67"/>
      <c r="BJ491" s="68"/>
      <c r="BK491" s="70"/>
      <c r="BL491" s="71"/>
      <c r="BM491" s="68"/>
      <c r="BN491" s="69"/>
      <c r="BO491" s="78"/>
      <c r="BP491" s="37">
        <f t="shared" si="45"/>
        <v>0</v>
      </c>
    </row>
    <row r="492" spans="1:68" ht="25.5" customHeight="1" thickTop="1" thickBot="1" x14ac:dyDescent="0.2">
      <c r="A492" s="17">
        <f t="shared" si="46"/>
        <v>477</v>
      </c>
      <c r="B492" s="1044"/>
      <c r="C492" s="1045"/>
      <c r="D492" s="38"/>
      <c r="E492" s="954"/>
      <c r="F492" s="53"/>
      <c r="G492" s="39"/>
      <c r="H492" s="1050"/>
      <c r="I492" s="684" t="str">
        <f t="shared" si="42"/>
        <v/>
      </c>
      <c r="J492" s="754">
        <f t="shared" si="43"/>
        <v>0</v>
      </c>
      <c r="K492" s="1254"/>
      <c r="L492" s="1253"/>
      <c r="M492" s="1253"/>
      <c r="N492" s="773" t="str">
        <f t="shared" si="47"/>
        <v/>
      </c>
      <c r="O492" s="774" t="str">
        <f>IF('Set up ~ Config'!$G$32=6,IF(OR($N492=7,$N492=8,$N492=9),1,IF(OR($N492=10,$N492=11,$N492=12),2,IF(OR($N492=1,$N492=2,$N492=3),3,IF(OR($N492=4,$N492=5,$N492=6),4,"")))),IF(OR($N492=9,$N492=10,$N492=11),1,IF(OR($N492=12,$N492=1,$N492=2),2,IF(OR($N492=3,$N492=4,$N492=5),3,IF(OR($N492=6,$N492=7,$N492=8),4,"")))))</f>
        <v/>
      </c>
      <c r="P492" s="40"/>
      <c r="Q492" s="67"/>
      <c r="R492" s="68"/>
      <c r="S492" s="755">
        <f t="shared" si="44"/>
        <v>0</v>
      </c>
      <c r="T492" s="68"/>
      <c r="U492" s="68"/>
      <c r="V492" s="68"/>
      <c r="W492" s="68"/>
      <c r="X492" s="68"/>
      <c r="Y492" s="68"/>
      <c r="Z492" s="68"/>
      <c r="AA492" s="68"/>
      <c r="AB492" s="69"/>
      <c r="AC492" s="70"/>
      <c r="AD492" s="71"/>
      <c r="AE492" s="68"/>
      <c r="AF492" s="68"/>
      <c r="AG492" s="68"/>
      <c r="AH492" s="68"/>
      <c r="AI492" s="69"/>
      <c r="AJ492" s="69"/>
      <c r="AK492" s="68"/>
      <c r="AL492" s="77"/>
      <c r="AM492" s="71"/>
      <c r="AN492" s="68"/>
      <c r="AO492" s="68"/>
      <c r="AP492" s="68"/>
      <c r="AQ492" s="68"/>
      <c r="AR492" s="68"/>
      <c r="AS492" s="68"/>
      <c r="AT492" s="68"/>
      <c r="AU492" s="70"/>
      <c r="AV492" s="72"/>
      <c r="AW492" s="69"/>
      <c r="AX492" s="69"/>
      <c r="AY492" s="69"/>
      <c r="AZ492" s="69"/>
      <c r="BA492" s="69"/>
      <c r="BB492" s="69"/>
      <c r="BC492" s="69"/>
      <c r="BD492" s="70"/>
      <c r="BE492" s="71"/>
      <c r="BF492" s="68"/>
      <c r="BG492" s="68"/>
      <c r="BH492" s="70"/>
      <c r="BI492" s="67"/>
      <c r="BJ492" s="68"/>
      <c r="BK492" s="70"/>
      <c r="BL492" s="71"/>
      <c r="BM492" s="68"/>
      <c r="BN492" s="69"/>
      <c r="BO492" s="78"/>
      <c r="BP492" s="37">
        <f t="shared" si="45"/>
        <v>0</v>
      </c>
    </row>
    <row r="493" spans="1:68" ht="25.5" customHeight="1" thickTop="1" thickBot="1" x14ac:dyDescent="0.2">
      <c r="A493" s="17">
        <f t="shared" si="46"/>
        <v>478</v>
      </c>
      <c r="B493" s="1044"/>
      <c r="C493" s="1045"/>
      <c r="D493" s="38"/>
      <c r="E493" s="954"/>
      <c r="F493" s="53"/>
      <c r="G493" s="39"/>
      <c r="H493" s="1050"/>
      <c r="I493" s="684" t="str">
        <f t="shared" si="42"/>
        <v/>
      </c>
      <c r="J493" s="754">
        <f t="shared" si="43"/>
        <v>0</v>
      </c>
      <c r="K493" s="1254"/>
      <c r="L493" s="1253"/>
      <c r="M493" s="1253"/>
      <c r="N493" s="773" t="str">
        <f t="shared" si="47"/>
        <v/>
      </c>
      <c r="O493" s="774" t="str">
        <f>IF('Set up ~ Config'!$G$32=6,IF(OR($N493=7,$N493=8,$N493=9),1,IF(OR($N493=10,$N493=11,$N493=12),2,IF(OR($N493=1,$N493=2,$N493=3),3,IF(OR($N493=4,$N493=5,$N493=6),4,"")))),IF(OR($N493=9,$N493=10,$N493=11),1,IF(OR($N493=12,$N493=1,$N493=2),2,IF(OR($N493=3,$N493=4,$N493=5),3,IF(OR($N493=6,$N493=7,$N493=8),4,"")))))</f>
        <v/>
      </c>
      <c r="P493" s="40"/>
      <c r="Q493" s="67"/>
      <c r="R493" s="68"/>
      <c r="S493" s="755">
        <f t="shared" si="44"/>
        <v>0</v>
      </c>
      <c r="T493" s="68"/>
      <c r="U493" s="68"/>
      <c r="V493" s="68"/>
      <c r="W493" s="68"/>
      <c r="X493" s="68"/>
      <c r="Y493" s="68"/>
      <c r="Z493" s="68"/>
      <c r="AA493" s="68"/>
      <c r="AB493" s="69"/>
      <c r="AC493" s="70"/>
      <c r="AD493" s="71"/>
      <c r="AE493" s="68"/>
      <c r="AF493" s="68"/>
      <c r="AG493" s="68"/>
      <c r="AH493" s="68"/>
      <c r="AI493" s="69"/>
      <c r="AJ493" s="69"/>
      <c r="AK493" s="68"/>
      <c r="AL493" s="77"/>
      <c r="AM493" s="71"/>
      <c r="AN493" s="68"/>
      <c r="AO493" s="68"/>
      <c r="AP493" s="68"/>
      <c r="AQ493" s="68"/>
      <c r="AR493" s="68"/>
      <c r="AS493" s="68"/>
      <c r="AT493" s="68"/>
      <c r="AU493" s="70"/>
      <c r="AV493" s="72"/>
      <c r="AW493" s="69"/>
      <c r="AX493" s="69"/>
      <c r="AY493" s="69"/>
      <c r="AZ493" s="69"/>
      <c r="BA493" s="69"/>
      <c r="BB493" s="69"/>
      <c r="BC493" s="69"/>
      <c r="BD493" s="70"/>
      <c r="BE493" s="71"/>
      <c r="BF493" s="68"/>
      <c r="BG493" s="68"/>
      <c r="BH493" s="70"/>
      <c r="BI493" s="67"/>
      <c r="BJ493" s="68"/>
      <c r="BK493" s="70"/>
      <c r="BL493" s="71"/>
      <c r="BM493" s="68"/>
      <c r="BN493" s="69"/>
      <c r="BO493" s="78"/>
      <c r="BP493" s="37">
        <f t="shared" si="45"/>
        <v>0</v>
      </c>
    </row>
    <row r="494" spans="1:68" ht="25.5" customHeight="1" thickTop="1" thickBot="1" x14ac:dyDescent="0.2">
      <c r="A494" s="17">
        <f t="shared" si="46"/>
        <v>479</v>
      </c>
      <c r="B494" s="1044"/>
      <c r="C494" s="1045"/>
      <c r="D494" s="38"/>
      <c r="E494" s="954"/>
      <c r="F494" s="53"/>
      <c r="G494" s="39"/>
      <c r="H494" s="1050"/>
      <c r="I494" s="684" t="str">
        <f t="shared" si="42"/>
        <v/>
      </c>
      <c r="J494" s="754">
        <f t="shared" si="43"/>
        <v>0</v>
      </c>
      <c r="K494" s="1254"/>
      <c r="L494" s="1253"/>
      <c r="M494" s="1253"/>
      <c r="N494" s="773" t="str">
        <f t="shared" si="47"/>
        <v/>
      </c>
      <c r="O494" s="774" t="str">
        <f>IF('Set up ~ Config'!$G$32=6,IF(OR($N494=7,$N494=8,$N494=9),1,IF(OR($N494=10,$N494=11,$N494=12),2,IF(OR($N494=1,$N494=2,$N494=3),3,IF(OR($N494=4,$N494=5,$N494=6),4,"")))),IF(OR($N494=9,$N494=10,$N494=11),1,IF(OR($N494=12,$N494=1,$N494=2),2,IF(OR($N494=3,$N494=4,$N494=5),3,IF(OR($N494=6,$N494=7,$N494=8),4,"")))))</f>
        <v/>
      </c>
      <c r="P494" s="40"/>
      <c r="Q494" s="67"/>
      <c r="R494" s="68"/>
      <c r="S494" s="755">
        <f t="shared" si="44"/>
        <v>0</v>
      </c>
      <c r="T494" s="68"/>
      <c r="U494" s="68"/>
      <c r="V494" s="68"/>
      <c r="W494" s="68"/>
      <c r="X494" s="68"/>
      <c r="Y494" s="68"/>
      <c r="Z494" s="68"/>
      <c r="AA494" s="68"/>
      <c r="AB494" s="69"/>
      <c r="AC494" s="70"/>
      <c r="AD494" s="71"/>
      <c r="AE494" s="68"/>
      <c r="AF494" s="68"/>
      <c r="AG494" s="68"/>
      <c r="AH494" s="68"/>
      <c r="AI494" s="69"/>
      <c r="AJ494" s="69"/>
      <c r="AK494" s="68"/>
      <c r="AL494" s="77"/>
      <c r="AM494" s="71"/>
      <c r="AN494" s="68"/>
      <c r="AO494" s="68"/>
      <c r="AP494" s="68"/>
      <c r="AQ494" s="68"/>
      <c r="AR494" s="68"/>
      <c r="AS494" s="68"/>
      <c r="AT494" s="68"/>
      <c r="AU494" s="70"/>
      <c r="AV494" s="72"/>
      <c r="AW494" s="69"/>
      <c r="AX494" s="69"/>
      <c r="AY494" s="69"/>
      <c r="AZ494" s="69"/>
      <c r="BA494" s="69"/>
      <c r="BB494" s="69"/>
      <c r="BC494" s="69"/>
      <c r="BD494" s="70"/>
      <c r="BE494" s="71"/>
      <c r="BF494" s="68"/>
      <c r="BG494" s="68"/>
      <c r="BH494" s="70"/>
      <c r="BI494" s="67"/>
      <c r="BJ494" s="68"/>
      <c r="BK494" s="70"/>
      <c r="BL494" s="71"/>
      <c r="BM494" s="68"/>
      <c r="BN494" s="69"/>
      <c r="BO494" s="78"/>
      <c r="BP494" s="37">
        <f t="shared" si="45"/>
        <v>0</v>
      </c>
    </row>
    <row r="495" spans="1:68" ht="25.5" customHeight="1" thickTop="1" thickBot="1" x14ac:dyDescent="0.2">
      <c r="A495" s="17">
        <f t="shared" si="46"/>
        <v>480</v>
      </c>
      <c r="B495" s="1044"/>
      <c r="C495" s="1045"/>
      <c r="D495" s="38"/>
      <c r="E495" s="954"/>
      <c r="F495" s="53"/>
      <c r="G495" s="39"/>
      <c r="H495" s="1050"/>
      <c r="I495" s="684" t="str">
        <f t="shared" si="42"/>
        <v/>
      </c>
      <c r="J495" s="754">
        <f t="shared" si="43"/>
        <v>0</v>
      </c>
      <c r="K495" s="1254"/>
      <c r="L495" s="1253"/>
      <c r="M495" s="1253"/>
      <c r="N495" s="773" t="str">
        <f t="shared" si="47"/>
        <v/>
      </c>
      <c r="O495" s="774" t="str">
        <f>IF('Set up ~ Config'!$G$32=6,IF(OR($N495=7,$N495=8,$N495=9),1,IF(OR($N495=10,$N495=11,$N495=12),2,IF(OR($N495=1,$N495=2,$N495=3),3,IF(OR($N495=4,$N495=5,$N495=6),4,"")))),IF(OR($N495=9,$N495=10,$N495=11),1,IF(OR($N495=12,$N495=1,$N495=2),2,IF(OR($N495=3,$N495=4,$N495=5),3,IF(OR($N495=6,$N495=7,$N495=8),4,"")))))</f>
        <v/>
      </c>
      <c r="P495" s="40"/>
      <c r="Q495" s="67"/>
      <c r="R495" s="68"/>
      <c r="S495" s="755">
        <f t="shared" si="44"/>
        <v>0</v>
      </c>
      <c r="T495" s="68"/>
      <c r="U495" s="68"/>
      <c r="V495" s="68"/>
      <c r="W495" s="68"/>
      <c r="X495" s="68"/>
      <c r="Y495" s="68"/>
      <c r="Z495" s="68"/>
      <c r="AA495" s="68"/>
      <c r="AB495" s="69"/>
      <c r="AC495" s="70"/>
      <c r="AD495" s="71"/>
      <c r="AE495" s="68"/>
      <c r="AF495" s="68"/>
      <c r="AG495" s="68"/>
      <c r="AH495" s="68"/>
      <c r="AI495" s="69"/>
      <c r="AJ495" s="69"/>
      <c r="AK495" s="68"/>
      <c r="AL495" s="77"/>
      <c r="AM495" s="71"/>
      <c r="AN495" s="68"/>
      <c r="AO495" s="68"/>
      <c r="AP495" s="68"/>
      <c r="AQ495" s="68"/>
      <c r="AR495" s="68"/>
      <c r="AS495" s="68"/>
      <c r="AT495" s="68"/>
      <c r="AU495" s="70"/>
      <c r="AV495" s="72"/>
      <c r="AW495" s="69"/>
      <c r="AX495" s="69"/>
      <c r="AY495" s="69"/>
      <c r="AZ495" s="69"/>
      <c r="BA495" s="69"/>
      <c r="BB495" s="69"/>
      <c r="BC495" s="69"/>
      <c r="BD495" s="70"/>
      <c r="BE495" s="71"/>
      <c r="BF495" s="68"/>
      <c r="BG495" s="68"/>
      <c r="BH495" s="70"/>
      <c r="BI495" s="67"/>
      <c r="BJ495" s="68"/>
      <c r="BK495" s="70"/>
      <c r="BL495" s="71"/>
      <c r="BM495" s="68"/>
      <c r="BN495" s="69"/>
      <c r="BO495" s="78"/>
      <c r="BP495" s="37">
        <f t="shared" si="45"/>
        <v>0</v>
      </c>
    </row>
    <row r="496" spans="1:68" ht="25.5" customHeight="1" thickTop="1" thickBot="1" x14ac:dyDescent="0.2">
      <c r="A496" s="17">
        <f t="shared" si="46"/>
        <v>481</v>
      </c>
      <c r="B496" s="1044"/>
      <c r="C496" s="1045"/>
      <c r="D496" s="38"/>
      <c r="E496" s="954"/>
      <c r="F496" s="53"/>
      <c r="G496" s="39"/>
      <c r="H496" s="1050"/>
      <c r="I496" s="684" t="str">
        <f t="shared" si="42"/>
        <v/>
      </c>
      <c r="J496" s="754">
        <f t="shared" si="43"/>
        <v>0</v>
      </c>
      <c r="K496" s="1254"/>
      <c r="L496" s="1253"/>
      <c r="M496" s="1253"/>
      <c r="N496" s="773" t="str">
        <f t="shared" si="47"/>
        <v/>
      </c>
      <c r="O496" s="774" t="str">
        <f>IF('Set up ~ Config'!$G$32=6,IF(OR($N496=7,$N496=8,$N496=9),1,IF(OR($N496=10,$N496=11,$N496=12),2,IF(OR($N496=1,$N496=2,$N496=3),3,IF(OR($N496=4,$N496=5,$N496=6),4,"")))),IF(OR($N496=9,$N496=10,$N496=11),1,IF(OR($N496=12,$N496=1,$N496=2),2,IF(OR($N496=3,$N496=4,$N496=5),3,IF(OR($N496=6,$N496=7,$N496=8),4,"")))))</f>
        <v/>
      </c>
      <c r="P496" s="40"/>
      <c r="Q496" s="67"/>
      <c r="R496" s="68"/>
      <c r="S496" s="755">
        <f t="shared" si="44"/>
        <v>0</v>
      </c>
      <c r="T496" s="68"/>
      <c r="U496" s="68"/>
      <c r="V496" s="68"/>
      <c r="W496" s="68"/>
      <c r="X496" s="68"/>
      <c r="Y496" s="68"/>
      <c r="Z496" s="68"/>
      <c r="AA496" s="68"/>
      <c r="AB496" s="69"/>
      <c r="AC496" s="70"/>
      <c r="AD496" s="71"/>
      <c r="AE496" s="68"/>
      <c r="AF496" s="68"/>
      <c r="AG496" s="68"/>
      <c r="AH496" s="68"/>
      <c r="AI496" s="69"/>
      <c r="AJ496" s="69"/>
      <c r="AK496" s="68"/>
      <c r="AL496" s="77"/>
      <c r="AM496" s="71"/>
      <c r="AN496" s="68"/>
      <c r="AO496" s="68"/>
      <c r="AP496" s="68"/>
      <c r="AQ496" s="68"/>
      <c r="AR496" s="68"/>
      <c r="AS496" s="68"/>
      <c r="AT496" s="68"/>
      <c r="AU496" s="70"/>
      <c r="AV496" s="72"/>
      <c r="AW496" s="69"/>
      <c r="AX496" s="69"/>
      <c r="AY496" s="69"/>
      <c r="AZ496" s="69"/>
      <c r="BA496" s="69"/>
      <c r="BB496" s="69"/>
      <c r="BC496" s="69"/>
      <c r="BD496" s="70"/>
      <c r="BE496" s="71"/>
      <c r="BF496" s="68"/>
      <c r="BG496" s="68"/>
      <c r="BH496" s="70"/>
      <c r="BI496" s="67"/>
      <c r="BJ496" s="68"/>
      <c r="BK496" s="70"/>
      <c r="BL496" s="71"/>
      <c r="BM496" s="68"/>
      <c r="BN496" s="69"/>
      <c r="BO496" s="78"/>
      <c r="BP496" s="37">
        <f t="shared" si="45"/>
        <v>0</v>
      </c>
    </row>
    <row r="497" spans="1:68" ht="25.5" customHeight="1" thickTop="1" thickBot="1" x14ac:dyDescent="0.2">
      <c r="A497" s="17">
        <f t="shared" si="46"/>
        <v>482</v>
      </c>
      <c r="B497" s="1044"/>
      <c r="C497" s="1045"/>
      <c r="D497" s="38"/>
      <c r="E497" s="954"/>
      <c r="F497" s="53"/>
      <c r="G497" s="39"/>
      <c r="H497" s="1050"/>
      <c r="I497" s="684" t="str">
        <f t="shared" si="42"/>
        <v/>
      </c>
      <c r="J497" s="754">
        <f t="shared" si="43"/>
        <v>0</v>
      </c>
      <c r="K497" s="1254"/>
      <c r="L497" s="1253"/>
      <c r="M497" s="1253"/>
      <c r="N497" s="773" t="str">
        <f t="shared" si="47"/>
        <v/>
      </c>
      <c r="O497" s="774" t="str">
        <f>IF('Set up ~ Config'!$G$32=6,IF(OR($N497=7,$N497=8,$N497=9),1,IF(OR($N497=10,$N497=11,$N497=12),2,IF(OR($N497=1,$N497=2,$N497=3),3,IF(OR($N497=4,$N497=5,$N497=6),4,"")))),IF(OR($N497=9,$N497=10,$N497=11),1,IF(OR($N497=12,$N497=1,$N497=2),2,IF(OR($N497=3,$N497=4,$N497=5),3,IF(OR($N497=6,$N497=7,$N497=8),4,"")))))</f>
        <v/>
      </c>
      <c r="P497" s="40"/>
      <c r="Q497" s="67"/>
      <c r="R497" s="68"/>
      <c r="S497" s="755">
        <f t="shared" si="44"/>
        <v>0</v>
      </c>
      <c r="T497" s="68"/>
      <c r="U497" s="68"/>
      <c r="V497" s="68"/>
      <c r="W497" s="68"/>
      <c r="X497" s="68"/>
      <c r="Y497" s="68"/>
      <c r="Z497" s="68"/>
      <c r="AA497" s="68"/>
      <c r="AB497" s="69"/>
      <c r="AC497" s="70"/>
      <c r="AD497" s="71"/>
      <c r="AE497" s="68"/>
      <c r="AF497" s="68"/>
      <c r="AG497" s="68"/>
      <c r="AH497" s="68"/>
      <c r="AI497" s="69"/>
      <c r="AJ497" s="69"/>
      <c r="AK497" s="68"/>
      <c r="AL497" s="77"/>
      <c r="AM497" s="71"/>
      <c r="AN497" s="68"/>
      <c r="AO497" s="68"/>
      <c r="AP497" s="68"/>
      <c r="AQ497" s="68"/>
      <c r="AR497" s="68"/>
      <c r="AS497" s="68"/>
      <c r="AT497" s="68"/>
      <c r="AU497" s="70"/>
      <c r="AV497" s="72"/>
      <c r="AW497" s="69"/>
      <c r="AX497" s="69"/>
      <c r="AY497" s="69"/>
      <c r="AZ497" s="69"/>
      <c r="BA497" s="69"/>
      <c r="BB497" s="69"/>
      <c r="BC497" s="69"/>
      <c r="BD497" s="70"/>
      <c r="BE497" s="71"/>
      <c r="BF497" s="68"/>
      <c r="BG497" s="68"/>
      <c r="BH497" s="70"/>
      <c r="BI497" s="67"/>
      <c r="BJ497" s="68"/>
      <c r="BK497" s="70"/>
      <c r="BL497" s="71"/>
      <c r="BM497" s="68"/>
      <c r="BN497" s="69"/>
      <c r="BO497" s="78"/>
      <c r="BP497" s="37">
        <f t="shared" si="45"/>
        <v>0</v>
      </c>
    </row>
    <row r="498" spans="1:68" ht="25.5" customHeight="1" thickTop="1" thickBot="1" x14ac:dyDescent="0.2">
      <c r="A498" s="17">
        <f t="shared" si="46"/>
        <v>483</v>
      </c>
      <c r="B498" s="1044"/>
      <c r="C498" s="1045"/>
      <c r="D498" s="38"/>
      <c r="E498" s="954"/>
      <c r="F498" s="53"/>
      <c r="G498" s="39"/>
      <c r="H498" s="1050"/>
      <c r="I498" s="684" t="str">
        <f t="shared" si="42"/>
        <v/>
      </c>
      <c r="J498" s="754">
        <f t="shared" si="43"/>
        <v>0</v>
      </c>
      <c r="K498" s="1254"/>
      <c r="L498" s="1253"/>
      <c r="M498" s="1253"/>
      <c r="N498" s="773" t="str">
        <f t="shared" si="47"/>
        <v/>
      </c>
      <c r="O498" s="774" t="str">
        <f>IF('Set up ~ Config'!$G$32=6,IF(OR($N498=7,$N498=8,$N498=9),1,IF(OR($N498=10,$N498=11,$N498=12),2,IF(OR($N498=1,$N498=2,$N498=3),3,IF(OR($N498=4,$N498=5,$N498=6),4,"")))),IF(OR($N498=9,$N498=10,$N498=11),1,IF(OR($N498=12,$N498=1,$N498=2),2,IF(OR($N498=3,$N498=4,$N498=5),3,IF(OR($N498=6,$N498=7,$N498=8),4,"")))))</f>
        <v/>
      </c>
      <c r="P498" s="40"/>
      <c r="Q498" s="67"/>
      <c r="R498" s="68"/>
      <c r="S498" s="755">
        <f t="shared" si="44"/>
        <v>0</v>
      </c>
      <c r="T498" s="68"/>
      <c r="U498" s="68"/>
      <c r="V498" s="68"/>
      <c r="W498" s="68"/>
      <c r="X498" s="68"/>
      <c r="Y498" s="68"/>
      <c r="Z498" s="68"/>
      <c r="AA498" s="68"/>
      <c r="AB498" s="69"/>
      <c r="AC498" s="70"/>
      <c r="AD498" s="71"/>
      <c r="AE498" s="68"/>
      <c r="AF498" s="68"/>
      <c r="AG498" s="68"/>
      <c r="AH498" s="68"/>
      <c r="AI498" s="69"/>
      <c r="AJ498" s="69"/>
      <c r="AK498" s="68"/>
      <c r="AL498" s="77"/>
      <c r="AM498" s="71"/>
      <c r="AN498" s="68"/>
      <c r="AO498" s="68"/>
      <c r="AP498" s="68"/>
      <c r="AQ498" s="68"/>
      <c r="AR498" s="68"/>
      <c r="AS498" s="68"/>
      <c r="AT498" s="68"/>
      <c r="AU498" s="70"/>
      <c r="AV498" s="72"/>
      <c r="AW498" s="69"/>
      <c r="AX498" s="69"/>
      <c r="AY498" s="69"/>
      <c r="AZ498" s="69"/>
      <c r="BA498" s="69"/>
      <c r="BB498" s="69"/>
      <c r="BC498" s="69"/>
      <c r="BD498" s="70"/>
      <c r="BE498" s="71"/>
      <c r="BF498" s="68"/>
      <c r="BG498" s="68"/>
      <c r="BH498" s="70"/>
      <c r="BI498" s="67"/>
      <c r="BJ498" s="68"/>
      <c r="BK498" s="70"/>
      <c r="BL498" s="71"/>
      <c r="BM498" s="68"/>
      <c r="BN498" s="69"/>
      <c r="BO498" s="78"/>
      <c r="BP498" s="37">
        <f t="shared" si="45"/>
        <v>0</v>
      </c>
    </row>
    <row r="499" spans="1:68" ht="25.5" customHeight="1" thickTop="1" thickBot="1" x14ac:dyDescent="0.2">
      <c r="A499" s="17">
        <f t="shared" si="46"/>
        <v>484</v>
      </c>
      <c r="B499" s="1044"/>
      <c r="C499" s="1045"/>
      <c r="D499" s="38"/>
      <c r="E499" s="954"/>
      <c r="F499" s="53"/>
      <c r="G499" s="39"/>
      <c r="H499" s="1050"/>
      <c r="I499" s="684" t="str">
        <f t="shared" si="42"/>
        <v/>
      </c>
      <c r="J499" s="754">
        <f t="shared" si="43"/>
        <v>0</v>
      </c>
      <c r="K499" s="1254"/>
      <c r="L499" s="1253"/>
      <c r="M499" s="1253"/>
      <c r="N499" s="773" t="str">
        <f t="shared" si="47"/>
        <v/>
      </c>
      <c r="O499" s="774" t="str">
        <f>IF('Set up ~ Config'!$G$32=6,IF(OR($N499=7,$N499=8,$N499=9),1,IF(OR($N499=10,$N499=11,$N499=12),2,IF(OR($N499=1,$N499=2,$N499=3),3,IF(OR($N499=4,$N499=5,$N499=6),4,"")))),IF(OR($N499=9,$N499=10,$N499=11),1,IF(OR($N499=12,$N499=1,$N499=2),2,IF(OR($N499=3,$N499=4,$N499=5),3,IF(OR($N499=6,$N499=7,$N499=8),4,"")))))</f>
        <v/>
      </c>
      <c r="P499" s="40"/>
      <c r="Q499" s="67"/>
      <c r="R499" s="68"/>
      <c r="S499" s="755">
        <f t="shared" si="44"/>
        <v>0</v>
      </c>
      <c r="T499" s="68"/>
      <c r="U499" s="68"/>
      <c r="V499" s="68"/>
      <c r="W499" s="68"/>
      <c r="X499" s="68"/>
      <c r="Y499" s="68"/>
      <c r="Z499" s="68"/>
      <c r="AA499" s="68"/>
      <c r="AB499" s="69"/>
      <c r="AC499" s="70"/>
      <c r="AD499" s="71"/>
      <c r="AE499" s="68"/>
      <c r="AF499" s="68"/>
      <c r="AG499" s="68"/>
      <c r="AH499" s="68"/>
      <c r="AI499" s="69"/>
      <c r="AJ499" s="69"/>
      <c r="AK499" s="68"/>
      <c r="AL499" s="77"/>
      <c r="AM499" s="71"/>
      <c r="AN499" s="68"/>
      <c r="AO499" s="68"/>
      <c r="AP499" s="68"/>
      <c r="AQ499" s="68"/>
      <c r="AR499" s="68"/>
      <c r="AS499" s="68"/>
      <c r="AT499" s="68"/>
      <c r="AU499" s="70"/>
      <c r="AV499" s="72"/>
      <c r="AW499" s="69"/>
      <c r="AX499" s="69"/>
      <c r="AY499" s="69"/>
      <c r="AZ499" s="69"/>
      <c r="BA499" s="69"/>
      <c r="BB499" s="69"/>
      <c r="BC499" s="69"/>
      <c r="BD499" s="70"/>
      <c r="BE499" s="71"/>
      <c r="BF499" s="68"/>
      <c r="BG499" s="68"/>
      <c r="BH499" s="70"/>
      <c r="BI499" s="67"/>
      <c r="BJ499" s="68"/>
      <c r="BK499" s="70"/>
      <c r="BL499" s="71"/>
      <c r="BM499" s="68"/>
      <c r="BN499" s="69"/>
      <c r="BO499" s="78"/>
      <c r="BP499" s="37">
        <f t="shared" si="45"/>
        <v>0</v>
      </c>
    </row>
    <row r="500" spans="1:68" ht="25.5" customHeight="1" thickTop="1" thickBot="1" x14ac:dyDescent="0.2">
      <c r="A500" s="17">
        <f t="shared" si="46"/>
        <v>485</v>
      </c>
      <c r="B500" s="1044"/>
      <c r="C500" s="1045"/>
      <c r="D500" s="38"/>
      <c r="E500" s="954"/>
      <c r="F500" s="53"/>
      <c r="G500" s="39"/>
      <c r="H500" s="1050"/>
      <c r="I500" s="684" t="str">
        <f t="shared" si="42"/>
        <v/>
      </c>
      <c r="J500" s="754">
        <f t="shared" si="43"/>
        <v>0</v>
      </c>
      <c r="K500" s="1254"/>
      <c r="L500" s="1253"/>
      <c r="M500" s="1253"/>
      <c r="N500" s="773" t="str">
        <f t="shared" si="47"/>
        <v/>
      </c>
      <c r="O500" s="774" t="str">
        <f>IF('Set up ~ Config'!$G$32=6,IF(OR($N500=7,$N500=8,$N500=9),1,IF(OR($N500=10,$N500=11,$N500=12),2,IF(OR($N500=1,$N500=2,$N500=3),3,IF(OR($N500=4,$N500=5,$N500=6),4,"")))),IF(OR($N500=9,$N500=10,$N500=11),1,IF(OR($N500=12,$N500=1,$N500=2),2,IF(OR($N500=3,$N500=4,$N500=5),3,IF(OR($N500=6,$N500=7,$N500=8),4,"")))))</f>
        <v/>
      </c>
      <c r="P500" s="40"/>
      <c r="Q500" s="67"/>
      <c r="R500" s="68"/>
      <c r="S500" s="755">
        <f t="shared" si="44"/>
        <v>0</v>
      </c>
      <c r="T500" s="68"/>
      <c r="U500" s="68"/>
      <c r="V500" s="68"/>
      <c r="W500" s="68"/>
      <c r="X500" s="68"/>
      <c r="Y500" s="68"/>
      <c r="Z500" s="68"/>
      <c r="AA500" s="68"/>
      <c r="AB500" s="69"/>
      <c r="AC500" s="70"/>
      <c r="AD500" s="71"/>
      <c r="AE500" s="68"/>
      <c r="AF500" s="68"/>
      <c r="AG500" s="68"/>
      <c r="AH500" s="68"/>
      <c r="AI500" s="69"/>
      <c r="AJ500" s="69"/>
      <c r="AK500" s="68"/>
      <c r="AL500" s="77"/>
      <c r="AM500" s="71"/>
      <c r="AN500" s="68"/>
      <c r="AO500" s="68"/>
      <c r="AP500" s="68"/>
      <c r="AQ500" s="68"/>
      <c r="AR500" s="68"/>
      <c r="AS500" s="68"/>
      <c r="AT500" s="68"/>
      <c r="AU500" s="70"/>
      <c r="AV500" s="72"/>
      <c r="AW500" s="69"/>
      <c r="AX500" s="69"/>
      <c r="AY500" s="69"/>
      <c r="AZ500" s="69"/>
      <c r="BA500" s="69"/>
      <c r="BB500" s="69"/>
      <c r="BC500" s="69"/>
      <c r="BD500" s="70"/>
      <c r="BE500" s="71"/>
      <c r="BF500" s="68"/>
      <c r="BG500" s="68"/>
      <c r="BH500" s="70"/>
      <c r="BI500" s="67"/>
      <c r="BJ500" s="68"/>
      <c r="BK500" s="70"/>
      <c r="BL500" s="71"/>
      <c r="BM500" s="68"/>
      <c r="BN500" s="69"/>
      <c r="BO500" s="78"/>
      <c r="BP500" s="37">
        <f t="shared" si="45"/>
        <v>0</v>
      </c>
    </row>
    <row r="501" spans="1:68" ht="25.5" customHeight="1" thickTop="1" thickBot="1" x14ac:dyDescent="0.2">
      <c r="A501" s="17">
        <f t="shared" si="46"/>
        <v>486</v>
      </c>
      <c r="B501" s="1044"/>
      <c r="C501" s="1045"/>
      <c r="D501" s="38"/>
      <c r="E501" s="954"/>
      <c r="F501" s="53"/>
      <c r="G501" s="39"/>
      <c r="H501" s="1050"/>
      <c r="I501" s="684" t="str">
        <f t="shared" si="42"/>
        <v/>
      </c>
      <c r="J501" s="754">
        <f t="shared" si="43"/>
        <v>0</v>
      </c>
      <c r="K501" s="1254"/>
      <c r="L501" s="1253"/>
      <c r="M501" s="1253"/>
      <c r="N501" s="773" t="str">
        <f t="shared" si="47"/>
        <v/>
      </c>
      <c r="O501" s="774" t="str">
        <f>IF('Set up ~ Config'!$G$32=6,IF(OR($N501=7,$N501=8,$N501=9),1,IF(OR($N501=10,$N501=11,$N501=12),2,IF(OR($N501=1,$N501=2,$N501=3),3,IF(OR($N501=4,$N501=5,$N501=6),4,"")))),IF(OR($N501=9,$N501=10,$N501=11),1,IF(OR($N501=12,$N501=1,$N501=2),2,IF(OR($N501=3,$N501=4,$N501=5),3,IF(OR($N501=6,$N501=7,$N501=8),4,"")))))</f>
        <v/>
      </c>
      <c r="P501" s="40"/>
      <c r="Q501" s="67"/>
      <c r="R501" s="68"/>
      <c r="S501" s="755">
        <f t="shared" si="44"/>
        <v>0</v>
      </c>
      <c r="T501" s="68"/>
      <c r="U501" s="68"/>
      <c r="V501" s="68"/>
      <c r="W501" s="68"/>
      <c r="X501" s="68"/>
      <c r="Y501" s="68"/>
      <c r="Z501" s="68"/>
      <c r="AA501" s="68"/>
      <c r="AB501" s="69"/>
      <c r="AC501" s="70"/>
      <c r="AD501" s="71"/>
      <c r="AE501" s="68"/>
      <c r="AF501" s="68"/>
      <c r="AG501" s="68"/>
      <c r="AH501" s="68"/>
      <c r="AI501" s="69"/>
      <c r="AJ501" s="69"/>
      <c r="AK501" s="68"/>
      <c r="AL501" s="77"/>
      <c r="AM501" s="71"/>
      <c r="AN501" s="68"/>
      <c r="AO501" s="68"/>
      <c r="AP501" s="68"/>
      <c r="AQ501" s="68"/>
      <c r="AR501" s="68"/>
      <c r="AS501" s="68"/>
      <c r="AT501" s="68"/>
      <c r="AU501" s="70"/>
      <c r="AV501" s="72"/>
      <c r="AW501" s="69"/>
      <c r="AX501" s="69"/>
      <c r="AY501" s="69"/>
      <c r="AZ501" s="69"/>
      <c r="BA501" s="69"/>
      <c r="BB501" s="69"/>
      <c r="BC501" s="69"/>
      <c r="BD501" s="70"/>
      <c r="BE501" s="71"/>
      <c r="BF501" s="68"/>
      <c r="BG501" s="68"/>
      <c r="BH501" s="70"/>
      <c r="BI501" s="67"/>
      <c r="BJ501" s="68"/>
      <c r="BK501" s="70"/>
      <c r="BL501" s="71"/>
      <c r="BM501" s="68"/>
      <c r="BN501" s="69"/>
      <c r="BO501" s="78"/>
      <c r="BP501" s="37">
        <f t="shared" si="45"/>
        <v>0</v>
      </c>
    </row>
    <row r="502" spans="1:68" ht="25.5" customHeight="1" thickTop="1" thickBot="1" x14ac:dyDescent="0.2">
      <c r="A502" s="17">
        <f t="shared" si="46"/>
        <v>487</v>
      </c>
      <c r="B502" s="1044"/>
      <c r="C502" s="1045"/>
      <c r="D502" s="38"/>
      <c r="E502" s="954"/>
      <c r="F502" s="53"/>
      <c r="G502" s="39"/>
      <c r="H502" s="1050"/>
      <c r="I502" s="684" t="str">
        <f t="shared" si="42"/>
        <v/>
      </c>
      <c r="J502" s="754">
        <f t="shared" si="43"/>
        <v>0</v>
      </c>
      <c r="K502" s="1254"/>
      <c r="L502" s="1253"/>
      <c r="M502" s="1253"/>
      <c r="N502" s="773" t="str">
        <f t="shared" si="47"/>
        <v/>
      </c>
      <c r="O502" s="774" t="str">
        <f>IF('Set up ~ Config'!$G$32=6,IF(OR($N502=7,$N502=8,$N502=9),1,IF(OR($N502=10,$N502=11,$N502=12),2,IF(OR($N502=1,$N502=2,$N502=3),3,IF(OR($N502=4,$N502=5,$N502=6),4,"")))),IF(OR($N502=9,$N502=10,$N502=11),1,IF(OR($N502=12,$N502=1,$N502=2),2,IF(OR($N502=3,$N502=4,$N502=5),3,IF(OR($N502=6,$N502=7,$N502=8),4,"")))))</f>
        <v/>
      </c>
      <c r="P502" s="40"/>
      <c r="Q502" s="67"/>
      <c r="R502" s="68"/>
      <c r="S502" s="755">
        <f t="shared" si="44"/>
        <v>0</v>
      </c>
      <c r="T502" s="68"/>
      <c r="U502" s="68"/>
      <c r="V502" s="68"/>
      <c r="W502" s="68"/>
      <c r="X502" s="68"/>
      <c r="Y502" s="68"/>
      <c r="Z502" s="68"/>
      <c r="AA502" s="68"/>
      <c r="AB502" s="69"/>
      <c r="AC502" s="70"/>
      <c r="AD502" s="71"/>
      <c r="AE502" s="68"/>
      <c r="AF502" s="68"/>
      <c r="AG502" s="68"/>
      <c r="AH502" s="68"/>
      <c r="AI502" s="69"/>
      <c r="AJ502" s="69"/>
      <c r="AK502" s="68"/>
      <c r="AL502" s="77"/>
      <c r="AM502" s="71"/>
      <c r="AN502" s="68"/>
      <c r="AO502" s="68"/>
      <c r="AP502" s="68"/>
      <c r="AQ502" s="68"/>
      <c r="AR502" s="68"/>
      <c r="AS502" s="68"/>
      <c r="AT502" s="68"/>
      <c r="AU502" s="70"/>
      <c r="AV502" s="72"/>
      <c r="AW502" s="69"/>
      <c r="AX502" s="69"/>
      <c r="AY502" s="69"/>
      <c r="AZ502" s="69"/>
      <c r="BA502" s="69"/>
      <c r="BB502" s="69"/>
      <c r="BC502" s="69"/>
      <c r="BD502" s="70"/>
      <c r="BE502" s="71"/>
      <c r="BF502" s="68"/>
      <c r="BG502" s="68"/>
      <c r="BH502" s="70"/>
      <c r="BI502" s="67"/>
      <c r="BJ502" s="68"/>
      <c r="BK502" s="70"/>
      <c r="BL502" s="71"/>
      <c r="BM502" s="68"/>
      <c r="BN502" s="69"/>
      <c r="BO502" s="78"/>
      <c r="BP502" s="37">
        <f t="shared" si="45"/>
        <v>0</v>
      </c>
    </row>
    <row r="503" spans="1:68" ht="25.5" customHeight="1" thickTop="1" thickBot="1" x14ac:dyDescent="0.2">
      <c r="A503" s="17">
        <f t="shared" si="46"/>
        <v>488</v>
      </c>
      <c r="B503" s="1044"/>
      <c r="C503" s="1045"/>
      <c r="D503" s="38"/>
      <c r="E503" s="954"/>
      <c r="F503" s="53"/>
      <c r="G503" s="39"/>
      <c r="H503" s="1050"/>
      <c r="I503" s="684" t="str">
        <f t="shared" si="42"/>
        <v/>
      </c>
      <c r="J503" s="754">
        <f t="shared" si="43"/>
        <v>0</v>
      </c>
      <c r="K503" s="1254"/>
      <c r="L503" s="1253"/>
      <c r="M503" s="1253"/>
      <c r="N503" s="773" t="str">
        <f t="shared" si="47"/>
        <v/>
      </c>
      <c r="O503" s="774" t="str">
        <f>IF('Set up ~ Config'!$G$32=6,IF(OR($N503=7,$N503=8,$N503=9),1,IF(OR($N503=10,$N503=11,$N503=12),2,IF(OR($N503=1,$N503=2,$N503=3),3,IF(OR($N503=4,$N503=5,$N503=6),4,"")))),IF(OR($N503=9,$N503=10,$N503=11),1,IF(OR($N503=12,$N503=1,$N503=2),2,IF(OR($N503=3,$N503=4,$N503=5),3,IF(OR($N503=6,$N503=7,$N503=8),4,"")))))</f>
        <v/>
      </c>
      <c r="P503" s="40"/>
      <c r="Q503" s="67"/>
      <c r="R503" s="68"/>
      <c r="S503" s="755">
        <f t="shared" si="44"/>
        <v>0</v>
      </c>
      <c r="T503" s="68"/>
      <c r="U503" s="68"/>
      <c r="V503" s="68"/>
      <c r="W503" s="68"/>
      <c r="X503" s="68"/>
      <c r="Y503" s="68"/>
      <c r="Z503" s="68"/>
      <c r="AA503" s="68"/>
      <c r="AB503" s="69"/>
      <c r="AC503" s="70"/>
      <c r="AD503" s="71"/>
      <c r="AE503" s="68"/>
      <c r="AF503" s="68"/>
      <c r="AG503" s="68"/>
      <c r="AH503" s="68"/>
      <c r="AI503" s="69"/>
      <c r="AJ503" s="69"/>
      <c r="AK503" s="68"/>
      <c r="AL503" s="77"/>
      <c r="AM503" s="71"/>
      <c r="AN503" s="68"/>
      <c r="AO503" s="68"/>
      <c r="AP503" s="68"/>
      <c r="AQ503" s="68"/>
      <c r="AR503" s="68"/>
      <c r="AS503" s="68"/>
      <c r="AT503" s="68"/>
      <c r="AU503" s="70"/>
      <c r="AV503" s="72"/>
      <c r="AW503" s="69"/>
      <c r="AX503" s="69"/>
      <c r="AY503" s="69"/>
      <c r="AZ503" s="69"/>
      <c r="BA503" s="69"/>
      <c r="BB503" s="69"/>
      <c r="BC503" s="69"/>
      <c r="BD503" s="70"/>
      <c r="BE503" s="71"/>
      <c r="BF503" s="68"/>
      <c r="BG503" s="68"/>
      <c r="BH503" s="70"/>
      <c r="BI503" s="67"/>
      <c r="BJ503" s="68"/>
      <c r="BK503" s="70"/>
      <c r="BL503" s="71"/>
      <c r="BM503" s="68"/>
      <c r="BN503" s="69"/>
      <c r="BO503" s="78"/>
      <c r="BP503" s="37">
        <f t="shared" si="45"/>
        <v>0</v>
      </c>
    </row>
    <row r="504" spans="1:68" ht="25.5" customHeight="1" thickTop="1" thickBot="1" x14ac:dyDescent="0.2">
      <c r="A504" s="17">
        <f t="shared" si="46"/>
        <v>489</v>
      </c>
      <c r="B504" s="1044"/>
      <c r="C504" s="1045"/>
      <c r="D504" s="38"/>
      <c r="E504" s="954"/>
      <c r="F504" s="53"/>
      <c r="G504" s="39"/>
      <c r="H504" s="1050"/>
      <c r="I504" s="684" t="str">
        <f t="shared" si="42"/>
        <v/>
      </c>
      <c r="J504" s="754">
        <f t="shared" si="43"/>
        <v>0</v>
      </c>
      <c r="K504" s="1254"/>
      <c r="L504" s="1253"/>
      <c r="M504" s="1253"/>
      <c r="N504" s="773" t="str">
        <f t="shared" si="47"/>
        <v/>
      </c>
      <c r="O504" s="774" t="str">
        <f>IF('Set up ~ Config'!$G$32=6,IF(OR($N504=7,$N504=8,$N504=9),1,IF(OR($N504=10,$N504=11,$N504=12),2,IF(OR($N504=1,$N504=2,$N504=3),3,IF(OR($N504=4,$N504=5,$N504=6),4,"")))),IF(OR($N504=9,$N504=10,$N504=11),1,IF(OR($N504=12,$N504=1,$N504=2),2,IF(OR($N504=3,$N504=4,$N504=5),3,IF(OR($N504=6,$N504=7,$N504=8),4,"")))))</f>
        <v/>
      </c>
      <c r="P504" s="40"/>
      <c r="Q504" s="67"/>
      <c r="R504" s="68"/>
      <c r="S504" s="755">
        <f t="shared" si="44"/>
        <v>0</v>
      </c>
      <c r="T504" s="68"/>
      <c r="U504" s="68"/>
      <c r="V504" s="68"/>
      <c r="W504" s="68"/>
      <c r="X504" s="68"/>
      <c r="Y504" s="68"/>
      <c r="Z504" s="68"/>
      <c r="AA504" s="68"/>
      <c r="AB504" s="69"/>
      <c r="AC504" s="70"/>
      <c r="AD504" s="71"/>
      <c r="AE504" s="68"/>
      <c r="AF504" s="68"/>
      <c r="AG504" s="68"/>
      <c r="AH504" s="68"/>
      <c r="AI504" s="69"/>
      <c r="AJ504" s="69"/>
      <c r="AK504" s="68"/>
      <c r="AL504" s="77"/>
      <c r="AM504" s="71"/>
      <c r="AN504" s="68"/>
      <c r="AO504" s="68"/>
      <c r="AP504" s="68"/>
      <c r="AQ504" s="68"/>
      <c r="AR504" s="68"/>
      <c r="AS504" s="68"/>
      <c r="AT504" s="68"/>
      <c r="AU504" s="70"/>
      <c r="AV504" s="72"/>
      <c r="AW504" s="69"/>
      <c r="AX504" s="69"/>
      <c r="AY504" s="69"/>
      <c r="AZ504" s="69"/>
      <c r="BA504" s="69"/>
      <c r="BB504" s="69"/>
      <c r="BC504" s="69"/>
      <c r="BD504" s="70"/>
      <c r="BE504" s="71"/>
      <c r="BF504" s="68"/>
      <c r="BG504" s="68"/>
      <c r="BH504" s="70"/>
      <c r="BI504" s="67"/>
      <c r="BJ504" s="68"/>
      <c r="BK504" s="70"/>
      <c r="BL504" s="71"/>
      <c r="BM504" s="68"/>
      <c r="BN504" s="69"/>
      <c r="BO504" s="78"/>
      <c r="BP504" s="37">
        <f t="shared" si="45"/>
        <v>0</v>
      </c>
    </row>
    <row r="505" spans="1:68" ht="25.5" customHeight="1" thickTop="1" thickBot="1" x14ac:dyDescent="0.2">
      <c r="A505" s="17">
        <f t="shared" si="46"/>
        <v>490</v>
      </c>
      <c r="B505" s="1044"/>
      <c r="C505" s="1045"/>
      <c r="D505" s="38"/>
      <c r="E505" s="954"/>
      <c r="F505" s="53"/>
      <c r="G505" s="39"/>
      <c r="H505" s="1050"/>
      <c r="I505" s="684" t="str">
        <f t="shared" si="42"/>
        <v/>
      </c>
      <c r="J505" s="754">
        <f t="shared" si="43"/>
        <v>0</v>
      </c>
      <c r="K505" s="1254"/>
      <c r="L505" s="1253"/>
      <c r="M505" s="1253"/>
      <c r="N505" s="773" t="str">
        <f t="shared" si="47"/>
        <v/>
      </c>
      <c r="O505" s="774" t="str">
        <f>IF('Set up ~ Config'!$G$32=6,IF(OR($N505=7,$N505=8,$N505=9),1,IF(OR($N505=10,$N505=11,$N505=12),2,IF(OR($N505=1,$N505=2,$N505=3),3,IF(OR($N505=4,$N505=5,$N505=6),4,"")))),IF(OR($N505=9,$N505=10,$N505=11),1,IF(OR($N505=12,$N505=1,$N505=2),2,IF(OR($N505=3,$N505=4,$N505=5),3,IF(OR($N505=6,$N505=7,$N505=8),4,"")))))</f>
        <v/>
      </c>
      <c r="P505" s="40"/>
      <c r="Q505" s="67"/>
      <c r="R505" s="68"/>
      <c r="S505" s="755">
        <f t="shared" si="44"/>
        <v>0</v>
      </c>
      <c r="T505" s="68"/>
      <c r="U505" s="68"/>
      <c r="V505" s="68"/>
      <c r="W505" s="68"/>
      <c r="X505" s="68"/>
      <c r="Y505" s="68"/>
      <c r="Z505" s="68"/>
      <c r="AA505" s="68"/>
      <c r="AB505" s="69"/>
      <c r="AC505" s="70"/>
      <c r="AD505" s="71"/>
      <c r="AE505" s="68"/>
      <c r="AF505" s="68"/>
      <c r="AG505" s="68"/>
      <c r="AH505" s="68"/>
      <c r="AI505" s="69"/>
      <c r="AJ505" s="69"/>
      <c r="AK505" s="68"/>
      <c r="AL505" s="77"/>
      <c r="AM505" s="71"/>
      <c r="AN505" s="68"/>
      <c r="AO505" s="68"/>
      <c r="AP505" s="68"/>
      <c r="AQ505" s="68"/>
      <c r="AR505" s="68"/>
      <c r="AS505" s="68"/>
      <c r="AT505" s="68"/>
      <c r="AU505" s="70"/>
      <c r="AV505" s="72"/>
      <c r="AW505" s="69"/>
      <c r="AX505" s="69"/>
      <c r="AY505" s="69"/>
      <c r="AZ505" s="69"/>
      <c r="BA505" s="69"/>
      <c r="BB505" s="69"/>
      <c r="BC505" s="69"/>
      <c r="BD505" s="70"/>
      <c r="BE505" s="71"/>
      <c r="BF505" s="68"/>
      <c r="BG505" s="68"/>
      <c r="BH505" s="70"/>
      <c r="BI505" s="67"/>
      <c r="BJ505" s="68"/>
      <c r="BK505" s="70"/>
      <c r="BL505" s="71"/>
      <c r="BM505" s="68"/>
      <c r="BN505" s="69"/>
      <c r="BO505" s="78"/>
      <c r="BP505" s="37">
        <f t="shared" si="45"/>
        <v>0</v>
      </c>
    </row>
    <row r="506" spans="1:68" ht="25.5" customHeight="1" thickTop="1" thickBot="1" x14ac:dyDescent="0.2">
      <c r="A506" s="17">
        <f t="shared" si="46"/>
        <v>491</v>
      </c>
      <c r="B506" s="1044"/>
      <c r="C506" s="1045"/>
      <c r="D506" s="38"/>
      <c r="E506" s="954"/>
      <c r="F506" s="53"/>
      <c r="G506" s="39"/>
      <c r="H506" s="1050"/>
      <c r="I506" s="684" t="str">
        <f t="shared" si="42"/>
        <v/>
      </c>
      <c r="J506" s="754">
        <f t="shared" si="43"/>
        <v>0</v>
      </c>
      <c r="K506" s="1254"/>
      <c r="L506" s="1253"/>
      <c r="M506" s="1253"/>
      <c r="N506" s="773" t="str">
        <f t="shared" si="47"/>
        <v/>
      </c>
      <c r="O506" s="774" t="str">
        <f>IF('Set up ~ Config'!$G$32=6,IF(OR($N506=7,$N506=8,$N506=9),1,IF(OR($N506=10,$N506=11,$N506=12),2,IF(OR($N506=1,$N506=2,$N506=3),3,IF(OR($N506=4,$N506=5,$N506=6),4,"")))),IF(OR($N506=9,$N506=10,$N506=11),1,IF(OR($N506=12,$N506=1,$N506=2),2,IF(OR($N506=3,$N506=4,$N506=5),3,IF(OR($N506=6,$N506=7,$N506=8),4,"")))))</f>
        <v/>
      </c>
      <c r="P506" s="40"/>
      <c r="Q506" s="67"/>
      <c r="R506" s="68"/>
      <c r="S506" s="755">
        <f t="shared" si="44"/>
        <v>0</v>
      </c>
      <c r="T506" s="68"/>
      <c r="U506" s="68"/>
      <c r="V506" s="68"/>
      <c r="W506" s="68"/>
      <c r="X506" s="68"/>
      <c r="Y506" s="68"/>
      <c r="Z506" s="68"/>
      <c r="AA506" s="68"/>
      <c r="AB506" s="69"/>
      <c r="AC506" s="70"/>
      <c r="AD506" s="71"/>
      <c r="AE506" s="68"/>
      <c r="AF506" s="68"/>
      <c r="AG506" s="68"/>
      <c r="AH506" s="68"/>
      <c r="AI506" s="69"/>
      <c r="AJ506" s="69"/>
      <c r="AK506" s="68"/>
      <c r="AL506" s="77"/>
      <c r="AM506" s="71"/>
      <c r="AN506" s="68"/>
      <c r="AO506" s="68"/>
      <c r="AP506" s="68"/>
      <c r="AQ506" s="68"/>
      <c r="AR506" s="68"/>
      <c r="AS506" s="68"/>
      <c r="AT506" s="68"/>
      <c r="AU506" s="70"/>
      <c r="AV506" s="72"/>
      <c r="AW506" s="69"/>
      <c r="AX506" s="69"/>
      <c r="AY506" s="69"/>
      <c r="AZ506" s="69"/>
      <c r="BA506" s="69"/>
      <c r="BB506" s="69"/>
      <c r="BC506" s="69"/>
      <c r="BD506" s="70"/>
      <c r="BE506" s="71"/>
      <c r="BF506" s="68"/>
      <c r="BG506" s="68"/>
      <c r="BH506" s="70"/>
      <c r="BI506" s="67"/>
      <c r="BJ506" s="68"/>
      <c r="BK506" s="70"/>
      <c r="BL506" s="71"/>
      <c r="BM506" s="68"/>
      <c r="BN506" s="69"/>
      <c r="BO506" s="78"/>
      <c r="BP506" s="37">
        <f t="shared" si="45"/>
        <v>0</v>
      </c>
    </row>
    <row r="507" spans="1:68" ht="25.5" customHeight="1" thickTop="1" thickBot="1" x14ac:dyDescent="0.2">
      <c r="A507" s="17">
        <f t="shared" si="46"/>
        <v>492</v>
      </c>
      <c r="B507" s="1044"/>
      <c r="C507" s="1045"/>
      <c r="D507" s="38"/>
      <c r="E507" s="954"/>
      <c r="F507" s="53"/>
      <c r="G507" s="39"/>
      <c r="H507" s="1050"/>
      <c r="I507" s="684" t="str">
        <f t="shared" si="42"/>
        <v/>
      </c>
      <c r="J507" s="754">
        <f t="shared" si="43"/>
        <v>0</v>
      </c>
      <c r="K507" s="1254"/>
      <c r="L507" s="1253"/>
      <c r="M507" s="1253"/>
      <c r="N507" s="773" t="str">
        <f t="shared" si="47"/>
        <v/>
      </c>
      <c r="O507" s="774" t="str">
        <f>IF('Set up ~ Config'!$G$32=6,IF(OR($N507=7,$N507=8,$N507=9),1,IF(OR($N507=10,$N507=11,$N507=12),2,IF(OR($N507=1,$N507=2,$N507=3),3,IF(OR($N507=4,$N507=5,$N507=6),4,"")))),IF(OR($N507=9,$N507=10,$N507=11),1,IF(OR($N507=12,$N507=1,$N507=2),2,IF(OR($N507=3,$N507=4,$N507=5),3,IF(OR($N507=6,$N507=7,$N507=8),4,"")))))</f>
        <v/>
      </c>
      <c r="P507" s="40"/>
      <c r="Q507" s="67"/>
      <c r="R507" s="68"/>
      <c r="S507" s="755">
        <f t="shared" si="44"/>
        <v>0</v>
      </c>
      <c r="T507" s="68"/>
      <c r="U507" s="68"/>
      <c r="V507" s="68"/>
      <c r="W507" s="68"/>
      <c r="X507" s="68"/>
      <c r="Y507" s="68"/>
      <c r="Z507" s="68"/>
      <c r="AA507" s="68"/>
      <c r="AB507" s="69"/>
      <c r="AC507" s="70"/>
      <c r="AD507" s="71"/>
      <c r="AE507" s="68"/>
      <c r="AF507" s="68"/>
      <c r="AG507" s="68"/>
      <c r="AH507" s="68"/>
      <c r="AI507" s="69"/>
      <c r="AJ507" s="69"/>
      <c r="AK507" s="68"/>
      <c r="AL507" s="77"/>
      <c r="AM507" s="71"/>
      <c r="AN507" s="68"/>
      <c r="AO507" s="68"/>
      <c r="AP507" s="68"/>
      <c r="AQ507" s="68"/>
      <c r="AR507" s="68"/>
      <c r="AS507" s="68"/>
      <c r="AT507" s="68"/>
      <c r="AU507" s="70"/>
      <c r="AV507" s="72"/>
      <c r="AW507" s="69"/>
      <c r="AX507" s="69"/>
      <c r="AY507" s="69"/>
      <c r="AZ507" s="69"/>
      <c r="BA507" s="69"/>
      <c r="BB507" s="69"/>
      <c r="BC507" s="69"/>
      <c r="BD507" s="70"/>
      <c r="BE507" s="71"/>
      <c r="BF507" s="68"/>
      <c r="BG507" s="68"/>
      <c r="BH507" s="70"/>
      <c r="BI507" s="67"/>
      <c r="BJ507" s="68"/>
      <c r="BK507" s="70"/>
      <c r="BL507" s="71"/>
      <c r="BM507" s="68"/>
      <c r="BN507" s="69"/>
      <c r="BO507" s="78"/>
      <c r="BP507" s="37">
        <f t="shared" si="45"/>
        <v>0</v>
      </c>
    </row>
    <row r="508" spans="1:68" ht="25.5" customHeight="1" thickTop="1" thickBot="1" x14ac:dyDescent="0.2">
      <c r="A508" s="17">
        <f t="shared" si="46"/>
        <v>493</v>
      </c>
      <c r="B508" s="1044"/>
      <c r="C508" s="1045"/>
      <c r="D508" s="38"/>
      <c r="E508" s="954"/>
      <c r="F508" s="53"/>
      <c r="G508" s="39"/>
      <c r="H508" s="1050"/>
      <c r="I508" s="684" t="str">
        <f t="shared" si="42"/>
        <v/>
      </c>
      <c r="J508" s="754">
        <f t="shared" si="43"/>
        <v>0</v>
      </c>
      <c r="K508" s="1254"/>
      <c r="L508" s="1253"/>
      <c r="M508" s="1253"/>
      <c r="N508" s="773" t="str">
        <f t="shared" si="47"/>
        <v/>
      </c>
      <c r="O508" s="774" t="str">
        <f>IF('Set up ~ Config'!$G$32=6,IF(OR($N508=7,$N508=8,$N508=9),1,IF(OR($N508=10,$N508=11,$N508=12),2,IF(OR($N508=1,$N508=2,$N508=3),3,IF(OR($N508=4,$N508=5,$N508=6),4,"")))),IF(OR($N508=9,$N508=10,$N508=11),1,IF(OR($N508=12,$N508=1,$N508=2),2,IF(OR($N508=3,$N508=4,$N508=5),3,IF(OR($N508=6,$N508=7,$N508=8),4,"")))))</f>
        <v/>
      </c>
      <c r="P508" s="40"/>
      <c r="Q508" s="67"/>
      <c r="R508" s="68"/>
      <c r="S508" s="755">
        <f t="shared" si="44"/>
        <v>0</v>
      </c>
      <c r="T508" s="68"/>
      <c r="U508" s="68"/>
      <c r="V508" s="68"/>
      <c r="W508" s="68"/>
      <c r="X508" s="68"/>
      <c r="Y508" s="68"/>
      <c r="Z508" s="68"/>
      <c r="AA508" s="68"/>
      <c r="AB508" s="69"/>
      <c r="AC508" s="70"/>
      <c r="AD508" s="71"/>
      <c r="AE508" s="68"/>
      <c r="AF508" s="68"/>
      <c r="AG508" s="68"/>
      <c r="AH508" s="68"/>
      <c r="AI508" s="69"/>
      <c r="AJ508" s="69"/>
      <c r="AK508" s="68"/>
      <c r="AL508" s="77"/>
      <c r="AM508" s="71"/>
      <c r="AN508" s="68"/>
      <c r="AO508" s="68"/>
      <c r="AP508" s="68"/>
      <c r="AQ508" s="68"/>
      <c r="AR508" s="68"/>
      <c r="AS508" s="68"/>
      <c r="AT508" s="68"/>
      <c r="AU508" s="70"/>
      <c r="AV508" s="72"/>
      <c r="AW508" s="69"/>
      <c r="AX508" s="69"/>
      <c r="AY508" s="69"/>
      <c r="AZ508" s="69"/>
      <c r="BA508" s="69"/>
      <c r="BB508" s="69"/>
      <c r="BC508" s="69"/>
      <c r="BD508" s="70"/>
      <c r="BE508" s="71"/>
      <c r="BF508" s="68"/>
      <c r="BG508" s="68"/>
      <c r="BH508" s="70"/>
      <c r="BI508" s="67"/>
      <c r="BJ508" s="68"/>
      <c r="BK508" s="70"/>
      <c r="BL508" s="71"/>
      <c r="BM508" s="68"/>
      <c r="BN508" s="69"/>
      <c r="BO508" s="78"/>
      <c r="BP508" s="37">
        <f t="shared" si="45"/>
        <v>0</v>
      </c>
    </row>
    <row r="509" spans="1:68" ht="25.5" customHeight="1" thickTop="1" thickBot="1" x14ac:dyDescent="0.2">
      <c r="A509" s="17">
        <f t="shared" si="46"/>
        <v>494</v>
      </c>
      <c r="B509" s="1044"/>
      <c r="C509" s="1045"/>
      <c r="D509" s="38"/>
      <c r="E509" s="954"/>
      <c r="F509" s="53"/>
      <c r="G509" s="39"/>
      <c r="H509" s="1050"/>
      <c r="I509" s="684" t="str">
        <f t="shared" si="42"/>
        <v/>
      </c>
      <c r="J509" s="754">
        <f t="shared" si="43"/>
        <v>0</v>
      </c>
      <c r="K509" s="1254"/>
      <c r="L509" s="1253"/>
      <c r="M509" s="1253"/>
      <c r="N509" s="773" t="str">
        <f t="shared" si="47"/>
        <v/>
      </c>
      <c r="O509" s="774" t="str">
        <f>IF('Set up ~ Config'!$G$32=6,IF(OR($N509=7,$N509=8,$N509=9),1,IF(OR($N509=10,$N509=11,$N509=12),2,IF(OR($N509=1,$N509=2,$N509=3),3,IF(OR($N509=4,$N509=5,$N509=6),4,"")))),IF(OR($N509=9,$N509=10,$N509=11),1,IF(OR($N509=12,$N509=1,$N509=2),2,IF(OR($N509=3,$N509=4,$N509=5),3,IF(OR($N509=6,$N509=7,$N509=8),4,"")))))</f>
        <v/>
      </c>
      <c r="P509" s="40"/>
      <c r="Q509" s="67"/>
      <c r="R509" s="68"/>
      <c r="S509" s="755">
        <f t="shared" si="44"/>
        <v>0</v>
      </c>
      <c r="T509" s="68"/>
      <c r="U509" s="68"/>
      <c r="V509" s="68"/>
      <c r="W509" s="68"/>
      <c r="X509" s="68"/>
      <c r="Y509" s="68"/>
      <c r="Z509" s="68"/>
      <c r="AA509" s="68"/>
      <c r="AB509" s="69"/>
      <c r="AC509" s="70"/>
      <c r="AD509" s="71"/>
      <c r="AE509" s="68"/>
      <c r="AF509" s="68"/>
      <c r="AG509" s="68"/>
      <c r="AH509" s="68"/>
      <c r="AI509" s="69"/>
      <c r="AJ509" s="69"/>
      <c r="AK509" s="68"/>
      <c r="AL509" s="77"/>
      <c r="AM509" s="71"/>
      <c r="AN509" s="68"/>
      <c r="AO509" s="68"/>
      <c r="AP509" s="68"/>
      <c r="AQ509" s="68"/>
      <c r="AR509" s="68"/>
      <c r="AS509" s="68"/>
      <c r="AT509" s="68"/>
      <c r="AU509" s="70"/>
      <c r="AV509" s="72"/>
      <c r="AW509" s="69"/>
      <c r="AX509" s="69"/>
      <c r="AY509" s="69"/>
      <c r="AZ509" s="69"/>
      <c r="BA509" s="69"/>
      <c r="BB509" s="69"/>
      <c r="BC509" s="69"/>
      <c r="BD509" s="70"/>
      <c r="BE509" s="71"/>
      <c r="BF509" s="68"/>
      <c r="BG509" s="68"/>
      <c r="BH509" s="70"/>
      <c r="BI509" s="67"/>
      <c r="BJ509" s="68"/>
      <c r="BK509" s="70"/>
      <c r="BL509" s="71"/>
      <c r="BM509" s="68"/>
      <c r="BN509" s="69"/>
      <c r="BO509" s="78"/>
      <c r="BP509" s="37">
        <f t="shared" si="45"/>
        <v>0</v>
      </c>
    </row>
    <row r="510" spans="1:68" ht="25.5" customHeight="1" thickTop="1" thickBot="1" x14ac:dyDescent="0.2">
      <c r="A510" s="17">
        <f t="shared" si="46"/>
        <v>495</v>
      </c>
      <c r="B510" s="1044"/>
      <c r="C510" s="1045"/>
      <c r="D510" s="38"/>
      <c r="E510" s="954"/>
      <c r="F510" s="53"/>
      <c r="G510" s="39"/>
      <c r="H510" s="1050"/>
      <c r="I510" s="684" t="str">
        <f t="shared" si="42"/>
        <v/>
      </c>
      <c r="J510" s="754">
        <f t="shared" si="43"/>
        <v>0</v>
      </c>
      <c r="K510" s="1254"/>
      <c r="L510" s="1253"/>
      <c r="M510" s="1253"/>
      <c r="N510" s="773" t="str">
        <f t="shared" si="47"/>
        <v/>
      </c>
      <c r="O510" s="774" t="str">
        <f>IF('Set up ~ Config'!$G$32=6,IF(OR($N510=7,$N510=8,$N510=9),1,IF(OR($N510=10,$N510=11,$N510=12),2,IF(OR($N510=1,$N510=2,$N510=3),3,IF(OR($N510=4,$N510=5,$N510=6),4,"")))),IF(OR($N510=9,$N510=10,$N510=11),1,IF(OR($N510=12,$N510=1,$N510=2),2,IF(OR($N510=3,$N510=4,$N510=5),3,IF(OR($N510=6,$N510=7,$N510=8),4,"")))))</f>
        <v/>
      </c>
      <c r="P510" s="40"/>
      <c r="Q510" s="67"/>
      <c r="R510" s="68"/>
      <c r="S510" s="755">
        <f t="shared" si="44"/>
        <v>0</v>
      </c>
      <c r="T510" s="68"/>
      <c r="U510" s="68"/>
      <c r="V510" s="68"/>
      <c r="W510" s="68"/>
      <c r="X510" s="68"/>
      <c r="Y510" s="68"/>
      <c r="Z510" s="68"/>
      <c r="AA510" s="68"/>
      <c r="AB510" s="69"/>
      <c r="AC510" s="70"/>
      <c r="AD510" s="71"/>
      <c r="AE510" s="68"/>
      <c r="AF510" s="68"/>
      <c r="AG510" s="68"/>
      <c r="AH510" s="68"/>
      <c r="AI510" s="69"/>
      <c r="AJ510" s="69"/>
      <c r="AK510" s="68"/>
      <c r="AL510" s="77"/>
      <c r="AM510" s="71"/>
      <c r="AN510" s="68"/>
      <c r="AO510" s="68"/>
      <c r="AP510" s="68"/>
      <c r="AQ510" s="68"/>
      <c r="AR510" s="68"/>
      <c r="AS510" s="68"/>
      <c r="AT510" s="68"/>
      <c r="AU510" s="70"/>
      <c r="AV510" s="72"/>
      <c r="AW510" s="69"/>
      <c r="AX510" s="69"/>
      <c r="AY510" s="69"/>
      <c r="AZ510" s="69"/>
      <c r="BA510" s="69"/>
      <c r="BB510" s="69"/>
      <c r="BC510" s="69"/>
      <c r="BD510" s="70"/>
      <c r="BE510" s="71"/>
      <c r="BF510" s="68"/>
      <c r="BG510" s="68"/>
      <c r="BH510" s="70"/>
      <c r="BI510" s="67"/>
      <c r="BJ510" s="68"/>
      <c r="BK510" s="70"/>
      <c r="BL510" s="71"/>
      <c r="BM510" s="68"/>
      <c r="BN510" s="69"/>
      <c r="BO510" s="78"/>
      <c r="BP510" s="37">
        <f t="shared" si="45"/>
        <v>0</v>
      </c>
    </row>
    <row r="511" spans="1:68" ht="25.5" customHeight="1" thickTop="1" thickBot="1" x14ac:dyDescent="0.2">
      <c r="A511" s="17">
        <f t="shared" si="46"/>
        <v>496</v>
      </c>
      <c r="B511" s="1044"/>
      <c r="C511" s="1045"/>
      <c r="D511" s="38"/>
      <c r="E511" s="954"/>
      <c r="F511" s="53"/>
      <c r="G511" s="39"/>
      <c r="H511" s="1050"/>
      <c r="I511" s="684" t="str">
        <f t="shared" si="42"/>
        <v/>
      </c>
      <c r="J511" s="754">
        <f t="shared" si="43"/>
        <v>0</v>
      </c>
      <c r="K511" s="1254"/>
      <c r="L511" s="1253"/>
      <c r="M511" s="1253"/>
      <c r="N511" s="773" t="str">
        <f t="shared" si="47"/>
        <v/>
      </c>
      <c r="O511" s="774" t="str">
        <f>IF('Set up ~ Config'!$G$32=6,IF(OR($N511=7,$N511=8,$N511=9),1,IF(OR($N511=10,$N511=11,$N511=12),2,IF(OR($N511=1,$N511=2,$N511=3),3,IF(OR($N511=4,$N511=5,$N511=6),4,"")))),IF(OR($N511=9,$N511=10,$N511=11),1,IF(OR($N511=12,$N511=1,$N511=2),2,IF(OR($N511=3,$N511=4,$N511=5),3,IF(OR($N511=6,$N511=7,$N511=8),4,"")))))</f>
        <v/>
      </c>
      <c r="P511" s="40"/>
      <c r="Q511" s="67"/>
      <c r="R511" s="68"/>
      <c r="S511" s="755">
        <f t="shared" si="44"/>
        <v>0</v>
      </c>
      <c r="T511" s="68"/>
      <c r="U511" s="68"/>
      <c r="V511" s="68"/>
      <c r="W511" s="68"/>
      <c r="X511" s="68"/>
      <c r="Y511" s="68"/>
      <c r="Z511" s="68"/>
      <c r="AA511" s="68"/>
      <c r="AB511" s="69"/>
      <c r="AC511" s="70"/>
      <c r="AD511" s="71"/>
      <c r="AE511" s="68"/>
      <c r="AF511" s="68"/>
      <c r="AG511" s="68"/>
      <c r="AH511" s="68"/>
      <c r="AI511" s="69"/>
      <c r="AJ511" s="69"/>
      <c r="AK511" s="68"/>
      <c r="AL511" s="77"/>
      <c r="AM511" s="71"/>
      <c r="AN511" s="68"/>
      <c r="AO511" s="68"/>
      <c r="AP511" s="68"/>
      <c r="AQ511" s="68"/>
      <c r="AR511" s="68"/>
      <c r="AS511" s="68"/>
      <c r="AT511" s="68"/>
      <c r="AU511" s="70"/>
      <c r="AV511" s="72"/>
      <c r="AW511" s="69"/>
      <c r="AX511" s="69"/>
      <c r="AY511" s="69"/>
      <c r="AZ511" s="69"/>
      <c r="BA511" s="69"/>
      <c r="BB511" s="69"/>
      <c r="BC511" s="69"/>
      <c r="BD511" s="70"/>
      <c r="BE511" s="71"/>
      <c r="BF511" s="68"/>
      <c r="BG511" s="68"/>
      <c r="BH511" s="70"/>
      <c r="BI511" s="67"/>
      <c r="BJ511" s="68"/>
      <c r="BK511" s="70"/>
      <c r="BL511" s="71"/>
      <c r="BM511" s="68"/>
      <c r="BN511" s="69"/>
      <c r="BO511" s="78"/>
      <c r="BP511" s="37">
        <f t="shared" si="45"/>
        <v>0</v>
      </c>
    </row>
    <row r="512" spans="1:68" ht="25.5" customHeight="1" thickTop="1" thickBot="1" x14ac:dyDescent="0.2">
      <c r="A512" s="17">
        <f t="shared" si="46"/>
        <v>497</v>
      </c>
      <c r="B512" s="1044"/>
      <c r="C512" s="1045"/>
      <c r="D512" s="38"/>
      <c r="E512" s="954"/>
      <c r="F512" s="53"/>
      <c r="G512" s="39"/>
      <c r="H512" s="1050"/>
      <c r="I512" s="684" t="str">
        <f t="shared" si="42"/>
        <v/>
      </c>
      <c r="J512" s="754">
        <f t="shared" si="43"/>
        <v>0</v>
      </c>
      <c r="K512" s="1254"/>
      <c r="L512" s="1253"/>
      <c r="M512" s="1253"/>
      <c r="N512" s="773" t="str">
        <f t="shared" si="47"/>
        <v/>
      </c>
      <c r="O512" s="774" t="str">
        <f>IF('Set up ~ Config'!$G$32=6,IF(OR($N512=7,$N512=8,$N512=9),1,IF(OR($N512=10,$N512=11,$N512=12),2,IF(OR($N512=1,$N512=2,$N512=3),3,IF(OR($N512=4,$N512=5,$N512=6),4,"")))),IF(OR($N512=9,$N512=10,$N512=11),1,IF(OR($N512=12,$N512=1,$N512=2),2,IF(OR($N512=3,$N512=4,$N512=5),3,IF(OR($N512=6,$N512=7,$N512=8),4,"")))))</f>
        <v/>
      </c>
      <c r="P512" s="40"/>
      <c r="Q512" s="67"/>
      <c r="R512" s="68"/>
      <c r="S512" s="755">
        <f t="shared" si="44"/>
        <v>0</v>
      </c>
      <c r="T512" s="68"/>
      <c r="U512" s="68"/>
      <c r="V512" s="68"/>
      <c r="W512" s="68"/>
      <c r="X512" s="68"/>
      <c r="Y512" s="68"/>
      <c r="Z512" s="68"/>
      <c r="AA512" s="68"/>
      <c r="AB512" s="69"/>
      <c r="AC512" s="70"/>
      <c r="AD512" s="71"/>
      <c r="AE512" s="68"/>
      <c r="AF512" s="68"/>
      <c r="AG512" s="68"/>
      <c r="AH512" s="68"/>
      <c r="AI512" s="69"/>
      <c r="AJ512" s="69"/>
      <c r="AK512" s="68"/>
      <c r="AL512" s="77"/>
      <c r="AM512" s="71"/>
      <c r="AN512" s="68"/>
      <c r="AO512" s="68"/>
      <c r="AP512" s="68"/>
      <c r="AQ512" s="68"/>
      <c r="AR512" s="68"/>
      <c r="AS512" s="68"/>
      <c r="AT512" s="68"/>
      <c r="AU512" s="70"/>
      <c r="AV512" s="72"/>
      <c r="AW512" s="69"/>
      <c r="AX512" s="69"/>
      <c r="AY512" s="69"/>
      <c r="AZ512" s="69"/>
      <c r="BA512" s="69"/>
      <c r="BB512" s="69"/>
      <c r="BC512" s="69"/>
      <c r="BD512" s="70"/>
      <c r="BE512" s="71"/>
      <c r="BF512" s="68"/>
      <c r="BG512" s="68"/>
      <c r="BH512" s="70"/>
      <c r="BI512" s="67"/>
      <c r="BJ512" s="68"/>
      <c r="BK512" s="70"/>
      <c r="BL512" s="71"/>
      <c r="BM512" s="68"/>
      <c r="BN512" s="69"/>
      <c r="BO512" s="78"/>
      <c r="BP512" s="37">
        <f t="shared" si="45"/>
        <v>0</v>
      </c>
    </row>
    <row r="513" spans="1:68" ht="25.5" customHeight="1" thickTop="1" thickBot="1" x14ac:dyDescent="0.2">
      <c r="A513" s="17">
        <f t="shared" si="46"/>
        <v>498</v>
      </c>
      <c r="B513" s="1044"/>
      <c r="C513" s="1045"/>
      <c r="D513" s="38"/>
      <c r="E513" s="954"/>
      <c r="F513" s="53"/>
      <c r="G513" s="39"/>
      <c r="H513" s="1050"/>
      <c r="I513" s="684" t="str">
        <f t="shared" si="42"/>
        <v/>
      </c>
      <c r="J513" s="754">
        <f t="shared" si="43"/>
        <v>0</v>
      </c>
      <c r="K513" s="1254"/>
      <c r="L513" s="1253"/>
      <c r="M513" s="1253"/>
      <c r="N513" s="773" t="str">
        <f t="shared" si="47"/>
        <v/>
      </c>
      <c r="O513" s="774" t="str">
        <f>IF('Set up ~ Config'!$G$32=6,IF(OR($N513=7,$N513=8,$N513=9),1,IF(OR($N513=10,$N513=11,$N513=12),2,IF(OR($N513=1,$N513=2,$N513=3),3,IF(OR($N513=4,$N513=5,$N513=6),4,"")))),IF(OR($N513=9,$N513=10,$N513=11),1,IF(OR($N513=12,$N513=1,$N513=2),2,IF(OR($N513=3,$N513=4,$N513=5),3,IF(OR($N513=6,$N513=7,$N513=8),4,"")))))</f>
        <v/>
      </c>
      <c r="P513" s="40"/>
      <c r="Q513" s="67"/>
      <c r="R513" s="68"/>
      <c r="S513" s="755">
        <f t="shared" si="44"/>
        <v>0</v>
      </c>
      <c r="T513" s="68"/>
      <c r="U513" s="68"/>
      <c r="V513" s="68"/>
      <c r="W513" s="68"/>
      <c r="X513" s="68"/>
      <c r="Y513" s="68"/>
      <c r="Z513" s="68"/>
      <c r="AA513" s="68"/>
      <c r="AB513" s="69"/>
      <c r="AC513" s="70"/>
      <c r="AD513" s="71"/>
      <c r="AE513" s="68"/>
      <c r="AF513" s="68"/>
      <c r="AG513" s="68"/>
      <c r="AH513" s="68"/>
      <c r="AI513" s="69"/>
      <c r="AJ513" s="69"/>
      <c r="AK513" s="68"/>
      <c r="AL513" s="77"/>
      <c r="AM513" s="71"/>
      <c r="AN513" s="68"/>
      <c r="AO513" s="68"/>
      <c r="AP513" s="68"/>
      <c r="AQ513" s="68"/>
      <c r="AR513" s="68"/>
      <c r="AS513" s="68"/>
      <c r="AT513" s="68"/>
      <c r="AU513" s="70"/>
      <c r="AV513" s="72"/>
      <c r="AW513" s="69"/>
      <c r="AX513" s="69"/>
      <c r="AY513" s="69"/>
      <c r="AZ513" s="69"/>
      <c r="BA513" s="69"/>
      <c r="BB513" s="69"/>
      <c r="BC513" s="69"/>
      <c r="BD513" s="70"/>
      <c r="BE513" s="71"/>
      <c r="BF513" s="68"/>
      <c r="BG513" s="68"/>
      <c r="BH513" s="70"/>
      <c r="BI513" s="67"/>
      <c r="BJ513" s="68"/>
      <c r="BK513" s="70"/>
      <c r="BL513" s="71"/>
      <c r="BM513" s="68"/>
      <c r="BN513" s="69"/>
      <c r="BO513" s="78"/>
      <c r="BP513" s="37">
        <f t="shared" si="45"/>
        <v>0</v>
      </c>
    </row>
    <row r="514" spans="1:68" ht="25.5" customHeight="1" thickTop="1" thickBot="1" x14ac:dyDescent="0.2">
      <c r="A514" s="17">
        <f t="shared" si="46"/>
        <v>499</v>
      </c>
      <c r="B514" s="1044"/>
      <c r="C514" s="1045"/>
      <c r="D514" s="38"/>
      <c r="E514" s="954"/>
      <c r="F514" s="53"/>
      <c r="G514" s="39"/>
      <c r="H514" s="1050"/>
      <c r="I514" s="684" t="str">
        <f t="shared" si="42"/>
        <v/>
      </c>
      <c r="J514" s="754">
        <f t="shared" si="43"/>
        <v>0</v>
      </c>
      <c r="K514" s="1254"/>
      <c r="L514" s="1253"/>
      <c r="M514" s="1253"/>
      <c r="N514" s="773" t="str">
        <f t="shared" si="47"/>
        <v/>
      </c>
      <c r="O514" s="774" t="str">
        <f>IF('Set up ~ Config'!$G$32=6,IF(OR($N514=7,$N514=8,$N514=9),1,IF(OR($N514=10,$N514=11,$N514=12),2,IF(OR($N514=1,$N514=2,$N514=3),3,IF(OR($N514=4,$N514=5,$N514=6),4,"")))),IF(OR($N514=9,$N514=10,$N514=11),1,IF(OR($N514=12,$N514=1,$N514=2),2,IF(OR($N514=3,$N514=4,$N514=5),3,IF(OR($N514=6,$N514=7,$N514=8),4,"")))))</f>
        <v/>
      </c>
      <c r="P514" s="40"/>
      <c r="Q514" s="67"/>
      <c r="R514" s="68"/>
      <c r="S514" s="755">
        <f t="shared" si="44"/>
        <v>0</v>
      </c>
      <c r="T514" s="68"/>
      <c r="U514" s="68"/>
      <c r="V514" s="68"/>
      <c r="W514" s="68"/>
      <c r="X514" s="68"/>
      <c r="Y514" s="68"/>
      <c r="Z514" s="68"/>
      <c r="AA514" s="68"/>
      <c r="AB514" s="69"/>
      <c r="AC514" s="70"/>
      <c r="AD514" s="71"/>
      <c r="AE514" s="68"/>
      <c r="AF514" s="68"/>
      <c r="AG514" s="68"/>
      <c r="AH514" s="68"/>
      <c r="AI514" s="69"/>
      <c r="AJ514" s="69"/>
      <c r="AK514" s="68"/>
      <c r="AL514" s="77"/>
      <c r="AM514" s="71"/>
      <c r="AN514" s="68"/>
      <c r="AO514" s="68"/>
      <c r="AP514" s="68"/>
      <c r="AQ514" s="68"/>
      <c r="AR514" s="68"/>
      <c r="AS514" s="68"/>
      <c r="AT514" s="68"/>
      <c r="AU514" s="70"/>
      <c r="AV514" s="72"/>
      <c r="AW514" s="69"/>
      <c r="AX514" s="69"/>
      <c r="AY514" s="69"/>
      <c r="AZ514" s="69"/>
      <c r="BA514" s="69"/>
      <c r="BB514" s="69"/>
      <c r="BC514" s="69"/>
      <c r="BD514" s="70"/>
      <c r="BE514" s="71"/>
      <c r="BF514" s="68"/>
      <c r="BG514" s="68"/>
      <c r="BH514" s="70"/>
      <c r="BI514" s="67"/>
      <c r="BJ514" s="68"/>
      <c r="BK514" s="70"/>
      <c r="BL514" s="71"/>
      <c r="BM514" s="68"/>
      <c r="BN514" s="69"/>
      <c r="BO514" s="78"/>
      <c r="BP514" s="37">
        <f t="shared" si="45"/>
        <v>0</v>
      </c>
    </row>
    <row r="515" spans="1:68" ht="25.5" customHeight="1" thickTop="1" thickBot="1" x14ac:dyDescent="0.2">
      <c r="A515" s="17">
        <f t="shared" si="46"/>
        <v>500</v>
      </c>
      <c r="B515" s="1044"/>
      <c r="C515" s="1045"/>
      <c r="D515" s="38"/>
      <c r="E515" s="954"/>
      <c r="F515" s="53"/>
      <c r="G515" s="39"/>
      <c r="H515" s="1050"/>
      <c r="I515" s="689" t="str">
        <f t="shared" si="42"/>
        <v/>
      </c>
      <c r="J515" s="754">
        <f t="shared" si="43"/>
        <v>0</v>
      </c>
      <c r="K515" s="1254"/>
      <c r="L515" s="1253"/>
      <c r="M515" s="1253"/>
      <c r="N515" s="773" t="str">
        <f t="shared" si="47"/>
        <v/>
      </c>
      <c r="O515" s="774" t="str">
        <f>IF('Set up ~ Config'!$G$32=6,IF(OR($N515=7,$N515=8,$N515=9),1,IF(OR($N515=10,$N515=11,$N515=12),2,IF(OR($N515=1,$N515=2,$N515=3),3,IF(OR($N515=4,$N515=5,$N515=6),4,"")))),IF(OR($N515=9,$N515=10,$N515=11),1,IF(OR($N515=12,$N515=1,$N515=2),2,IF(OR($N515=3,$N515=4,$N515=5),3,IF(OR($N515=6,$N515=7,$N515=8),4,"")))))</f>
        <v/>
      </c>
      <c r="P515" s="1308"/>
      <c r="Q515" s="67"/>
      <c r="R515" s="68"/>
      <c r="S515" s="755">
        <f t="shared" si="44"/>
        <v>0</v>
      </c>
      <c r="T515" s="68"/>
      <c r="U515" s="68"/>
      <c r="V515" s="68"/>
      <c r="W515" s="68"/>
      <c r="X515" s="68"/>
      <c r="Y515" s="68"/>
      <c r="Z515" s="68"/>
      <c r="AA515" s="68"/>
      <c r="AB515" s="69"/>
      <c r="AC515" s="70"/>
      <c r="AD515" s="71"/>
      <c r="AE515" s="68"/>
      <c r="AF515" s="68"/>
      <c r="AG515" s="68"/>
      <c r="AH515" s="68"/>
      <c r="AI515" s="69"/>
      <c r="AJ515" s="69"/>
      <c r="AK515" s="68"/>
      <c r="AL515" s="77"/>
      <c r="AM515" s="71"/>
      <c r="AN515" s="68"/>
      <c r="AO515" s="68"/>
      <c r="AP515" s="68"/>
      <c r="AQ515" s="68"/>
      <c r="AR515" s="68"/>
      <c r="AS515" s="68"/>
      <c r="AT515" s="68"/>
      <c r="AU515" s="70"/>
      <c r="AV515" s="72"/>
      <c r="AW515" s="69"/>
      <c r="AX515" s="69"/>
      <c r="AY515" s="69"/>
      <c r="AZ515" s="69"/>
      <c r="BA515" s="69"/>
      <c r="BB515" s="69"/>
      <c r="BC515" s="69"/>
      <c r="BD515" s="70"/>
      <c r="BE515" s="71"/>
      <c r="BF515" s="68"/>
      <c r="BG515" s="68"/>
      <c r="BH515" s="70"/>
      <c r="BI515" s="67"/>
      <c r="BJ515" s="68"/>
      <c r="BK515" s="70"/>
      <c r="BL515" s="71"/>
      <c r="BM515" s="68"/>
      <c r="BN515" s="69"/>
      <c r="BO515" s="78"/>
      <c r="BP515" s="37">
        <f t="shared" si="45"/>
        <v>0</v>
      </c>
    </row>
    <row r="516" spans="1:68" ht="21" customHeight="1" thickBot="1" x14ac:dyDescent="0.2">
      <c r="C516" s="1482" t="str">
        <f>IF(C4=2,"TOTAUX","TOTALS")</f>
        <v>TOTALS</v>
      </c>
      <c r="D516" s="1482"/>
      <c r="E516" s="1482"/>
      <c r="F516" s="1482"/>
      <c r="G516" s="692">
        <f>+SUM(G16:G515)</f>
        <v>0</v>
      </c>
      <c r="H516" s="756"/>
      <c r="I516" s="757"/>
      <c r="J516" s="758">
        <f>+SUM(J16:J515)</f>
        <v>0</v>
      </c>
      <c r="K516" s="1255">
        <f>+SUM(K16:K515)</f>
        <v>0</v>
      </c>
      <c r="L516" s="1255">
        <f>+SUM(L16:L515)</f>
        <v>0</v>
      </c>
      <c r="M516" s="1255">
        <f>+SUM(M16:M515)</f>
        <v>0</v>
      </c>
      <c r="N516" s="759"/>
      <c r="O516" s="759"/>
      <c r="P516" s="1309">
        <f t="shared" ref="P516:AU516" si="48">+SUM(P16:P515)</f>
        <v>0</v>
      </c>
      <c r="Q516" s="760">
        <f t="shared" si="48"/>
        <v>0</v>
      </c>
      <c r="R516" s="701">
        <f t="shared" si="48"/>
        <v>0</v>
      </c>
      <c r="S516" s="701">
        <f t="shared" si="48"/>
        <v>0</v>
      </c>
      <c r="T516" s="701">
        <f t="shared" si="48"/>
        <v>0</v>
      </c>
      <c r="U516" s="701">
        <f t="shared" si="48"/>
        <v>0</v>
      </c>
      <c r="V516" s="701">
        <f t="shared" si="48"/>
        <v>0</v>
      </c>
      <c r="W516" s="701">
        <f t="shared" si="48"/>
        <v>0</v>
      </c>
      <c r="X516" s="701">
        <f t="shared" si="48"/>
        <v>0</v>
      </c>
      <c r="Y516" s="701">
        <f t="shared" si="48"/>
        <v>0</v>
      </c>
      <c r="Z516" s="701">
        <f t="shared" si="48"/>
        <v>0</v>
      </c>
      <c r="AA516" s="701">
        <f t="shared" si="48"/>
        <v>0</v>
      </c>
      <c r="AB516" s="701">
        <f t="shared" si="48"/>
        <v>0</v>
      </c>
      <c r="AC516" s="701">
        <f t="shared" si="48"/>
        <v>0</v>
      </c>
      <c r="AD516" s="701">
        <f t="shared" si="48"/>
        <v>0</v>
      </c>
      <c r="AE516" s="701">
        <f t="shared" si="48"/>
        <v>0</v>
      </c>
      <c r="AF516" s="701">
        <f t="shared" si="48"/>
        <v>0</v>
      </c>
      <c r="AG516" s="701">
        <f t="shared" si="48"/>
        <v>0</v>
      </c>
      <c r="AH516" s="701">
        <f t="shared" si="48"/>
        <v>0</v>
      </c>
      <c r="AI516" s="701">
        <f t="shared" si="48"/>
        <v>0</v>
      </c>
      <c r="AJ516" s="701">
        <f t="shared" si="48"/>
        <v>0</v>
      </c>
      <c r="AK516" s="701">
        <f t="shared" si="48"/>
        <v>0</v>
      </c>
      <c r="AL516" s="701">
        <f t="shared" si="48"/>
        <v>0</v>
      </c>
      <c r="AM516" s="701">
        <f t="shared" si="48"/>
        <v>0</v>
      </c>
      <c r="AN516" s="701">
        <f t="shared" si="48"/>
        <v>0</v>
      </c>
      <c r="AO516" s="701">
        <f t="shared" si="48"/>
        <v>0</v>
      </c>
      <c r="AP516" s="701">
        <f t="shared" si="48"/>
        <v>0</v>
      </c>
      <c r="AQ516" s="701">
        <f t="shared" si="48"/>
        <v>0</v>
      </c>
      <c r="AR516" s="701">
        <f t="shared" si="48"/>
        <v>0</v>
      </c>
      <c r="AS516" s="701">
        <f t="shared" si="48"/>
        <v>0</v>
      </c>
      <c r="AT516" s="701">
        <f t="shared" si="48"/>
        <v>0</v>
      </c>
      <c r="AU516" s="701">
        <f t="shared" si="48"/>
        <v>0</v>
      </c>
      <c r="AV516" s="701">
        <f t="shared" ref="AV516:BO516" si="49">+SUM(AV16:AV515)</f>
        <v>0</v>
      </c>
      <c r="AW516" s="701">
        <f t="shared" si="49"/>
        <v>0</v>
      </c>
      <c r="AX516" s="701">
        <f t="shared" si="49"/>
        <v>0</v>
      </c>
      <c r="AY516" s="701">
        <f t="shared" si="49"/>
        <v>0</v>
      </c>
      <c r="AZ516" s="701">
        <f t="shared" si="49"/>
        <v>0</v>
      </c>
      <c r="BA516" s="701">
        <f t="shared" si="49"/>
        <v>0</v>
      </c>
      <c r="BB516" s="701">
        <f t="shared" si="49"/>
        <v>0</v>
      </c>
      <c r="BC516" s="701">
        <f t="shared" si="49"/>
        <v>0</v>
      </c>
      <c r="BD516" s="701">
        <f t="shared" si="49"/>
        <v>0</v>
      </c>
      <c r="BE516" s="701">
        <f t="shared" si="49"/>
        <v>0</v>
      </c>
      <c r="BF516" s="701">
        <f t="shared" si="49"/>
        <v>0</v>
      </c>
      <c r="BG516" s="701">
        <f t="shared" si="49"/>
        <v>0</v>
      </c>
      <c r="BH516" s="701">
        <f t="shared" si="49"/>
        <v>0</v>
      </c>
      <c r="BI516" s="760">
        <f t="shared" si="49"/>
        <v>0</v>
      </c>
      <c r="BJ516" s="701">
        <f t="shared" si="49"/>
        <v>0</v>
      </c>
      <c r="BK516" s="761">
        <f t="shared" si="49"/>
        <v>0</v>
      </c>
      <c r="BL516" s="700">
        <f t="shared" si="49"/>
        <v>0</v>
      </c>
      <c r="BM516" s="701">
        <f t="shared" si="49"/>
        <v>0</v>
      </c>
      <c r="BN516" s="701">
        <f t="shared" si="49"/>
        <v>0</v>
      </c>
      <c r="BO516" s="701">
        <f t="shared" si="49"/>
        <v>0</v>
      </c>
      <c r="BP516" s="1"/>
    </row>
    <row r="517" spans="1:68" x14ac:dyDescent="0.15">
      <c r="C517" s="1483"/>
      <c r="D517" s="1483"/>
      <c r="E517" s="1483"/>
      <c r="F517" s="1483"/>
      <c r="G517" s="606"/>
      <c r="H517" s="762"/>
      <c r="I517" s="763"/>
      <c r="J517" s="763"/>
      <c r="K517" s="763"/>
      <c r="L517" s="763"/>
      <c r="M517" s="18"/>
      <c r="N517" s="18"/>
      <c r="O517" s="18"/>
      <c r="P517" s="18"/>
      <c r="Q517" s="79"/>
      <c r="BO517" s="710"/>
      <c r="BP517" s="710"/>
    </row>
    <row r="518" spans="1:68" ht="22.5" customHeight="1" x14ac:dyDescent="0.15">
      <c r="E518" s="1478" t="str">
        <f>IF(C4=2,"Montant total réconcilié","RECONCILED TOTAL")</f>
        <v>RECONCILED TOTAL</v>
      </c>
      <c r="F518" s="1478"/>
      <c r="G518" s="711">
        <f>SUMIF(B16:B515,B6,G16:G515)</f>
        <v>0</v>
      </c>
      <c r="H518" s="764"/>
      <c r="I518" s="765" t="s">
        <v>92</v>
      </c>
      <c r="J518" s="765"/>
      <c r="K518" s="765"/>
      <c r="L518" s="765"/>
    </row>
    <row r="519" spans="1:68" x14ac:dyDescent="0.15">
      <c r="G519" s="603"/>
      <c r="H519" s="764"/>
      <c r="I519" s="765"/>
      <c r="J519" s="765"/>
      <c r="K519" s="765"/>
      <c r="L519" s="765"/>
    </row>
    <row r="520" spans="1:68" ht="22.5" customHeight="1" x14ac:dyDescent="0.15">
      <c r="E520" s="1478" t="str">
        <f>IF(C4=2,"Montant total non réconcilié","UNRECONCILED TOTAL")</f>
        <v>UNRECONCILED TOTAL</v>
      </c>
      <c r="F520" s="1478"/>
      <c r="G520" s="711">
        <f>G516-G518</f>
        <v>0</v>
      </c>
      <c r="L520" s="739"/>
      <c r="M520" s="766"/>
    </row>
    <row r="521" spans="1:68" ht="12.75" customHeight="1" x14ac:dyDescent="0.15">
      <c r="G521" s="764"/>
      <c r="H521" s="1479" t="str">
        <f>IF(C4=2,"Montants non-réconciliés","Unreconciled Amounts")</f>
        <v>Unreconciled Amounts</v>
      </c>
      <c r="M521" s="766"/>
    </row>
    <row r="522" spans="1:68" ht="12.75" customHeight="1" x14ac:dyDescent="0.15">
      <c r="E522" s="1480" t="str">
        <f>'Set up ~ Config'!F43</f>
        <v>Asset Accounts</v>
      </c>
      <c r="F522" s="1480"/>
      <c r="G522" s="767">
        <v>988</v>
      </c>
      <c r="H522" s="1479"/>
      <c r="L522" s="768"/>
      <c r="M522" s="766"/>
    </row>
    <row r="523" spans="1:68" ht="22.5" customHeight="1" x14ac:dyDescent="0.15">
      <c r="E523" s="1471" t="str">
        <f>CONCATENATE('Set up ~ Config'!F45&amp;" "&amp;'Set up ~ Config'!G45)</f>
        <v>1010 - Other Cash in hand</v>
      </c>
      <c r="F523" s="1472"/>
      <c r="G523" s="715">
        <f>SUMIF($I$16:$I$515,$N523,$G$16:$G$515)</f>
        <v>0</v>
      </c>
      <c r="H523" s="716">
        <f>SUMIFS($G$16:$G$515,$B$16:$B$515,"",$I$16:$I$515,$N523)</f>
        <v>0</v>
      </c>
      <c r="K523" s="717"/>
      <c r="M523" s="769"/>
      <c r="N523" s="865" t="str">
        <f>'Set up ~ Config'!$AG17</f>
        <v>1010</v>
      </c>
      <c r="O523" s="12" t="str">
        <f t="shared" ref="O523:O567" si="50">E523</f>
        <v>1010 - Other Cash in hand</v>
      </c>
    </row>
    <row r="524" spans="1:68" ht="22.5" customHeight="1" x14ac:dyDescent="0.15">
      <c r="E524" s="1471" t="str">
        <f>CONCATENATE('Set up ~ Config'!F46&amp;" "&amp;'Set up ~ Config'!G46)</f>
        <v>1015 - Main Bank Account</v>
      </c>
      <c r="F524" s="1472"/>
      <c r="G524" s="715">
        <f t="shared" ref="G524:G567" si="51">SUMIF($I$16:$I$515,$N524,$G$16:$G$515)</f>
        <v>0</v>
      </c>
      <c r="H524" s="716">
        <f t="shared" ref="H524:H567" si="52">SUMIFS($G$16:$G$515,$B$16:$B$515,"",$I$16:$I$515,$N524)</f>
        <v>0</v>
      </c>
      <c r="K524" s="717"/>
      <c r="M524" s="769"/>
      <c r="N524" s="865" t="str">
        <f>'Set up ~ Config'!$AG18</f>
        <v>1015</v>
      </c>
      <c r="O524" s="12" t="str">
        <f t="shared" si="50"/>
        <v>1015 - Main Bank Account</v>
      </c>
    </row>
    <row r="525" spans="1:68" ht="22.5" customHeight="1" x14ac:dyDescent="0.15">
      <c r="E525" s="1471" t="str">
        <f>CONCATENATE('Set up ~ Config'!F47&amp;" "&amp;'Set up ~ Config'!G47)</f>
        <v>1020 - Canteen</v>
      </c>
      <c r="F525" s="1472"/>
      <c r="G525" s="715">
        <f t="shared" si="51"/>
        <v>0</v>
      </c>
      <c r="H525" s="716">
        <f t="shared" si="52"/>
        <v>0</v>
      </c>
      <c r="K525" s="717"/>
      <c r="M525" s="769"/>
      <c r="N525" s="865" t="str">
        <f>'Set up ~ Config'!$AG19</f>
        <v>1020</v>
      </c>
      <c r="O525" s="12" t="str">
        <f t="shared" si="50"/>
        <v>1020 - Canteen</v>
      </c>
    </row>
    <row r="526" spans="1:68" ht="22.5" customHeight="1" x14ac:dyDescent="0.15">
      <c r="E526" s="1471" t="str">
        <f>CONCATENATE('Set up ~ Config'!F48&amp;" "&amp;'Set up ~ Config'!G48)</f>
        <v>1025 - Petty Cash</v>
      </c>
      <c r="F526" s="1472"/>
      <c r="G526" s="715">
        <f t="shared" si="51"/>
        <v>0</v>
      </c>
      <c r="H526" s="716">
        <f t="shared" si="52"/>
        <v>0</v>
      </c>
      <c r="K526" s="717"/>
      <c r="M526" s="769"/>
      <c r="N526" s="865" t="str">
        <f>'Set up ~ Config'!$AG20</f>
        <v>1025</v>
      </c>
      <c r="O526" s="12" t="str">
        <f t="shared" si="50"/>
        <v>1025 - Petty Cash</v>
      </c>
    </row>
    <row r="527" spans="1:68" ht="22.5" customHeight="1" x14ac:dyDescent="0.15">
      <c r="E527" s="1471" t="str">
        <f>CONCATENATE('Set up ~ Config'!F49&amp;" "&amp;'Set up ~ Config'!G49)</f>
        <v>1030 - Receivables - Short Term</v>
      </c>
      <c r="F527" s="1472"/>
      <c r="G527" s="715">
        <f t="shared" si="51"/>
        <v>0</v>
      </c>
      <c r="H527" s="716">
        <f t="shared" si="52"/>
        <v>0</v>
      </c>
      <c r="K527" s="717"/>
      <c r="M527" s="769"/>
      <c r="N527" s="865" t="str">
        <f>'Set up ~ Config'!$AG21</f>
        <v>1030</v>
      </c>
      <c r="O527" s="12" t="str">
        <f t="shared" si="50"/>
        <v>1030 - Receivables - Short Term</v>
      </c>
    </row>
    <row r="528" spans="1:68" ht="22.5" customHeight="1" x14ac:dyDescent="0.15">
      <c r="E528" s="1471" t="str">
        <f>CONCATENATE('Set up ~ Config'!F50&amp;" "&amp;'Set up ~ Config'!G50)</f>
        <v>1035 - Disponible ~ Available</v>
      </c>
      <c r="F528" s="1472"/>
      <c r="G528" s="715">
        <f t="shared" si="51"/>
        <v>0</v>
      </c>
      <c r="H528" s="716">
        <f t="shared" si="52"/>
        <v>0</v>
      </c>
      <c r="K528" s="717"/>
      <c r="M528" s="769"/>
      <c r="N528" s="865" t="str">
        <f>'Set up ~ Config'!$AG22</f>
        <v>1035</v>
      </c>
      <c r="O528" s="12" t="str">
        <f t="shared" si="50"/>
        <v>1035 - Disponible ~ Available</v>
      </c>
    </row>
    <row r="529" spans="5:17" ht="22.5" customHeight="1" x14ac:dyDescent="0.15">
      <c r="E529" s="1471" t="str">
        <f>CONCATENATE('Set up ~ Config'!F51&amp;" "&amp;'Set up ~ Config'!G51)</f>
        <v>1040 - Disponible ~ Available</v>
      </c>
      <c r="F529" s="1472"/>
      <c r="G529" s="715">
        <f t="shared" si="51"/>
        <v>0</v>
      </c>
      <c r="H529" s="716">
        <f t="shared" si="52"/>
        <v>0</v>
      </c>
      <c r="K529" s="717"/>
      <c r="M529" s="769"/>
      <c r="N529" s="865" t="str">
        <f>'Set up ~ Config'!$AG23</f>
        <v>1040</v>
      </c>
      <c r="O529" s="12" t="str">
        <f t="shared" si="50"/>
        <v>1040 - Disponible ~ Available</v>
      </c>
      <c r="Q529" s="603"/>
    </row>
    <row r="530" spans="5:17" ht="22.5" customHeight="1" x14ac:dyDescent="0.15">
      <c r="E530" s="1471" t="str">
        <f>CONCATENATE('Set up ~ Config'!F52&amp;" "&amp;'Set up ~ Config'!G52)</f>
        <v>1045 - Disponible ~ Available</v>
      </c>
      <c r="F530" s="1472"/>
      <c r="G530" s="715">
        <f t="shared" si="51"/>
        <v>0</v>
      </c>
      <c r="H530" s="716">
        <f t="shared" si="52"/>
        <v>0</v>
      </c>
      <c r="K530" s="717"/>
      <c r="M530" s="769"/>
      <c r="N530" s="865" t="str">
        <f>'Set up ~ Config'!$AG24</f>
        <v>1045</v>
      </c>
      <c r="O530" s="12" t="str">
        <f t="shared" si="50"/>
        <v>1045 - Disponible ~ Available</v>
      </c>
      <c r="Q530" s="603"/>
    </row>
    <row r="531" spans="5:17" ht="22.5" customHeight="1" x14ac:dyDescent="0.15">
      <c r="E531" s="1471" t="str">
        <f>CONCATENATE('Set up ~ Config'!F53&amp;" "&amp;'Set up ~ Config'!G53)</f>
        <v>1050 - Disponible ~ Available</v>
      </c>
      <c r="F531" s="1472"/>
      <c r="G531" s="715">
        <f t="shared" si="51"/>
        <v>0</v>
      </c>
      <c r="H531" s="716">
        <f t="shared" si="52"/>
        <v>0</v>
      </c>
      <c r="K531" s="717"/>
      <c r="M531" s="769"/>
      <c r="N531" s="865" t="str">
        <f>'Set up ~ Config'!$AG25</f>
        <v>1050</v>
      </c>
      <c r="O531" s="12" t="str">
        <f t="shared" si="50"/>
        <v>1050 - Disponible ~ Available</v>
      </c>
      <c r="Q531" s="603"/>
    </row>
    <row r="532" spans="5:17" ht="22.5" customHeight="1" x14ac:dyDescent="0.15">
      <c r="E532" s="1471" t="str">
        <f>CONCATENATE('Set up ~ Config'!F54&amp;" "&amp;'Set up ~ Config'!G54)</f>
        <v>1055 - Disponible ~ Available</v>
      </c>
      <c r="F532" s="1472"/>
      <c r="G532" s="715">
        <f t="shared" si="51"/>
        <v>0</v>
      </c>
      <c r="H532" s="716">
        <f t="shared" si="52"/>
        <v>0</v>
      </c>
      <c r="K532" s="717"/>
      <c r="M532" s="769"/>
      <c r="N532" s="865" t="str">
        <f>'Set up ~ Config'!$AG26</f>
        <v>1055</v>
      </c>
      <c r="O532" s="12" t="str">
        <f t="shared" si="50"/>
        <v>1055 - Disponible ~ Available</v>
      </c>
      <c r="Q532" s="603"/>
    </row>
    <row r="533" spans="5:17" ht="22.5" customHeight="1" x14ac:dyDescent="0.15">
      <c r="E533" s="1471" t="str">
        <f>CONCATENATE('Set up ~ Config'!F55&amp;" "&amp;'Set up ~ Config'!G55)</f>
        <v>1060 - Disponible ~ Available</v>
      </c>
      <c r="F533" s="1472"/>
      <c r="G533" s="715">
        <f t="shared" si="51"/>
        <v>0</v>
      </c>
      <c r="H533" s="716">
        <f t="shared" si="52"/>
        <v>0</v>
      </c>
      <c r="K533" s="717"/>
      <c r="M533" s="769"/>
      <c r="N533" s="865" t="str">
        <f>'Set up ~ Config'!$AG27</f>
        <v>1060</v>
      </c>
      <c r="O533" s="12" t="str">
        <f t="shared" si="50"/>
        <v>1060 - Disponible ~ Available</v>
      </c>
      <c r="Q533" s="603"/>
    </row>
    <row r="534" spans="5:17" ht="22.5" customHeight="1" x14ac:dyDescent="0.15">
      <c r="E534" s="1471" t="str">
        <f>CONCATENATE('Set up ~ Config'!F56&amp;" "&amp;'Set up ~ Config'!G56)</f>
        <v>1065 - Disponible ~ Available</v>
      </c>
      <c r="F534" s="1472"/>
      <c r="G534" s="715">
        <f t="shared" si="51"/>
        <v>0</v>
      </c>
      <c r="H534" s="716">
        <f t="shared" si="52"/>
        <v>0</v>
      </c>
      <c r="K534" s="717"/>
      <c r="M534" s="769"/>
      <c r="N534" s="865" t="str">
        <f>'Set up ~ Config'!$AG28</f>
        <v>1065</v>
      </c>
      <c r="O534" s="12" t="str">
        <f t="shared" si="50"/>
        <v>1065 - Disponible ~ Available</v>
      </c>
      <c r="Q534" s="603"/>
    </row>
    <row r="535" spans="5:17" ht="22.5" customHeight="1" x14ac:dyDescent="0.15">
      <c r="E535" s="1471" t="str">
        <f>CONCATENATE('Set up ~ Config'!F57&amp;" "&amp;'Set up ~ Config'!G57)</f>
        <v>1070 - Disponible ~ Available</v>
      </c>
      <c r="F535" s="1472"/>
      <c r="G535" s="715">
        <f t="shared" si="51"/>
        <v>0</v>
      </c>
      <c r="H535" s="716">
        <f t="shared" si="52"/>
        <v>0</v>
      </c>
      <c r="K535" s="717"/>
      <c r="M535" s="769"/>
      <c r="N535" s="865" t="str">
        <f>'Set up ~ Config'!$AG29</f>
        <v>1070</v>
      </c>
      <c r="O535" s="12" t="str">
        <f t="shared" si="50"/>
        <v>1070 - Disponible ~ Available</v>
      </c>
      <c r="Q535" s="603"/>
    </row>
    <row r="536" spans="5:17" ht="22.5" customHeight="1" x14ac:dyDescent="0.15">
      <c r="E536" s="1471" t="str">
        <f>CONCATENATE('Set up ~ Config'!F58&amp;" "&amp;'Set up ~ Config'!G58)</f>
        <v>1075 - Disponible ~ Available</v>
      </c>
      <c r="F536" s="1472"/>
      <c r="G536" s="715">
        <f t="shared" si="51"/>
        <v>0</v>
      </c>
      <c r="H536" s="716">
        <f t="shared" si="52"/>
        <v>0</v>
      </c>
      <c r="K536" s="717"/>
      <c r="M536" s="769"/>
      <c r="N536" s="865" t="str">
        <f>'Set up ~ Config'!$AG30</f>
        <v>1075</v>
      </c>
      <c r="O536" s="12" t="str">
        <f t="shared" si="50"/>
        <v>1075 - Disponible ~ Available</v>
      </c>
      <c r="Q536" s="603"/>
    </row>
    <row r="537" spans="5:17" ht="22.5" customHeight="1" x14ac:dyDescent="0.15">
      <c r="E537" s="1471" t="str">
        <f>CONCATENATE('Set up ~ Config'!F59&amp;" "&amp;'Set up ~ Config'!G59)</f>
        <v>1080 - Disponible ~ Available</v>
      </c>
      <c r="F537" s="1472"/>
      <c r="G537" s="715">
        <f t="shared" si="51"/>
        <v>0</v>
      </c>
      <c r="H537" s="716">
        <f t="shared" si="52"/>
        <v>0</v>
      </c>
      <c r="K537" s="717"/>
      <c r="M537" s="769"/>
      <c r="N537" s="865" t="str">
        <f>'Set up ~ Config'!$AG31</f>
        <v>1080</v>
      </c>
      <c r="O537" s="12" t="str">
        <f t="shared" si="50"/>
        <v>1080 - Disponible ~ Available</v>
      </c>
      <c r="Q537" s="603"/>
    </row>
    <row r="538" spans="5:17" ht="22.5" customHeight="1" x14ac:dyDescent="0.15">
      <c r="E538" s="1471" t="str">
        <f>CONCATENATE('Set up ~ Config'!F60&amp;" "&amp;'Set up ~ Config'!G60)</f>
        <v>1085 - Disponible ~ Available</v>
      </c>
      <c r="F538" s="1472"/>
      <c r="G538" s="715">
        <f t="shared" si="51"/>
        <v>0</v>
      </c>
      <c r="H538" s="716">
        <f t="shared" si="52"/>
        <v>0</v>
      </c>
      <c r="K538" s="717"/>
      <c r="M538" s="769"/>
      <c r="N538" s="865" t="str">
        <f>'Set up ~ Config'!$AG32</f>
        <v>1085</v>
      </c>
      <c r="O538" s="12" t="str">
        <f t="shared" si="50"/>
        <v>1085 - Disponible ~ Available</v>
      </c>
      <c r="Q538" s="603"/>
    </row>
    <row r="539" spans="5:17" ht="22.5" customHeight="1" x14ac:dyDescent="0.15">
      <c r="E539" s="1471" t="str">
        <f>CONCATENATE('Set up ~ Config'!F61&amp;" "&amp;'Set up ~ Config'!G61)</f>
        <v>1090 - Disponible ~ Available</v>
      </c>
      <c r="F539" s="1472"/>
      <c r="G539" s="715">
        <f t="shared" si="51"/>
        <v>0</v>
      </c>
      <c r="H539" s="716">
        <f t="shared" si="52"/>
        <v>0</v>
      </c>
      <c r="K539" s="717"/>
      <c r="M539" s="769"/>
      <c r="N539" s="865" t="str">
        <f>'Set up ~ Config'!$AG33</f>
        <v>1090</v>
      </c>
      <c r="O539" s="12" t="str">
        <f t="shared" si="50"/>
        <v>1090 - Disponible ~ Available</v>
      </c>
      <c r="Q539" s="603"/>
    </row>
    <row r="540" spans="5:17" ht="22.5" customHeight="1" x14ac:dyDescent="0.15">
      <c r="E540" s="1471" t="str">
        <f>CONCATENATE('Set up ~ Config'!F62&amp;" "&amp;'Set up ~ Config'!G62)</f>
        <v>1095 - Disponible ~ Available</v>
      </c>
      <c r="F540" s="1472"/>
      <c r="G540" s="715">
        <f t="shared" si="51"/>
        <v>0</v>
      </c>
      <c r="H540" s="716">
        <f t="shared" si="52"/>
        <v>0</v>
      </c>
      <c r="K540" s="717"/>
      <c r="M540" s="769"/>
      <c r="N540" s="865">
        <f>'Set up ~ Config'!$AG34</f>
        <v>0</v>
      </c>
      <c r="O540" s="12" t="str">
        <f t="shared" si="50"/>
        <v>1095 - Disponible ~ Available</v>
      </c>
      <c r="Q540" s="603"/>
    </row>
    <row r="541" spans="5:17" ht="22.5" customHeight="1" x14ac:dyDescent="0.15">
      <c r="E541" s="1471" t="str">
        <f>CONCATENATE('Set up ~ Config'!F64&amp;" "&amp;'Set up ~ Config'!G64)</f>
        <v>1210 - Investments GICs</v>
      </c>
      <c r="F541" s="1472"/>
      <c r="G541" s="715">
        <f t="shared" si="51"/>
        <v>0</v>
      </c>
      <c r="H541" s="716">
        <f t="shared" si="52"/>
        <v>0</v>
      </c>
      <c r="K541" s="717"/>
      <c r="M541" s="769"/>
      <c r="N541" s="865" t="str">
        <f>'Set up ~ Config'!$AG35</f>
        <v>1210</v>
      </c>
      <c r="O541" s="12" t="str">
        <f t="shared" si="50"/>
        <v>1210 - Investments GICs</v>
      </c>
    </row>
    <row r="542" spans="5:17" ht="22.5" customHeight="1" x14ac:dyDescent="0.15">
      <c r="E542" s="1471" t="str">
        <f>CONCATENATE('Set up ~ Config'!F65&amp;" "&amp;'Set up ~ Config'!G65)</f>
        <v>1220 - Investments (Mutual Funds and such)</v>
      </c>
      <c r="F542" s="1472"/>
      <c r="G542" s="715">
        <f t="shared" si="51"/>
        <v>0</v>
      </c>
      <c r="H542" s="716">
        <f t="shared" si="52"/>
        <v>0</v>
      </c>
      <c r="K542" s="717"/>
      <c r="M542" s="769"/>
      <c r="N542" s="865" t="str">
        <f>'Set up ~ Config'!$AG36</f>
        <v>1220</v>
      </c>
      <c r="O542" s="12" t="str">
        <f t="shared" si="50"/>
        <v>1220 - Investments (Mutual Funds and such)</v>
      </c>
    </row>
    <row r="543" spans="5:17" ht="22.5" customHeight="1" x14ac:dyDescent="0.15">
      <c r="E543" s="1471" t="str">
        <f>CONCATENATE('Set up ~ Config'!F66&amp;" "&amp;'Set up ~ Config'!G66)</f>
        <v>1230 - Disponible ~ Available</v>
      </c>
      <c r="F543" s="1472"/>
      <c r="G543" s="715">
        <f t="shared" si="51"/>
        <v>0</v>
      </c>
      <c r="H543" s="716">
        <f t="shared" si="52"/>
        <v>0</v>
      </c>
      <c r="K543" s="717"/>
      <c r="M543" s="769"/>
      <c r="N543" s="865" t="str">
        <f>'Set up ~ Config'!$AG37</f>
        <v>1230</v>
      </c>
      <c r="O543" s="12" t="str">
        <f t="shared" si="50"/>
        <v>1230 - Disponible ~ Available</v>
      </c>
    </row>
    <row r="544" spans="5:17" ht="22.5" customHeight="1" x14ac:dyDescent="0.15">
      <c r="E544" s="1471" t="str">
        <f>CONCATENATE('Set up ~ Config'!F67&amp;" "&amp;'Set up ~ Config'!G67)</f>
        <v>1240 - Disponible ~ Available</v>
      </c>
      <c r="F544" s="1472"/>
      <c r="G544" s="715">
        <f t="shared" si="51"/>
        <v>0</v>
      </c>
      <c r="H544" s="716">
        <f t="shared" si="52"/>
        <v>0</v>
      </c>
      <c r="K544" s="717"/>
      <c r="M544" s="769"/>
      <c r="N544" s="865" t="str">
        <f>'Set up ~ Config'!$AG38</f>
        <v>1240</v>
      </c>
      <c r="O544" s="12" t="str">
        <f t="shared" si="50"/>
        <v>1240 - Disponible ~ Available</v>
      </c>
    </row>
    <row r="545" spans="5:15" ht="22.5" customHeight="1" x14ac:dyDescent="0.15">
      <c r="E545" s="1471" t="str">
        <f>CONCATENATE('Set up ~ Config'!F68&amp;" "&amp;'Set up ~ Config'!G68)</f>
        <v>1250 - Disponible ~ Available</v>
      </c>
      <c r="F545" s="1472"/>
      <c r="G545" s="715">
        <f t="shared" si="51"/>
        <v>0</v>
      </c>
      <c r="H545" s="716">
        <f t="shared" si="52"/>
        <v>0</v>
      </c>
      <c r="K545" s="717"/>
      <c r="M545" s="769"/>
      <c r="N545" s="865" t="str">
        <f>'Set up ~ Config'!$AG39</f>
        <v>1250</v>
      </c>
      <c r="O545" s="12" t="str">
        <f t="shared" si="50"/>
        <v>1250 - Disponible ~ Available</v>
      </c>
    </row>
    <row r="546" spans="5:15" ht="22.5" customHeight="1" x14ac:dyDescent="0.15">
      <c r="E546" s="1471" t="str">
        <f>CONCATENATE('Set up ~ Config'!F69&amp;" "&amp;'Set up ~ Config'!G69)</f>
        <v>1260 - Disponible ~ Available</v>
      </c>
      <c r="F546" s="1472"/>
      <c r="G546" s="715">
        <f t="shared" si="51"/>
        <v>0</v>
      </c>
      <c r="H546" s="716">
        <f t="shared" si="52"/>
        <v>0</v>
      </c>
      <c r="K546" s="717"/>
      <c r="M546" s="769"/>
      <c r="N546" s="865" t="str">
        <f>'Set up ~ Config'!$AG40</f>
        <v>1260</v>
      </c>
      <c r="O546" s="12" t="str">
        <f t="shared" si="50"/>
        <v>1260 - Disponible ~ Available</v>
      </c>
    </row>
    <row r="547" spans="5:15" ht="22.5" customHeight="1" x14ac:dyDescent="0.15">
      <c r="E547" s="1471" t="str">
        <f>CONCATENATE('Set up ~ Config'!F70&amp;" "&amp;'Set up ~ Config'!G70)</f>
        <v>1270 - Disponible ~ Available</v>
      </c>
      <c r="F547" s="1472"/>
      <c r="G547" s="715">
        <f t="shared" si="51"/>
        <v>0</v>
      </c>
      <c r="H547" s="716">
        <f t="shared" si="52"/>
        <v>0</v>
      </c>
      <c r="K547" s="717"/>
      <c r="M547" s="769"/>
      <c r="N547" s="865" t="str">
        <f>'Set up ~ Config'!$AG41</f>
        <v>1270</v>
      </c>
      <c r="O547" s="12" t="str">
        <f t="shared" si="50"/>
        <v>1270 - Disponible ~ Available</v>
      </c>
    </row>
    <row r="548" spans="5:15" ht="22.5" customHeight="1" x14ac:dyDescent="0.15">
      <c r="E548" s="1471" t="str">
        <f>CONCATENATE('Set up ~ Config'!F71&amp;" "&amp;'Set up ~ Config'!G71)</f>
        <v>1280 - Disponible ~ Available</v>
      </c>
      <c r="F548" s="1472"/>
      <c r="G548" s="715">
        <f t="shared" si="51"/>
        <v>0</v>
      </c>
      <c r="H548" s="716">
        <f t="shared" si="52"/>
        <v>0</v>
      </c>
      <c r="K548" s="717"/>
      <c r="M548" s="769"/>
      <c r="N548" s="865" t="str">
        <f>'Set up ~ Config'!$AG42</f>
        <v>1280</v>
      </c>
      <c r="O548" s="12" t="str">
        <f t="shared" si="50"/>
        <v>1280 - Disponible ~ Available</v>
      </c>
    </row>
    <row r="549" spans="5:15" ht="22.5" customHeight="1" x14ac:dyDescent="0.15">
      <c r="E549" s="1471" t="str">
        <f>CONCATENATE('Set up ~ Config'!F72&amp;" "&amp;'Set up ~ Config'!G72)</f>
        <v>1290 - Disponible ~ Available</v>
      </c>
      <c r="F549" s="1472"/>
      <c r="G549" s="715">
        <f t="shared" si="51"/>
        <v>0</v>
      </c>
      <c r="H549" s="716">
        <f t="shared" si="52"/>
        <v>0</v>
      </c>
      <c r="K549" s="717"/>
      <c r="M549" s="769"/>
      <c r="N549" s="865" t="str">
        <f>'Set up ~ Config'!$AG43</f>
        <v>1290</v>
      </c>
      <c r="O549" s="12" t="str">
        <f t="shared" si="50"/>
        <v>1290 - Disponible ~ Available</v>
      </c>
    </row>
    <row r="550" spans="5:15" ht="22.5" customHeight="1" x14ac:dyDescent="0.15">
      <c r="E550" s="1471" t="str">
        <f>CONCATENATE('Set up ~ Config'!F76&amp;" "&amp;'Set up ~ Config'!G76)</f>
        <v>2010 - Credit Card</v>
      </c>
      <c r="F550" s="1472"/>
      <c r="G550" s="715">
        <f t="shared" si="51"/>
        <v>0</v>
      </c>
      <c r="H550" s="716">
        <f t="shared" si="52"/>
        <v>0</v>
      </c>
      <c r="K550" s="717"/>
      <c r="N550" s="865" t="str">
        <f>'Set up ~ Config'!$AG44</f>
        <v>2010</v>
      </c>
      <c r="O550" s="12" t="str">
        <f t="shared" si="50"/>
        <v>2010 - Credit Card</v>
      </c>
    </row>
    <row r="551" spans="5:15" ht="22.5" customHeight="1" x14ac:dyDescent="0.15">
      <c r="E551" s="1471" t="str">
        <f>CONCATENATE('Set up ~ Config'!F77&amp;" "&amp;'Set up ~ Config'!G77)</f>
        <v>2020 - Payables - Short Terms</v>
      </c>
      <c r="F551" s="1472"/>
      <c r="G551" s="715">
        <f t="shared" si="51"/>
        <v>0</v>
      </c>
      <c r="H551" s="716">
        <f t="shared" si="52"/>
        <v>0</v>
      </c>
      <c r="K551" s="717"/>
      <c r="N551" s="865" t="str">
        <f>'Set up ~ Config'!$AG45</f>
        <v>2020</v>
      </c>
      <c r="O551" s="12" t="str">
        <f t="shared" si="50"/>
        <v>2020 - Payables - Short Terms</v>
      </c>
    </row>
    <row r="552" spans="5:15" ht="22.5" customHeight="1" x14ac:dyDescent="0.15">
      <c r="E552" s="1471" t="str">
        <f>CONCATENATE('Set up ~ Config'!F78&amp;" "&amp;'Set up ~ Config'!G78)</f>
        <v>2030 - Disponible ~ Available</v>
      </c>
      <c r="F552" s="1472"/>
      <c r="G552" s="715">
        <f t="shared" si="51"/>
        <v>0</v>
      </c>
      <c r="H552" s="716">
        <f t="shared" si="52"/>
        <v>0</v>
      </c>
      <c r="K552" s="717"/>
      <c r="N552" s="865" t="str">
        <f>'Set up ~ Config'!$AG46</f>
        <v>2030</v>
      </c>
      <c r="O552" s="12" t="str">
        <f t="shared" si="50"/>
        <v>2030 - Disponible ~ Available</v>
      </c>
    </row>
    <row r="553" spans="5:15" ht="22.5" customHeight="1" x14ac:dyDescent="0.15">
      <c r="E553" s="1471" t="str">
        <f>CONCATENATE('Set up ~ Config'!F79&amp;" "&amp;'Set up ~ Config'!G79)</f>
        <v>2040 - Disponible ~ Available</v>
      </c>
      <c r="F553" s="1472"/>
      <c r="G553" s="715">
        <f t="shared" si="51"/>
        <v>0</v>
      </c>
      <c r="H553" s="716">
        <f t="shared" si="52"/>
        <v>0</v>
      </c>
      <c r="K553" s="717"/>
      <c r="N553" s="865" t="str">
        <f>'Set up ~ Config'!$AG47</f>
        <v>2040</v>
      </c>
      <c r="O553" s="12" t="str">
        <f t="shared" si="50"/>
        <v>2040 - Disponible ~ Available</v>
      </c>
    </row>
    <row r="554" spans="5:15" ht="22.5" customHeight="1" x14ac:dyDescent="0.15">
      <c r="E554" s="1471" t="str">
        <f>CONCATENATE('Set up ~ Config'!F80&amp;" "&amp;'Set up ~ Config'!G80)</f>
        <v>2050 - Disponible ~ Available</v>
      </c>
      <c r="F554" s="1472"/>
      <c r="G554" s="715">
        <f t="shared" si="51"/>
        <v>0</v>
      </c>
      <c r="H554" s="716">
        <f t="shared" si="52"/>
        <v>0</v>
      </c>
      <c r="K554" s="717"/>
      <c r="N554" s="865" t="str">
        <f>'Set up ~ Config'!$AG48</f>
        <v>2050</v>
      </c>
      <c r="O554" s="12" t="str">
        <f t="shared" si="50"/>
        <v>2050 - Disponible ~ Available</v>
      </c>
    </row>
    <row r="555" spans="5:15" ht="22.5" customHeight="1" x14ac:dyDescent="0.15">
      <c r="E555" s="1471" t="str">
        <f>CONCATENATE('Set up ~ Config'!F81&amp;" "&amp;'Set up ~ Config'!G81)</f>
        <v>2060 - Disponible ~ Available</v>
      </c>
      <c r="F555" s="1472"/>
      <c r="G555" s="715">
        <f t="shared" si="51"/>
        <v>0</v>
      </c>
      <c r="H555" s="716">
        <f t="shared" si="52"/>
        <v>0</v>
      </c>
      <c r="K555" s="717"/>
      <c r="N555" s="865" t="str">
        <f>'Set up ~ Config'!$AG49</f>
        <v>2060</v>
      </c>
      <c r="O555" s="12" t="str">
        <f t="shared" si="50"/>
        <v>2060 - Disponible ~ Available</v>
      </c>
    </row>
    <row r="556" spans="5:15" ht="22.5" customHeight="1" x14ac:dyDescent="0.15">
      <c r="E556" s="1471" t="str">
        <f>CONCATENATE('Set up ~ Config'!F82&amp;" "&amp;'Set up ~ Config'!G82)</f>
        <v>2070 - Disponible ~ Available</v>
      </c>
      <c r="F556" s="1472"/>
      <c r="G556" s="715">
        <f t="shared" si="51"/>
        <v>0</v>
      </c>
      <c r="H556" s="716">
        <f t="shared" si="52"/>
        <v>0</v>
      </c>
      <c r="K556" s="717"/>
      <c r="N556" s="865" t="str">
        <f>'Set up ~ Config'!$AG50</f>
        <v>2070</v>
      </c>
      <c r="O556" s="12" t="str">
        <f t="shared" si="50"/>
        <v>2070 - Disponible ~ Available</v>
      </c>
    </row>
    <row r="557" spans="5:15" ht="22.5" customHeight="1" x14ac:dyDescent="0.15">
      <c r="E557" s="1471" t="str">
        <f>CONCATENATE('Set up ~ Config'!F83&amp;" "&amp;'Set up ~ Config'!G83)</f>
        <v>2080 - Disponible ~ Available</v>
      </c>
      <c r="F557" s="1472"/>
      <c r="G557" s="715">
        <f t="shared" si="51"/>
        <v>0</v>
      </c>
      <c r="H557" s="716">
        <f t="shared" si="52"/>
        <v>0</v>
      </c>
      <c r="K557" s="717"/>
      <c r="N557" s="865" t="str">
        <f>'Set up ~ Config'!$AG51</f>
        <v>2080</v>
      </c>
      <c r="O557" s="12" t="str">
        <f t="shared" si="50"/>
        <v>2080 - Disponible ~ Available</v>
      </c>
    </row>
    <row r="558" spans="5:15" ht="22.5" customHeight="1" x14ac:dyDescent="0.15">
      <c r="E558" s="1471" t="str">
        <f>CONCATENATE('Set up ~ Config'!F84&amp;" "&amp;'Set up ~ Config'!G84)</f>
        <v>2090 - Disponible ~ Available</v>
      </c>
      <c r="F558" s="1472"/>
      <c r="G558" s="715">
        <f t="shared" si="51"/>
        <v>0</v>
      </c>
      <c r="H558" s="716">
        <f t="shared" si="52"/>
        <v>0</v>
      </c>
      <c r="K558" s="717"/>
      <c r="N558" s="865" t="str">
        <f>'Set up ~ Config'!$AG52</f>
        <v>2090</v>
      </c>
      <c r="O558" s="12" t="str">
        <f t="shared" si="50"/>
        <v>2090 - Disponible ~ Available</v>
      </c>
    </row>
    <row r="559" spans="5:15" ht="22.5" customHeight="1" x14ac:dyDescent="0.15">
      <c r="E559" s="1471" t="str">
        <f>CONCATENATE('Set up ~ Config'!F86&amp;" "&amp;'Set up ~ Config'!G86)</f>
        <v>2210 - Mortgage</v>
      </c>
      <c r="F559" s="1472"/>
      <c r="G559" s="715">
        <f t="shared" si="51"/>
        <v>0</v>
      </c>
      <c r="H559" s="716">
        <f t="shared" si="52"/>
        <v>0</v>
      </c>
      <c r="K559" s="717"/>
      <c r="N559" s="865" t="str">
        <f>'Set up ~ Config'!$AG53</f>
        <v>2210</v>
      </c>
      <c r="O559" s="12" t="str">
        <f t="shared" si="50"/>
        <v>2210 - Mortgage</v>
      </c>
    </row>
    <row r="560" spans="5:15" ht="22.5" customHeight="1" x14ac:dyDescent="0.15">
      <c r="E560" s="1471" t="str">
        <f>CONCATENATE('Set up ~ Config'!F87&amp;" "&amp;'Set up ~ Config'!G87)</f>
        <v>2220 - Bank Loan</v>
      </c>
      <c r="F560" s="1472"/>
      <c r="G560" s="715">
        <f t="shared" si="51"/>
        <v>0</v>
      </c>
      <c r="H560" s="716">
        <f t="shared" si="52"/>
        <v>0</v>
      </c>
      <c r="K560" s="717"/>
      <c r="N560" s="865" t="str">
        <f>'Set up ~ Config'!$AG54</f>
        <v>2220</v>
      </c>
      <c r="O560" s="12" t="str">
        <f t="shared" si="50"/>
        <v>2220 - Bank Loan</v>
      </c>
    </row>
    <row r="561" spans="2:15" ht="22.5" customHeight="1" x14ac:dyDescent="0.15">
      <c r="E561" s="1471" t="str">
        <f>CONCATENATE('Set up ~ Config'!F88&amp;" "&amp;'Set up ~ Config'!G88)</f>
        <v>2230 - Disponible ~ Available</v>
      </c>
      <c r="F561" s="1472"/>
      <c r="G561" s="715">
        <f t="shared" si="51"/>
        <v>0</v>
      </c>
      <c r="H561" s="716">
        <f t="shared" si="52"/>
        <v>0</v>
      </c>
      <c r="K561" s="717"/>
      <c r="N561" s="865" t="str">
        <f>'Set up ~ Config'!$AG55</f>
        <v>2230</v>
      </c>
      <c r="O561" s="12" t="str">
        <f t="shared" si="50"/>
        <v>2230 - Disponible ~ Available</v>
      </c>
    </row>
    <row r="562" spans="2:15" ht="22.5" customHeight="1" x14ac:dyDescent="0.15">
      <c r="E562" s="1471" t="str">
        <f>CONCATENATE('Set up ~ Config'!F89&amp;" "&amp;'Set up ~ Config'!G89)</f>
        <v>2240 - Disponible ~ Available</v>
      </c>
      <c r="F562" s="1472"/>
      <c r="G562" s="715">
        <f t="shared" si="51"/>
        <v>0</v>
      </c>
      <c r="H562" s="716">
        <f t="shared" si="52"/>
        <v>0</v>
      </c>
      <c r="K562" s="717"/>
      <c r="N562" s="865" t="str">
        <f>'Set up ~ Config'!$AG56</f>
        <v>2240</v>
      </c>
      <c r="O562" s="12" t="str">
        <f t="shared" si="50"/>
        <v>2240 - Disponible ~ Available</v>
      </c>
    </row>
    <row r="563" spans="2:15" ht="22.5" customHeight="1" x14ac:dyDescent="0.15">
      <c r="E563" s="1471" t="str">
        <f>CONCATENATE('Set up ~ Config'!F90&amp;" "&amp;'Set up ~ Config'!G90)</f>
        <v>2250 - Disponible ~ Available</v>
      </c>
      <c r="F563" s="1472"/>
      <c r="G563" s="715">
        <f t="shared" si="51"/>
        <v>0</v>
      </c>
      <c r="H563" s="716">
        <f t="shared" si="52"/>
        <v>0</v>
      </c>
      <c r="K563" s="717"/>
      <c r="N563" s="865" t="str">
        <f>'Set up ~ Config'!$AG57</f>
        <v>2250</v>
      </c>
      <c r="O563" s="12" t="str">
        <f t="shared" si="50"/>
        <v>2250 - Disponible ~ Available</v>
      </c>
    </row>
    <row r="564" spans="2:15" ht="22.5" customHeight="1" x14ac:dyDescent="0.15">
      <c r="E564" s="1471" t="str">
        <f>CONCATENATE('Set up ~ Config'!F91&amp;" "&amp;'Set up ~ Config'!G91)</f>
        <v>2260 - Disponible ~ Available</v>
      </c>
      <c r="F564" s="1472"/>
      <c r="G564" s="715">
        <f t="shared" si="51"/>
        <v>0</v>
      </c>
      <c r="H564" s="716">
        <f t="shared" si="52"/>
        <v>0</v>
      </c>
      <c r="K564" s="717"/>
      <c r="N564" s="865" t="str">
        <f>'Set up ~ Config'!$AG58</f>
        <v>2260</v>
      </c>
      <c r="O564" s="12" t="str">
        <f t="shared" si="50"/>
        <v>2260 - Disponible ~ Available</v>
      </c>
    </row>
    <row r="565" spans="2:15" ht="22.5" customHeight="1" x14ac:dyDescent="0.15">
      <c r="E565" s="1471" t="str">
        <f>CONCATENATE('Set up ~ Config'!F92&amp;" "&amp;'Set up ~ Config'!G92)</f>
        <v>2270 - Disponible ~ Available</v>
      </c>
      <c r="F565" s="1472"/>
      <c r="G565" s="715">
        <f t="shared" si="51"/>
        <v>0</v>
      </c>
      <c r="H565" s="716">
        <f t="shared" si="52"/>
        <v>0</v>
      </c>
      <c r="K565" s="717"/>
      <c r="N565" s="865" t="str">
        <f>'Set up ~ Config'!$AG59</f>
        <v>2270</v>
      </c>
      <c r="O565" s="12" t="str">
        <f t="shared" si="50"/>
        <v>2270 - Disponible ~ Available</v>
      </c>
    </row>
    <row r="566" spans="2:15" ht="22.5" customHeight="1" x14ac:dyDescent="0.15">
      <c r="E566" s="1471" t="str">
        <f>CONCATENATE('Set up ~ Config'!F93&amp;" "&amp;'Set up ~ Config'!G93)</f>
        <v>2280 - Disponible ~ Available</v>
      </c>
      <c r="F566" s="1472"/>
      <c r="G566" s="715">
        <f t="shared" si="51"/>
        <v>0</v>
      </c>
      <c r="H566" s="716">
        <f t="shared" si="52"/>
        <v>0</v>
      </c>
      <c r="K566" s="717"/>
      <c r="N566" s="865" t="str">
        <f>'Set up ~ Config'!$AG60</f>
        <v>2280</v>
      </c>
      <c r="O566" s="12" t="str">
        <f t="shared" si="50"/>
        <v>2280 - Disponible ~ Available</v>
      </c>
    </row>
    <row r="567" spans="2:15" ht="22.5" customHeight="1" x14ac:dyDescent="0.15">
      <c r="E567" s="1471" t="str">
        <f>CONCATENATE('Set up ~ Config'!F94&amp;" "&amp;'Set up ~ Config'!G94)</f>
        <v>2290 - Disponible ~ Available</v>
      </c>
      <c r="F567" s="1472"/>
      <c r="G567" s="715">
        <f t="shared" si="51"/>
        <v>0</v>
      </c>
      <c r="H567" s="716">
        <f t="shared" si="52"/>
        <v>0</v>
      </c>
      <c r="K567" s="717"/>
      <c r="N567" s="865" t="str">
        <f>'Set up ~ Config'!$AG61</f>
        <v>2290</v>
      </c>
      <c r="O567" s="12" t="str">
        <f t="shared" si="50"/>
        <v>2290 - Disponible ~ Available</v>
      </c>
    </row>
    <row r="568" spans="2:15" ht="16" x14ac:dyDescent="0.15">
      <c r="B568" s="80"/>
      <c r="E568" s="1475"/>
      <c r="F568" s="1475"/>
    </row>
    <row r="569" spans="2:15" ht="16" hidden="1" x14ac:dyDescent="0.15">
      <c r="B569" s="80"/>
      <c r="E569" s="1475"/>
      <c r="F569" s="1475"/>
    </row>
    <row r="570" spans="2:15" ht="16" hidden="1" x14ac:dyDescent="0.15">
      <c r="B570" s="80"/>
      <c r="E570" s="1475"/>
      <c r="F570" s="1475"/>
    </row>
    <row r="571" spans="2:15" hidden="1" x14ac:dyDescent="0.15">
      <c r="B571" s="80"/>
      <c r="E571" s="1439"/>
      <c r="F571" s="1439"/>
    </row>
    <row r="572" spans="2:15" hidden="1" x14ac:dyDescent="0.15">
      <c r="B572" s="80"/>
      <c r="E572" s="1439"/>
      <c r="F572" s="1439"/>
    </row>
    <row r="573" spans="2:15" hidden="1" x14ac:dyDescent="0.15">
      <c r="B573" s="80"/>
      <c r="E573" s="1439"/>
      <c r="F573" s="1439"/>
    </row>
    <row r="574" spans="2:15" hidden="1" x14ac:dyDescent="0.15">
      <c r="B574" s="80"/>
      <c r="E574" s="1439"/>
      <c r="F574" s="1439"/>
    </row>
    <row r="575" spans="2:15" hidden="1" x14ac:dyDescent="0.15"/>
    <row r="576" spans="2:15" hidden="1" x14ac:dyDescent="0.15"/>
    <row r="577" hidden="1" x14ac:dyDescent="0.15"/>
    <row r="578" hidden="1" x14ac:dyDescent="0.15"/>
    <row r="579" hidden="1" x14ac:dyDescent="0.15"/>
    <row r="580" hidden="1" x14ac:dyDescent="0.15"/>
    <row r="581" hidden="1" x14ac:dyDescent="0.15"/>
    <row r="582" hidden="1" x14ac:dyDescent="0.15"/>
    <row r="583" hidden="1" x14ac:dyDescent="0.15"/>
    <row r="584" hidden="1" x14ac:dyDescent="0.15"/>
    <row r="585" hidden="1" x14ac:dyDescent="0.15"/>
    <row r="586" hidden="1" x14ac:dyDescent="0.15"/>
    <row r="587" hidden="1" x14ac:dyDescent="0.15"/>
    <row r="588" hidden="1" x14ac:dyDescent="0.15"/>
    <row r="589" hidden="1" x14ac:dyDescent="0.15"/>
    <row r="590" hidden="1" x14ac:dyDescent="0.15"/>
    <row r="591" hidden="1" x14ac:dyDescent="0.15"/>
    <row r="592" hidden="1" x14ac:dyDescent="0.15"/>
    <row r="593" spans="2:5" hidden="1" x14ac:dyDescent="0.15"/>
    <row r="594" spans="2:5" ht="14" thickBot="1" x14ac:dyDescent="0.2"/>
    <row r="595" spans="2:5" x14ac:dyDescent="0.15">
      <c r="B595" s="770" t="s">
        <v>86</v>
      </c>
      <c r="C595" s="1476" t="s">
        <v>93</v>
      </c>
      <c r="D595" s="1476"/>
      <c r="E595" s="1477"/>
    </row>
    <row r="596" spans="2:5" x14ac:dyDescent="0.15">
      <c r="B596" s="771" t="s">
        <v>87</v>
      </c>
      <c r="C596" s="1473" t="s">
        <v>94</v>
      </c>
      <c r="D596" s="1473"/>
      <c r="E596" s="1474"/>
    </row>
    <row r="597" spans="2:5" x14ac:dyDescent="0.15">
      <c r="B597" s="771" t="s">
        <v>88</v>
      </c>
      <c r="C597" s="1473" t="s">
        <v>95</v>
      </c>
      <c r="D597" s="1473"/>
      <c r="E597" s="1474"/>
    </row>
    <row r="598" spans="2:5" x14ac:dyDescent="0.15">
      <c r="B598" s="771" t="s">
        <v>89</v>
      </c>
      <c r="C598" s="1473" t="s">
        <v>96</v>
      </c>
      <c r="D598" s="1473"/>
      <c r="E598" s="1474"/>
    </row>
    <row r="599" spans="2:5" x14ac:dyDescent="0.15">
      <c r="B599" s="771" t="s">
        <v>90</v>
      </c>
      <c r="C599" s="1473" t="s">
        <v>97</v>
      </c>
      <c r="D599" s="1473"/>
      <c r="E599" s="1474"/>
    </row>
    <row r="600" spans="2:5" x14ac:dyDescent="0.15">
      <c r="B600" s="771" t="s">
        <v>91</v>
      </c>
      <c r="C600" s="1473" t="s">
        <v>98</v>
      </c>
      <c r="D600" s="1473"/>
      <c r="E600" s="1474"/>
    </row>
    <row r="601" spans="2:5" ht="14" thickBot="1" x14ac:dyDescent="0.2">
      <c r="B601" s="772" t="s">
        <v>129</v>
      </c>
      <c r="C601" s="1469" t="s">
        <v>523</v>
      </c>
      <c r="D601" s="1469"/>
      <c r="E601" s="1470"/>
    </row>
  </sheetData>
  <sheetProtection algorithmName="SHA-512" hashValue="Vmqw+hq97WLOlTCyj6UkVXFet7laSTbd8Swl8E+h3NzmbsYEMeqOmhg7wu3zvzOMz3RH2pGPStGhZSd8EEbwiw==" saltValue="zpWHBeWpmuueJpNDusdu+w==" spinCount="100000" sheet="1" objects="1" scenarios="1" selectLockedCells="1"/>
  <protectedRanges>
    <protectedRange sqref="BE18:BE25 BG17:BH17 AX17 C88:D515 BI82:BO515 AY17:BD515 AX19:AX515 BE27:BE515 BF18:BH515 H88:M88 BI17:BN81 I16:BN16 H102:M102 I89:M101 E104:M104 I103:M103 E106:M515 E105:G105 I105:M105 I17:M87 N17:AW515" name="revenue journal"/>
    <protectedRange sqref="BO16:BO81" name="revenue journal_3"/>
    <protectedRange sqref="E28:G30 E48:G71 E32:G37 F46:G46 E39:G40 F42:G44 E42:E46 C16:D40 C41:G41 C42:D87 H16:H87 H89:H101 H103 H105" name="revenue journal_2"/>
    <protectedRange sqref="E16:G17 E20:G27" name="revenue journal_2_2"/>
  </protectedRanges>
  <mergeCells count="89">
    <mergeCell ref="B1:J1"/>
    <mergeCell ref="B2:J2"/>
    <mergeCell ref="AD2:AL3"/>
    <mergeCell ref="AM2:AU3"/>
    <mergeCell ref="B3:J3"/>
    <mergeCell ref="BI3:BK3"/>
    <mergeCell ref="BL3:BN3"/>
    <mergeCell ref="F4:F7"/>
    <mergeCell ref="G4:G7"/>
    <mergeCell ref="Q4:AC4"/>
    <mergeCell ref="AD4:AL4"/>
    <mergeCell ref="AM4:AU4"/>
    <mergeCell ref="AV4:BD4"/>
    <mergeCell ref="BE4:BN4"/>
    <mergeCell ref="Q5:AC5"/>
    <mergeCell ref="AD5:AL5"/>
    <mergeCell ref="AM5:AU5"/>
    <mergeCell ref="AV5:BD5"/>
    <mergeCell ref="BE5:BN5"/>
    <mergeCell ref="BE3:BH3"/>
    <mergeCell ref="K5:M7"/>
    <mergeCell ref="E518:F518"/>
    <mergeCell ref="E520:F520"/>
    <mergeCell ref="H521:H522"/>
    <mergeCell ref="E522:F522"/>
    <mergeCell ref="E12:F12"/>
    <mergeCell ref="E13:F13"/>
    <mergeCell ref="E14:F14"/>
    <mergeCell ref="C516:F516"/>
    <mergeCell ref="C517:F517"/>
    <mergeCell ref="E524:F524"/>
    <mergeCell ref="E525:F525"/>
    <mergeCell ref="E526:F526"/>
    <mergeCell ref="E527:F527"/>
    <mergeCell ref="E528:F528"/>
    <mergeCell ref="C600:E600"/>
    <mergeCell ref="E559:F559"/>
    <mergeCell ref="E560:F560"/>
    <mergeCell ref="C595:E595"/>
    <mergeCell ref="E550:F550"/>
    <mergeCell ref="E551:F551"/>
    <mergeCell ref="E552:F552"/>
    <mergeCell ref="E553:F553"/>
    <mergeCell ref="E554:F554"/>
    <mergeCell ref="E555:F555"/>
    <mergeCell ref="E556:F556"/>
    <mergeCell ref="E557:F557"/>
    <mergeCell ref="E558:F558"/>
    <mergeCell ref="E572:F572"/>
    <mergeCell ref="E573:F573"/>
    <mergeCell ref="E574:F574"/>
    <mergeCell ref="C599:E599"/>
    <mergeCell ref="E561:F561"/>
    <mergeCell ref="E562:F562"/>
    <mergeCell ref="E563:F563"/>
    <mergeCell ref="E564:F564"/>
    <mergeCell ref="E565:F565"/>
    <mergeCell ref="E566:F566"/>
    <mergeCell ref="E567:F567"/>
    <mergeCell ref="E568:F568"/>
    <mergeCell ref="E569:F569"/>
    <mergeCell ref="E570:F570"/>
    <mergeCell ref="E571:F571"/>
    <mergeCell ref="C598:E598"/>
    <mergeCell ref="E535:F535"/>
    <mergeCell ref="E549:F549"/>
    <mergeCell ref="C596:E596"/>
    <mergeCell ref="C597:E597"/>
    <mergeCell ref="E536:F536"/>
    <mergeCell ref="E537:F537"/>
    <mergeCell ref="E538:F538"/>
    <mergeCell ref="E539:F539"/>
    <mergeCell ref="E540:F540"/>
    <mergeCell ref="C601:E601"/>
    <mergeCell ref="E523:F523"/>
    <mergeCell ref="E545:F545"/>
    <mergeCell ref="E546:F546"/>
    <mergeCell ref="E547:F547"/>
    <mergeCell ref="E548:F548"/>
    <mergeCell ref="E529:F529"/>
    <mergeCell ref="E541:F541"/>
    <mergeCell ref="E542:F542"/>
    <mergeCell ref="E543:F543"/>
    <mergeCell ref="E544:F544"/>
    <mergeCell ref="E532:F532"/>
    <mergeCell ref="E533:F533"/>
    <mergeCell ref="E530:F530"/>
    <mergeCell ref="E531:F531"/>
    <mergeCell ref="E534:F534"/>
  </mergeCells>
  <conditionalFormatting sqref="B16:H87">
    <cfRule type="expression" dxfId="165" priority="10">
      <formula>$B16=$B$6</formula>
    </cfRule>
  </conditionalFormatting>
  <conditionalFormatting sqref="B88:H88 B89:G101 B102:H102 B103:G103 B104:H104 B105:G105 B106:H515">
    <cfRule type="expression" dxfId="164" priority="18">
      <formula>$B88=$B$6</formula>
    </cfRule>
  </conditionalFormatting>
  <conditionalFormatting sqref="D88:G515">
    <cfRule type="cellIs" dxfId="163" priority="20" operator="equal">
      <formula>0</formula>
    </cfRule>
  </conditionalFormatting>
  <conditionalFormatting sqref="H16:H87">
    <cfRule type="cellIs" dxfId="162" priority="9" operator="equal">
      <formula>0</formula>
    </cfRule>
  </conditionalFormatting>
  <conditionalFormatting sqref="H89:H101">
    <cfRule type="cellIs" dxfId="161" priority="5" operator="equal">
      <formula>0</formula>
    </cfRule>
    <cfRule type="expression" dxfId="160" priority="6">
      <formula>$B89=$B$6</formula>
    </cfRule>
  </conditionalFormatting>
  <conditionalFormatting sqref="H103">
    <cfRule type="cellIs" dxfId="159" priority="3" operator="equal">
      <formula>0</formula>
    </cfRule>
    <cfRule type="expression" dxfId="158" priority="4">
      <formula>$B103=$B$6</formula>
    </cfRule>
  </conditionalFormatting>
  <conditionalFormatting sqref="H105">
    <cfRule type="cellIs" dxfId="157" priority="1" operator="equal">
      <formula>0</formula>
    </cfRule>
    <cfRule type="expression" dxfId="156" priority="2">
      <formula>$B105=$B$6</formula>
    </cfRule>
  </conditionalFormatting>
  <conditionalFormatting sqref="J16:J516">
    <cfRule type="cellIs" dxfId="155" priority="19" operator="notEqual">
      <formula>0</formula>
    </cfRule>
  </conditionalFormatting>
  <conditionalFormatting sqref="T8:W8">
    <cfRule type="expression" dxfId="152" priority="21">
      <formula>T$8="Disponible ~ Available"</formula>
    </cfRule>
  </conditionalFormatting>
  <conditionalFormatting sqref="AB8:AU8 AZ8:BD8 BG8:BH8 BJ8:BN8">
    <cfRule type="expression" dxfId="151" priority="25">
      <formula>AB8="Disponible ~ Available"</formula>
    </cfRule>
  </conditionalFormatting>
  <conditionalFormatting sqref="BE8:BF8">
    <cfRule type="expression" dxfId="150" priority="22">
      <formula>BE8="Available (Rename) Disponible (Renommez)"</formula>
    </cfRule>
  </conditionalFormatting>
  <dataValidations count="6">
    <dataValidation type="list" allowBlank="1" showInputMessage="1" showErrorMessage="1" sqref="B88:B515" xr:uid="{00000000-0002-0000-0100-000000000000}">
      <formula1>$B$5:$B$6</formula1>
      <formula2>0</formula2>
    </dataValidation>
    <dataValidation type="date" operator="greaterThan" allowBlank="1" showInputMessage="1" showErrorMessage="1" errorTitle="Error / Erreur !" error=" Wrong Date Format / Mauvais format de date" sqref="E88:E515" xr:uid="{00000000-0002-0000-0100-000002000000}">
      <formula1>42917</formula1>
      <formula2>0</formula2>
    </dataValidation>
    <dataValidation type="list" allowBlank="1" showInputMessage="1" showErrorMessage="1" sqref="C16:C515" xr:uid="{00000000-0002-0000-0100-000003000000}">
      <formula1>$B$595:$B$601</formula1>
    </dataValidation>
    <dataValidation type="date" operator="greaterThan" allowBlank="1" showInputMessage="1" showErrorMessage="1" errorTitle="Error / Erreur !" error=" Wrong Date Format / Mauvais format de date" sqref="E16:E87" xr:uid="{D7FC6FC6-30F5-4689-A91D-24611932A33A}">
      <formula1>42917</formula1>
    </dataValidation>
    <dataValidation type="list" allowBlank="1" showInputMessage="1" showErrorMessage="1" sqref="B16:B87" xr:uid="{33017CE8-3E67-4259-9F30-A05C21D22C82}">
      <formula1>$B$5:$B$6</formula1>
    </dataValidation>
    <dataValidation type="list" allowBlank="1" showInputMessage="1" showErrorMessage="1" sqref="H16:H515" xr:uid="{B46A075A-81A2-4B93-AA44-BF8287B4BD88}">
      <formula1>$O$523:$O$567</formula1>
    </dataValidation>
  </dataValidations>
  <pageMargins left="0.15763888888888899" right="0.15763888888888899" top="1.1812499999999999" bottom="0.61041666666666705" header="0.95" footer="0.390277777777778"/>
  <pageSetup paperSize="3" scale="82" orientation="landscape" horizontalDpi="300" verticalDpi="300" r:id="rId1"/>
  <headerFooter>
    <oddHeader>&amp;C&amp;16</oddHeader>
    <oddFooter>&amp;R&amp;D</oddFooter>
  </headerFooter>
  <colBreaks count="3" manualBreakCount="3">
    <brk id="30" max="1048575" man="1"/>
    <brk id="48" max="1048575" man="1"/>
    <brk id="68"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5" id="{331FC409-4B5D-4977-A73F-776A2484AD91}">
            <xm:f>'Set up ~ Config'!$K$47="N"</xm:f>
            <x14:dxf>
              <font>
                <color theme="1"/>
              </font>
              <fill>
                <patternFill>
                  <bgColor theme="0" tint="-0.14996795556505021"/>
                </patternFill>
              </fill>
            </x14:dxf>
          </x14:cfRule>
          <xm:sqref>K16:K516</xm:sqref>
        </x14:conditionalFormatting>
        <x14:conditionalFormatting xmlns:xm="http://schemas.microsoft.com/office/excel/2006/main">
          <x14:cfRule type="expression" priority="16" id="{5ABA1C54-B054-415D-A941-07E6BCE96763}">
            <xm:f>'Set up ~ Config'!$K$47="Y"</xm:f>
            <x14:dxf>
              <font>
                <color theme="1"/>
              </font>
              <fill>
                <patternFill>
                  <bgColor theme="0" tint="-0.14996795556505021"/>
                </patternFill>
              </fill>
            </x14:dxf>
          </x14:cfRule>
          <xm:sqref>L16:M516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ANG579"/>
  <sheetViews>
    <sheetView showGridLines="0" showZeros="0" zoomScale="85" zoomScaleNormal="85" workbookViewId="0">
      <pane xSplit="10" ySplit="15" topLeftCell="K16" activePane="bottomRight" state="frozen"/>
      <selection pane="topRight" activeCell="CG1" sqref="CG1"/>
      <selection pane="bottomLeft" activeCell="A16" sqref="A16"/>
      <selection pane="bottomRight" activeCell="F16" sqref="F16"/>
    </sheetView>
  </sheetViews>
  <sheetFormatPr baseColWidth="10" defaultColWidth="11.5" defaultRowHeight="13" x14ac:dyDescent="0.15"/>
  <cols>
    <col min="1" max="1" width="3.6640625" style="26" customWidth="1"/>
    <col min="2" max="2" width="4.1640625" style="19" customWidth="1"/>
    <col min="3" max="3" width="7" style="19" customWidth="1"/>
    <col min="4" max="4" width="14.1640625" style="12" customWidth="1"/>
    <col min="5" max="5" width="14.83203125" style="19" customWidth="1"/>
    <col min="6" max="6" width="57.5" style="12" customWidth="1"/>
    <col min="7" max="7" width="17.5" style="12" customWidth="1"/>
    <col min="8" max="8" width="27.5" style="12" customWidth="1"/>
    <col min="9" max="9" width="18.1640625" style="12" hidden="1" customWidth="1"/>
    <col min="10" max="10" width="15.5" style="12" customWidth="1"/>
    <col min="11" max="13" width="12.1640625" style="12" customWidth="1"/>
    <col min="14" max="14" width="18.1640625" style="12" hidden="1" customWidth="1"/>
    <col min="15" max="15" width="22.83203125" style="12" hidden="1" customWidth="1"/>
    <col min="16" max="16" width="13" style="12" customWidth="1"/>
    <col min="17" max="117" width="13.6640625" style="12" customWidth="1"/>
    <col min="118" max="118" width="10.33203125" style="12" hidden="1" customWidth="1"/>
    <col min="119" max="119" width="16.5" style="1" customWidth="1"/>
    <col min="120" max="120" width="6.83203125" style="1" hidden="1" customWidth="1"/>
    <col min="121" max="121" width="25.6640625" style="1" customWidth="1"/>
    <col min="122" max="122" width="28.5" style="1" customWidth="1"/>
    <col min="123" max="321" width="9.1640625" style="1" customWidth="1"/>
    <col min="322" max="1047" width="11.5" style="1"/>
  </cols>
  <sheetData>
    <row r="1" spans="1:127" ht="33.75" customHeight="1" x14ac:dyDescent="0.25">
      <c r="B1" s="1440" t="str">
        <f>IF(D4=2, "Journal des dépenses","Expenses Journal")</f>
        <v>Expenses Journal</v>
      </c>
      <c r="C1" s="1440"/>
      <c r="D1" s="1440"/>
      <c r="E1" s="1440"/>
      <c r="F1" s="1440"/>
      <c r="G1" s="1440"/>
      <c r="H1" s="1440"/>
      <c r="I1" s="1440"/>
      <c r="J1" s="1440"/>
      <c r="K1" s="600"/>
      <c r="L1" s="600"/>
      <c r="M1" s="600"/>
      <c r="N1" s="600"/>
      <c r="O1" s="600"/>
      <c r="P1" s="600"/>
      <c r="Q1" s="21">
        <v>1</v>
      </c>
      <c r="T1" s="21"/>
      <c r="U1" s="21">
        <v>1</v>
      </c>
    </row>
    <row r="2" spans="1:127" ht="33.75" customHeight="1" x14ac:dyDescent="0.15">
      <c r="B2" s="1506" t="str">
        <f>'Set up ~ Config'!B2:J2</f>
        <v xml:space="preserve">SSC </v>
      </c>
      <c r="C2" s="1506"/>
      <c r="D2" s="1506"/>
      <c r="E2" s="1506"/>
      <c r="F2" s="1506"/>
      <c r="G2" s="1506"/>
      <c r="H2" s="1506"/>
      <c r="I2" s="1506"/>
      <c r="J2" s="1506"/>
      <c r="K2" s="601"/>
      <c r="L2" s="601"/>
      <c r="M2" s="601"/>
      <c r="N2" s="601"/>
      <c r="O2" s="601"/>
      <c r="P2" s="610"/>
      <c r="DN2" s="20" t="s">
        <v>38</v>
      </c>
      <c r="DP2" s="20" t="s">
        <v>38</v>
      </c>
    </row>
    <row r="3" spans="1:127" ht="27.75" customHeight="1" thickBot="1" x14ac:dyDescent="0.2">
      <c r="B3" s="1496" t="e">
        <f>'Jrnl Rev'!B3:J3</f>
        <v>#VALUE!</v>
      </c>
      <c r="C3" s="1496"/>
      <c r="D3" s="1496"/>
      <c r="E3" s="1496"/>
      <c r="F3" s="1496"/>
      <c r="G3" s="1496"/>
      <c r="H3" s="1496"/>
      <c r="I3" s="1496"/>
      <c r="J3" s="1496"/>
      <c r="K3" s="611"/>
      <c r="L3" s="611"/>
      <c r="M3" s="611"/>
      <c r="N3" s="611"/>
      <c r="O3" s="611"/>
      <c r="P3" s="612"/>
      <c r="Q3" s="613"/>
      <c r="R3" s="613"/>
      <c r="S3" s="613"/>
      <c r="T3" s="613"/>
      <c r="U3" s="613"/>
      <c r="V3" s="613"/>
      <c r="W3" s="613"/>
      <c r="X3" s="613"/>
      <c r="Y3" s="613"/>
      <c r="Z3" s="613"/>
      <c r="AA3" s="614"/>
      <c r="AB3" s="614"/>
      <c r="AC3" s="614"/>
      <c r="AD3" s="614"/>
      <c r="AE3" s="614"/>
      <c r="AF3" s="614"/>
      <c r="AG3" s="614"/>
      <c r="AH3" s="614"/>
      <c r="AI3" s="614"/>
      <c r="AJ3" s="614"/>
      <c r="AK3" s="614"/>
      <c r="AL3" s="614"/>
      <c r="AM3" s="614"/>
      <c r="AN3" s="614"/>
      <c r="AO3" s="614"/>
      <c r="AP3" s="614"/>
      <c r="AQ3" s="615"/>
      <c r="AR3" s="615"/>
      <c r="AS3" s="615"/>
      <c r="AT3" s="615"/>
      <c r="AU3" s="615"/>
      <c r="AV3" s="615"/>
      <c r="AW3" s="615"/>
      <c r="AX3" s="615"/>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N3" s="20" t="s">
        <v>39</v>
      </c>
      <c r="DP3" s="20" t="s">
        <v>39</v>
      </c>
    </row>
    <row r="4" spans="1:127" ht="24" customHeight="1" thickTop="1" thickBot="1" x14ac:dyDescent="0.2">
      <c r="B4" s="616">
        <f>'ACC9 (Page 7-8) Bal Sh~Bilan'!Q80</f>
        <v>0</v>
      </c>
      <c r="C4" s="616"/>
      <c r="D4" s="21">
        <f>'Set up ~ Config'!L10</f>
        <v>1</v>
      </c>
      <c r="E4" s="617"/>
      <c r="F4" s="1485" t="str">
        <f>IF($D$4=2,"Ajoutez des catégories additionnelles dans les cellules disponibles de ce journal. Assurez-vous de respecter les catégories. Les sous-comptes doivent correspondre au compte affilié. Elles seront reportées automatiquement aux autres onglets.","Add accounts of your own in available cells on this page. Ensure to respect the categories. The Sub-Accounts must correspond with their affiliated account. They will replicate to all other tabs.")</f>
        <v>Add accounts of your own in available cells on this page. Ensure to respect the categories. The Sub-Accounts must correspond with their affiliated account. They will replicate to all other tabs.</v>
      </c>
      <c r="G4" s="1486"/>
      <c r="H4" s="618"/>
      <c r="I4" s="618"/>
      <c r="J4" s="618"/>
      <c r="K4" s="618"/>
      <c r="P4" s="1488">
        <v>5000</v>
      </c>
      <c r="Q4" s="1488"/>
      <c r="R4" s="1488"/>
      <c r="S4" s="1488"/>
      <c r="T4" s="1488"/>
      <c r="U4" s="1488"/>
      <c r="V4" s="1488"/>
      <c r="W4" s="1488"/>
      <c r="X4" s="1488"/>
      <c r="Y4" s="1488"/>
      <c r="Z4" s="1488"/>
      <c r="AA4" s="1488"/>
      <c r="AB4" s="1488"/>
      <c r="AC4" s="1488"/>
      <c r="AD4" s="1488"/>
      <c r="AE4" s="1488"/>
      <c r="AF4" s="1488"/>
      <c r="AG4" s="1488"/>
      <c r="AH4" s="1488"/>
      <c r="AI4" s="1488"/>
      <c r="AJ4" s="1488"/>
      <c r="AK4" s="1488"/>
      <c r="AL4" s="1488"/>
      <c r="AM4" s="1488"/>
      <c r="AN4" s="1488"/>
      <c r="AO4" s="1488"/>
      <c r="AP4" s="1503">
        <v>5300</v>
      </c>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5"/>
      <c r="BM4" s="1503">
        <v>5400</v>
      </c>
      <c r="BN4" s="1504"/>
      <c r="BO4" s="1504"/>
      <c r="BP4" s="1504"/>
      <c r="BQ4" s="1504"/>
      <c r="BR4" s="1504"/>
      <c r="BS4" s="1504"/>
      <c r="BT4" s="1504"/>
      <c r="BU4" s="1504"/>
      <c r="BV4" s="1505"/>
      <c r="BW4" s="1503">
        <v>5500</v>
      </c>
      <c r="BX4" s="1504"/>
      <c r="BY4" s="1504"/>
      <c r="BZ4" s="1504"/>
      <c r="CA4" s="1504"/>
      <c r="CB4" s="1504"/>
      <c r="CC4" s="1504"/>
      <c r="CD4" s="1504"/>
      <c r="CE4" s="1504"/>
      <c r="CF4" s="1504"/>
      <c r="CG4" s="1504"/>
      <c r="CH4" s="1504"/>
      <c r="CI4" s="1504"/>
      <c r="CJ4" s="1504"/>
      <c r="CK4" s="1504"/>
      <c r="CL4" s="1505"/>
      <c r="CM4" s="1488">
        <v>5600</v>
      </c>
      <c r="CN4" s="1488"/>
      <c r="CO4" s="1488"/>
      <c r="CP4" s="1488"/>
      <c r="CQ4" s="1488"/>
      <c r="CR4" s="1488"/>
      <c r="CS4" s="1488"/>
      <c r="CT4" s="1488"/>
      <c r="CU4" s="1488"/>
      <c r="CV4" s="1488">
        <v>5700</v>
      </c>
      <c r="CW4" s="1488"/>
      <c r="CX4" s="1488"/>
      <c r="CY4" s="1488"/>
      <c r="CZ4" s="1488"/>
      <c r="DA4" s="1488"/>
      <c r="DB4" s="1488"/>
      <c r="DC4" s="1488"/>
      <c r="DD4" s="1488"/>
      <c r="DE4" s="1488">
        <v>5800</v>
      </c>
      <c r="DF4" s="1488"/>
      <c r="DG4" s="1488"/>
      <c r="DH4" s="1488"/>
      <c r="DI4" s="1488"/>
      <c r="DJ4" s="1488"/>
      <c r="DK4" s="1488"/>
      <c r="DL4" s="1488"/>
      <c r="DM4" s="619"/>
      <c r="DN4" s="1"/>
    </row>
    <row r="5" spans="1:127" ht="37.5" customHeight="1" thickTop="1" thickBot="1" x14ac:dyDescent="0.25">
      <c r="D5" s="620"/>
      <c r="E5" s="621"/>
      <c r="F5" s="1485"/>
      <c r="G5" s="1487"/>
      <c r="H5" s="18"/>
      <c r="I5" s="18"/>
      <c r="J5" s="18"/>
      <c r="K5" s="1493" t="str">
        <f>IF(D4=2,"Si des taxes sont payés, inscrivez-les ici.","If taxes are paid, enter them here.")</f>
        <v>If taxes are paid, enter them here.</v>
      </c>
      <c r="L5" s="1493"/>
      <c r="M5" s="1493"/>
      <c r="N5" s="18"/>
      <c r="O5" s="18"/>
      <c r="P5" s="1489" t="str">
        <f>IF(D4=2,"Frais administratifs et d'exploitation","Administrative &amp; Operating Expenses")</f>
        <v>Administrative &amp; Operating Expenses</v>
      </c>
      <c r="Q5" s="1489"/>
      <c r="R5" s="1489"/>
      <c r="S5" s="1489"/>
      <c r="T5" s="1489"/>
      <c r="U5" s="1489"/>
      <c r="V5" s="1489"/>
      <c r="W5" s="1489"/>
      <c r="X5" s="1489"/>
      <c r="Y5" s="1489"/>
      <c r="Z5" s="1489"/>
      <c r="AA5" s="1489"/>
      <c r="AB5" s="1489"/>
      <c r="AC5" s="1489"/>
      <c r="AD5" s="1489"/>
      <c r="AE5" s="1489"/>
      <c r="AF5" s="1489"/>
      <c r="AG5" s="1489"/>
      <c r="AH5" s="1489"/>
      <c r="AI5" s="1489"/>
      <c r="AJ5" s="1489"/>
      <c r="AK5" s="1489"/>
      <c r="AL5" s="1489"/>
      <c r="AM5" s="1489"/>
      <c r="AN5" s="1489"/>
      <c r="AO5" s="1489"/>
      <c r="AP5" s="1497" t="str">
        <f>IF(D4=2,"Déboursés - Formation/Activités obligatoires appuyées par MDN","DND Supported Mandatory Trg/Activities Expenses")</f>
        <v>DND Supported Mandatory Trg/Activities Expenses</v>
      </c>
      <c r="AQ5" s="1498"/>
      <c r="AR5" s="1498"/>
      <c r="AS5" s="1498"/>
      <c r="AT5" s="1498"/>
      <c r="AU5" s="1498"/>
      <c r="AV5" s="1498"/>
      <c r="AW5" s="1498"/>
      <c r="AX5" s="1498"/>
      <c r="AY5" s="1498"/>
      <c r="AZ5" s="1498"/>
      <c r="BA5" s="1498"/>
      <c r="BB5" s="1498"/>
      <c r="BC5" s="1498"/>
      <c r="BD5" s="1498"/>
      <c r="BE5" s="1498"/>
      <c r="BF5" s="1498"/>
      <c r="BG5" s="1498"/>
      <c r="BH5" s="1498"/>
      <c r="BI5" s="1498"/>
      <c r="BJ5" s="1498"/>
      <c r="BK5" s="1498"/>
      <c r="BL5" s="1499"/>
      <c r="BM5" s="1497" t="str">
        <f>IF(D4=2,"Déboursés - Formation/Activités optionnelles appuyées par MDN","DND Supported Optional Trg/Activities Expenses")</f>
        <v>DND Supported Optional Trg/Activities Expenses</v>
      </c>
      <c r="BN5" s="1498"/>
      <c r="BO5" s="1498"/>
      <c r="BP5" s="1498"/>
      <c r="BQ5" s="1498"/>
      <c r="BR5" s="1498"/>
      <c r="BS5" s="1498"/>
      <c r="BT5" s="1498"/>
      <c r="BU5" s="1498"/>
      <c r="BV5" s="1499"/>
      <c r="BW5" s="1497" t="str">
        <f>IF(D4=2,"Déboursés - Formation/Activités non-appuyées par MDN","DND Non-Supported Trg/Activities Expenses")</f>
        <v>DND Non-Supported Trg/Activities Expenses</v>
      </c>
      <c r="BX5" s="1498"/>
      <c r="BY5" s="1498"/>
      <c r="BZ5" s="1498"/>
      <c r="CA5" s="1498"/>
      <c r="CB5" s="1498"/>
      <c r="CC5" s="1498"/>
      <c r="CD5" s="1498"/>
      <c r="CE5" s="1498"/>
      <c r="CF5" s="1498"/>
      <c r="CG5" s="1498"/>
      <c r="CH5" s="1498"/>
      <c r="CI5" s="1498"/>
      <c r="CJ5" s="1498"/>
      <c r="CK5" s="1498"/>
      <c r="CL5" s="1499"/>
      <c r="CM5" s="1489" t="str">
        <f>IF(D4=2,"Déboursés - Levées de fonds-Jeux et loteries","Expenses - Gaming &amp; Lotteries Fundraising")</f>
        <v>Expenses - Gaming &amp; Lotteries Fundraising</v>
      </c>
      <c r="CN5" s="1489"/>
      <c r="CO5" s="1489"/>
      <c r="CP5" s="1489"/>
      <c r="CQ5" s="1489"/>
      <c r="CR5" s="1489"/>
      <c r="CS5" s="1489"/>
      <c r="CT5" s="1489"/>
      <c r="CU5" s="1489"/>
      <c r="CV5" s="1489" t="str">
        <f>IF(D4=2,"Déboursés - Autres levées de fonds","Expenses - Other Fundraising")</f>
        <v>Expenses - Other Fundraising</v>
      </c>
      <c r="CW5" s="1489"/>
      <c r="CX5" s="1489"/>
      <c r="CY5" s="1489"/>
      <c r="CZ5" s="1489"/>
      <c r="DA5" s="1489"/>
      <c r="DB5" s="1489"/>
      <c r="DC5" s="1489"/>
      <c r="DD5" s="1489"/>
      <c r="DE5" s="1489" t="str">
        <f>IF(D4=2,"Autres déboursés","Other Expenses")</f>
        <v>Other Expenses</v>
      </c>
      <c r="DF5" s="1489"/>
      <c r="DG5" s="1489"/>
      <c r="DH5" s="1489"/>
      <c r="DI5" s="1489"/>
      <c r="DJ5" s="1489"/>
      <c r="DK5" s="1489"/>
      <c r="DL5" s="1489"/>
      <c r="DN5" s="1"/>
      <c r="DR5" s="21"/>
    </row>
    <row r="6" spans="1:127" ht="18.75" customHeight="1" thickTop="1" thickBot="1" x14ac:dyDescent="0.25">
      <c r="B6" s="622" t="s">
        <v>40</v>
      </c>
      <c r="C6" s="622"/>
      <c r="D6" s="620"/>
      <c r="E6" s="621"/>
      <c r="F6" s="1485"/>
      <c r="G6" s="1487"/>
      <c r="H6" s="20"/>
      <c r="I6" s="20"/>
      <c r="J6" s="20"/>
      <c r="K6" s="1493"/>
      <c r="L6" s="1493"/>
      <c r="M6" s="1493"/>
      <c r="N6" s="27"/>
      <c r="O6" s="27"/>
      <c r="P6" s="624">
        <v>5010</v>
      </c>
      <c r="Q6" s="625">
        <v>5020</v>
      </c>
      <c r="R6" s="625">
        <v>5030</v>
      </c>
      <c r="S6" s="625">
        <v>5040</v>
      </c>
      <c r="T6" s="625">
        <v>5050</v>
      </c>
      <c r="U6" s="625">
        <v>5060</v>
      </c>
      <c r="V6" s="625">
        <v>5070</v>
      </c>
      <c r="W6" s="625">
        <v>5080</v>
      </c>
      <c r="X6" s="625">
        <v>5090</v>
      </c>
      <c r="Y6" s="625">
        <v>5100</v>
      </c>
      <c r="Z6" s="625">
        <v>5110</v>
      </c>
      <c r="AA6" s="625">
        <v>5120</v>
      </c>
      <c r="AB6" s="625">
        <v>5130</v>
      </c>
      <c r="AC6" s="625">
        <v>5140</v>
      </c>
      <c r="AD6" s="625">
        <v>5150</v>
      </c>
      <c r="AE6" s="625">
        <v>5160</v>
      </c>
      <c r="AF6" s="625">
        <v>5170</v>
      </c>
      <c r="AG6" s="625">
        <v>5180</v>
      </c>
      <c r="AH6" s="630">
        <v>5185</v>
      </c>
      <c r="AI6" s="630">
        <v>5190</v>
      </c>
      <c r="AJ6" s="630">
        <v>5195</v>
      </c>
      <c r="AK6" s="630">
        <v>5200</v>
      </c>
      <c r="AL6" s="630">
        <v>5205</v>
      </c>
      <c r="AM6" s="630">
        <v>5210</v>
      </c>
      <c r="AN6" s="630">
        <v>5215</v>
      </c>
      <c r="AO6" s="626">
        <v>5220</v>
      </c>
      <c r="AP6" s="624">
        <v>5310</v>
      </c>
      <c r="AQ6" s="627">
        <v>5310.1</v>
      </c>
      <c r="AR6" s="627">
        <v>5310.2</v>
      </c>
      <c r="AS6" s="627">
        <v>5310.3</v>
      </c>
      <c r="AT6" s="628">
        <v>5310.4</v>
      </c>
      <c r="AU6" s="629">
        <v>5315</v>
      </c>
      <c r="AV6" s="627">
        <v>5315.1</v>
      </c>
      <c r="AW6" s="627">
        <v>5315.2</v>
      </c>
      <c r="AX6" s="627">
        <v>5315.3</v>
      </c>
      <c r="AY6" s="630">
        <v>5315.4</v>
      </c>
      <c r="AZ6" s="629">
        <v>5320</v>
      </c>
      <c r="BA6" s="625">
        <v>5325</v>
      </c>
      <c r="BB6" s="625">
        <v>5330</v>
      </c>
      <c r="BC6" s="625">
        <v>5335</v>
      </c>
      <c r="BD6" s="625">
        <v>5340</v>
      </c>
      <c r="BE6" s="625">
        <v>5345</v>
      </c>
      <c r="BF6" s="625">
        <v>5350</v>
      </c>
      <c r="BG6" s="625">
        <v>5355</v>
      </c>
      <c r="BH6" s="625">
        <v>5360</v>
      </c>
      <c r="BI6" s="631">
        <v>5365</v>
      </c>
      <c r="BJ6" s="631">
        <v>5370</v>
      </c>
      <c r="BK6" s="631">
        <v>5375</v>
      </c>
      <c r="BL6" s="631">
        <v>5380</v>
      </c>
      <c r="BM6" s="632">
        <v>5410</v>
      </c>
      <c r="BN6" s="631">
        <v>5415</v>
      </c>
      <c r="BO6" s="631">
        <v>5420</v>
      </c>
      <c r="BP6" s="631">
        <v>5425</v>
      </c>
      <c r="BQ6" s="631">
        <v>5430</v>
      </c>
      <c r="BR6" s="631">
        <v>5435</v>
      </c>
      <c r="BS6" s="631">
        <v>5440</v>
      </c>
      <c r="BT6" s="631">
        <v>5445</v>
      </c>
      <c r="BU6" s="631">
        <v>5450</v>
      </c>
      <c r="BV6" s="631">
        <v>5455</v>
      </c>
      <c r="BW6" s="632">
        <v>5510</v>
      </c>
      <c r="BX6" s="625">
        <v>5510.1</v>
      </c>
      <c r="BY6" s="625">
        <v>5510.2</v>
      </c>
      <c r="BZ6" s="625">
        <v>5510.3</v>
      </c>
      <c r="CA6" s="625">
        <v>5510.4</v>
      </c>
      <c r="CB6" s="625">
        <v>5510.5</v>
      </c>
      <c r="CC6" s="625">
        <v>5510.6</v>
      </c>
      <c r="CD6" s="633">
        <v>5510.7</v>
      </c>
      <c r="CE6" s="627">
        <v>5515</v>
      </c>
      <c r="CF6" s="625">
        <v>5520</v>
      </c>
      <c r="CG6" s="625">
        <v>5525</v>
      </c>
      <c r="CH6" s="625">
        <v>5530</v>
      </c>
      <c r="CI6" s="625">
        <v>5535</v>
      </c>
      <c r="CJ6" s="625">
        <v>5540</v>
      </c>
      <c r="CK6" s="625">
        <v>5545</v>
      </c>
      <c r="CL6" s="626">
        <v>5550</v>
      </c>
      <c r="CM6" s="627">
        <v>5610</v>
      </c>
      <c r="CN6" s="625">
        <v>5620</v>
      </c>
      <c r="CO6" s="625">
        <v>5630</v>
      </c>
      <c r="CP6" s="625">
        <v>5640</v>
      </c>
      <c r="CQ6" s="625">
        <v>5650</v>
      </c>
      <c r="CR6" s="625">
        <v>5660</v>
      </c>
      <c r="CS6" s="625">
        <v>5670</v>
      </c>
      <c r="CT6" s="625">
        <v>5680</v>
      </c>
      <c r="CU6" s="625">
        <v>5690</v>
      </c>
      <c r="CV6" s="624">
        <v>5710</v>
      </c>
      <c r="CW6" s="625">
        <v>5720</v>
      </c>
      <c r="CX6" s="625">
        <v>5730</v>
      </c>
      <c r="CY6" s="625">
        <v>5740</v>
      </c>
      <c r="CZ6" s="625">
        <v>5750</v>
      </c>
      <c r="DA6" s="625">
        <v>5760</v>
      </c>
      <c r="DB6" s="625">
        <v>5770</v>
      </c>
      <c r="DC6" s="625">
        <v>5780</v>
      </c>
      <c r="DD6" s="626">
        <v>5790</v>
      </c>
      <c r="DE6" s="624">
        <v>5810</v>
      </c>
      <c r="DF6" s="625">
        <v>5820</v>
      </c>
      <c r="DG6" s="625">
        <v>5830</v>
      </c>
      <c r="DH6" s="625">
        <v>5840</v>
      </c>
      <c r="DI6" s="625">
        <v>5850</v>
      </c>
      <c r="DJ6" s="625">
        <v>5860</v>
      </c>
      <c r="DK6" s="625">
        <v>5870</v>
      </c>
      <c r="DL6" s="626">
        <v>5880</v>
      </c>
      <c r="DM6" s="634"/>
      <c r="DN6" s="1"/>
      <c r="DR6" s="21"/>
    </row>
    <row r="7" spans="1:127" ht="12.75" customHeight="1" thickTop="1" thickBot="1" x14ac:dyDescent="0.25">
      <c r="D7" s="620"/>
      <c r="E7" s="635"/>
      <c r="F7" s="1485"/>
      <c r="G7" s="1487"/>
      <c r="H7" s="20"/>
      <c r="I7" s="20"/>
      <c r="J7" s="20"/>
      <c r="K7" s="1494"/>
      <c r="L7" s="1494"/>
      <c r="M7" s="1494"/>
      <c r="N7" s="27"/>
      <c r="O7" s="27"/>
      <c r="P7" s="636" t="s">
        <v>41</v>
      </c>
      <c r="Q7" s="637" t="s">
        <v>42</v>
      </c>
      <c r="R7" s="637" t="s">
        <v>43</v>
      </c>
      <c r="S7" s="637" t="s">
        <v>44</v>
      </c>
      <c r="T7" s="637" t="s">
        <v>45</v>
      </c>
      <c r="U7" s="637" t="s">
        <v>99</v>
      </c>
      <c r="V7" s="637" t="s">
        <v>47</v>
      </c>
      <c r="W7" s="637" t="s">
        <v>48</v>
      </c>
      <c r="X7" s="637" t="s">
        <v>49</v>
      </c>
      <c r="Y7" s="637" t="s">
        <v>100</v>
      </c>
      <c r="Z7" s="637" t="s">
        <v>101</v>
      </c>
      <c r="AA7" s="637" t="s">
        <v>102</v>
      </c>
      <c r="AB7" s="637" t="s">
        <v>103</v>
      </c>
      <c r="AC7" s="637" t="s">
        <v>104</v>
      </c>
      <c r="AD7" s="637" t="s">
        <v>105</v>
      </c>
      <c r="AE7" s="637" t="s">
        <v>106</v>
      </c>
      <c r="AF7" s="637" t="s">
        <v>107</v>
      </c>
      <c r="AG7" s="637" t="s">
        <v>108</v>
      </c>
      <c r="AH7" s="643" t="s">
        <v>109</v>
      </c>
      <c r="AI7" s="643" t="s">
        <v>508</v>
      </c>
      <c r="AJ7" s="643" t="s">
        <v>509</v>
      </c>
      <c r="AK7" s="643" t="s">
        <v>510</v>
      </c>
      <c r="AL7" s="643" t="s">
        <v>511</v>
      </c>
      <c r="AM7" s="643" t="s">
        <v>512</v>
      </c>
      <c r="AN7" s="643" t="s">
        <v>513</v>
      </c>
      <c r="AO7" s="638" t="s">
        <v>514</v>
      </c>
      <c r="AP7" s="636" t="s">
        <v>110</v>
      </c>
      <c r="AQ7" s="639"/>
      <c r="AR7" s="639"/>
      <c r="AS7" s="639"/>
      <c r="AT7" s="640"/>
      <c r="AU7" s="641" t="s">
        <v>111</v>
      </c>
      <c r="AV7" s="642"/>
      <c r="AW7" s="639"/>
      <c r="AX7" s="639"/>
      <c r="AY7" s="643"/>
      <c r="AZ7" s="644" t="s">
        <v>112</v>
      </c>
      <c r="BA7" s="637" t="s">
        <v>113</v>
      </c>
      <c r="BB7" s="637" t="s">
        <v>114</v>
      </c>
      <c r="BC7" s="637" t="s">
        <v>115</v>
      </c>
      <c r="BD7" s="637" t="s">
        <v>116</v>
      </c>
      <c r="BE7" s="637" t="s">
        <v>117</v>
      </c>
      <c r="BF7" s="637" t="s">
        <v>118</v>
      </c>
      <c r="BG7" s="637" t="s">
        <v>118</v>
      </c>
      <c r="BH7" s="637" t="s">
        <v>441</v>
      </c>
      <c r="BI7" s="645" t="s">
        <v>442</v>
      </c>
      <c r="BJ7" s="645" t="s">
        <v>443</v>
      </c>
      <c r="BK7" s="645" t="s">
        <v>444</v>
      </c>
      <c r="BL7" s="646" t="s">
        <v>445</v>
      </c>
      <c r="BM7" s="647" t="s">
        <v>59</v>
      </c>
      <c r="BN7" s="645" t="s">
        <v>60</v>
      </c>
      <c r="BO7" s="645" t="s">
        <v>61</v>
      </c>
      <c r="BP7" s="645" t="s">
        <v>62</v>
      </c>
      <c r="BQ7" s="648" t="s">
        <v>63</v>
      </c>
      <c r="BR7" s="645" t="s">
        <v>64</v>
      </c>
      <c r="BS7" s="645" t="s">
        <v>65</v>
      </c>
      <c r="BT7" s="645" t="s">
        <v>66</v>
      </c>
      <c r="BU7" s="645" t="s">
        <v>67</v>
      </c>
      <c r="BV7" s="646" t="s">
        <v>119</v>
      </c>
      <c r="BW7" s="636" t="s">
        <v>120</v>
      </c>
      <c r="BX7" s="637"/>
      <c r="BY7" s="637"/>
      <c r="BZ7" s="637"/>
      <c r="CA7" s="637"/>
      <c r="CB7" s="637"/>
      <c r="CC7" s="637"/>
      <c r="CD7" s="649"/>
      <c r="CE7" s="639" t="s">
        <v>121</v>
      </c>
      <c r="CF7" s="637" t="s">
        <v>122</v>
      </c>
      <c r="CG7" s="637" t="s">
        <v>123</v>
      </c>
      <c r="CH7" s="650" t="s">
        <v>124</v>
      </c>
      <c r="CI7" s="637" t="s">
        <v>125</v>
      </c>
      <c r="CJ7" s="637" t="s">
        <v>126</v>
      </c>
      <c r="CK7" s="637" t="s">
        <v>127</v>
      </c>
      <c r="CL7" s="638" t="s">
        <v>128</v>
      </c>
      <c r="CM7" s="636" t="s">
        <v>68</v>
      </c>
      <c r="CN7" s="637" t="s">
        <v>69</v>
      </c>
      <c r="CO7" s="637" t="s">
        <v>70</v>
      </c>
      <c r="CP7" s="637" t="s">
        <v>71</v>
      </c>
      <c r="CQ7" s="637" t="s">
        <v>72</v>
      </c>
      <c r="CR7" s="637" t="s">
        <v>73</v>
      </c>
      <c r="CS7" s="637" t="s">
        <v>74</v>
      </c>
      <c r="CT7" s="637" t="s">
        <v>75</v>
      </c>
      <c r="CU7" s="637" t="s">
        <v>76</v>
      </c>
      <c r="CV7" s="636" t="s">
        <v>446</v>
      </c>
      <c r="CW7" s="637" t="s">
        <v>447</v>
      </c>
      <c r="CX7" s="637" t="s">
        <v>448</v>
      </c>
      <c r="CY7" s="637" t="s">
        <v>449</v>
      </c>
      <c r="CZ7" s="637" t="s">
        <v>450</v>
      </c>
      <c r="DA7" s="637" t="s">
        <v>451</v>
      </c>
      <c r="DB7" s="637" t="s">
        <v>452</v>
      </c>
      <c r="DC7" s="637" t="s">
        <v>453</v>
      </c>
      <c r="DD7" s="637" t="s">
        <v>454</v>
      </c>
      <c r="DE7" s="636" t="s">
        <v>77</v>
      </c>
      <c r="DF7" s="637" t="s">
        <v>78</v>
      </c>
      <c r="DG7" s="637" t="s">
        <v>79</v>
      </c>
      <c r="DH7" s="637" t="s">
        <v>80</v>
      </c>
      <c r="DI7" s="637" t="s">
        <v>81</v>
      </c>
      <c r="DJ7" s="637" t="s">
        <v>82</v>
      </c>
      <c r="DK7" s="637" t="s">
        <v>83</v>
      </c>
      <c r="DL7" s="638" t="s">
        <v>84</v>
      </c>
      <c r="DM7" s="634"/>
      <c r="DN7" s="1"/>
      <c r="DR7" s="21"/>
    </row>
    <row r="8" spans="1:127" ht="60" customHeight="1" thickTop="1" thickBot="1" x14ac:dyDescent="0.2">
      <c r="B8" s="982" t="str">
        <f>IF(D4=2,"Réconcilié","Reconciled")</f>
        <v>Reconciled</v>
      </c>
      <c r="C8" s="983" t="str">
        <f>IF(D4=2,"Type Transaction","Transactions Type")</f>
        <v>Transactions Type</v>
      </c>
      <c r="D8" s="984" t="str">
        <f>IF(D4=2,"# de réf","Ref #")</f>
        <v>Ref #</v>
      </c>
      <c r="E8" s="984" t="str">
        <f>IF(D4=2,"Date
(aaaa-mm-jj)","Date
(yyyy-mm-dd)")</f>
        <v>Date
(yyyy-mm-dd)</v>
      </c>
      <c r="F8" s="985" t="str">
        <f>IF(D4=2,"Détails
Pour identifier un chèque annulé, inscrivez ''Chèque annulé''","Details
For identify a void cheque, write ''Void Cheque''")</f>
        <v>Details
For identify a void cheque, write ''Void Cheque''</v>
      </c>
      <c r="G8" s="986" t="str">
        <f>IF(D4=2,"Montants des déboursés","Amount of Disbursements")</f>
        <v>Amount of Disbursements</v>
      </c>
      <c r="H8" s="987" t="str">
        <f>IF(D4=2,"Compte","Account")</f>
        <v>Account</v>
      </c>
      <c r="I8" s="988" t="str">
        <f>IF(D4=2,"No. Compte","Account #")</f>
        <v>Account #</v>
      </c>
      <c r="J8" s="989" t="str">
        <f>IF(D4=2,"PREUVE DE RÉPARTITION dans les catégories - doit être 0$.","PROOF OF CATEGORY ALLOCATION - must be $0")</f>
        <v>PROOF OF CATEGORY ALLOCATION - must be $0</v>
      </c>
      <c r="K8" s="983" t="str">
        <f>IF(D4=2,"TVH","HST")</f>
        <v>HST</v>
      </c>
      <c r="L8" s="983" t="str">
        <f>IF(D4=2,"TPS","GST")</f>
        <v>GST</v>
      </c>
      <c r="M8" s="983" t="str">
        <f>IF(D4=2,"TVP/TVQ","PST/QST")</f>
        <v>PST/QST</v>
      </c>
      <c r="N8" s="990"/>
      <c r="O8" s="990" t="str">
        <f>IF(D4=2,"Remboursement par trimestre","Quarters Rebate")</f>
        <v>Quarters Rebate</v>
      </c>
      <c r="P8" s="991" t="str">
        <f>IF(D4=2,"Admin. et fournitures de bureau","Admin. &amp; Office supplies")</f>
        <v>Admin. &amp; Office supplies</v>
      </c>
      <c r="Q8" s="992" t="str">
        <f>IF(D4=2,"Équipement de bureau","Office Equipment")</f>
        <v>Office Equipment</v>
      </c>
      <c r="R8" s="992" t="str">
        <f>IF(D4=2,"Location locaux de l'esc.","Sqn Quarters Rental")</f>
        <v>Sqn Quarters Rental</v>
      </c>
      <c r="S8" s="992" t="str">
        <f>IF(D4=2,"Locaux d'esc. - Frais d'entretien, réparations, expansion, etc.","Maintenance, repairs, expansion")</f>
        <v>Maintenance, repairs, expansion</v>
      </c>
      <c r="T8" s="992" t="str">
        <f>IF(D4=2,"Électricité/Chauffage/Tél./Internet/Location de C.P.","Utilities,PO Box")</f>
        <v>Utilities,PO Box</v>
      </c>
      <c r="U8" s="992" t="str">
        <f>IF(D4=2,"Frais de réunions","Meeting costs")</f>
        <v>Meeting costs</v>
      </c>
      <c r="V8" s="992" t="str">
        <f>IF(D4=2,"Accoutrements Comité/Personnel","Committee staff Accoutrement and such")</f>
        <v>Committee staff Accoutrement and such</v>
      </c>
      <c r="W8" s="992" t="str">
        <f>IF(D4=2,"Publicité &amp; Recrutement","Advertising &amp; Recruiting")</f>
        <v>Advertising &amp; Recruiting</v>
      </c>
      <c r="X8" s="992" t="str">
        <f>IF(D4=2,"Contribution annuelle au Comité Provincial (CP)","Annual Provincial Committee Assessment")</f>
        <v>Annual Provincial Committee Assessment</v>
      </c>
      <c r="Y8" s="992" t="str">
        <f>IF(D4=2,"Frais de cotisation de Groupe, d'Escadre","Air Group, Air Wing Dues and such")</f>
        <v>Air Group, Air Wing Dues and such</v>
      </c>
      <c r="Z8" s="992" t="str">
        <f>IF(D4=2,"Frais bancaires et financiers","Financial &amp; Bank Charges")</f>
        <v>Financial &amp; Bank Charges</v>
      </c>
      <c r="AA8" s="992" t="str">
        <f>IF(D4=2,"Services professionnels","Professional Services")</f>
        <v>Professional Services</v>
      </c>
      <c r="AB8" s="992" t="str">
        <f>IF(D4=2,"Salaires des employés","Compensation for employees")</f>
        <v>Compensation for employees</v>
      </c>
      <c r="AC8" s="992" t="str">
        <f>IF(D4=2,"Assurances du matériel et des propriétés","Insurance for material and properties")</f>
        <v>Insurance for material and properties</v>
      </c>
      <c r="AD8" s="992" t="str">
        <f>IF(D4=2,"Frais de déplacement","Travel Expenses")</f>
        <v>Travel Expenses</v>
      </c>
      <c r="AE8" s="992" t="str">
        <f>IF(D4=2,"Frais de poste/Expédition","Postage/Shipping Costs")</f>
        <v>Postage/Shipping Costs</v>
      </c>
      <c r="AF8" s="992" t="str">
        <f>IF(D4=2,"Location de locaux autres que 5030","Facility Rental others than 5030")</f>
        <v>Facility Rental others than 5030</v>
      </c>
      <c r="AG8" s="854" t="s">
        <v>540</v>
      </c>
      <c r="AH8" s="854" t="s">
        <v>540</v>
      </c>
      <c r="AI8" s="854" t="s">
        <v>540</v>
      </c>
      <c r="AJ8" s="854" t="s">
        <v>540</v>
      </c>
      <c r="AK8" s="854" t="s">
        <v>540</v>
      </c>
      <c r="AL8" s="854" t="s">
        <v>540</v>
      </c>
      <c r="AM8" s="854" t="s">
        <v>540</v>
      </c>
      <c r="AN8" s="854" t="s">
        <v>540</v>
      </c>
      <c r="AO8" s="854" t="s">
        <v>540</v>
      </c>
      <c r="AP8" s="993" t="str">
        <f>IF(D4=2,"Formation en campagne/de terrain","Field Trg Ex (FTX)")</f>
        <v>Field Trg Ex (FTX)</v>
      </c>
      <c r="AQ8" s="855" t="s">
        <v>540</v>
      </c>
      <c r="AR8" s="855" t="s">
        <v>540</v>
      </c>
      <c r="AS8" s="855" t="s">
        <v>540</v>
      </c>
      <c r="AT8" s="856" t="s">
        <v>540</v>
      </c>
      <c r="AU8" s="994" t="str">
        <f>IF(D4=2,"Autres Formations","Other training")</f>
        <v>Other training</v>
      </c>
      <c r="AV8" s="855" t="s">
        <v>540</v>
      </c>
      <c r="AW8" s="855" t="s">
        <v>540</v>
      </c>
      <c r="AX8" s="855" t="s">
        <v>540</v>
      </c>
      <c r="AY8" s="856" t="s">
        <v>540</v>
      </c>
      <c r="AZ8" s="995" t="str">
        <f>IF(D4=2,"Équipement d'entraînement","Training Equipment")</f>
        <v>Training Equipment</v>
      </c>
      <c r="BA8" s="992" t="str">
        <f>IF(D4=2,"Activités sportives et d'éd. Physique","Sports &amp; Phys Ed Related Activities")</f>
        <v>Sports &amp; Phys Ed Related Activities</v>
      </c>
      <c r="BB8" s="992" t="str">
        <f>IF(D4=2,"Débours pour pgm de vol: motorisé et à voile","Flying and Gliding related outlays")</f>
        <v>Flying and Gliding related outlays</v>
      </c>
      <c r="BC8" s="992" t="str">
        <f>IF(D4=2,"Service communautaire","Community Service")</f>
        <v>Community Service</v>
      </c>
      <c r="BD8" s="992" t="str">
        <f>IF(D4=2,"Programme de tir","Shooting Pgm")</f>
        <v>Shooting Pgm</v>
      </c>
      <c r="BE8" s="992" t="str">
        <f>IF(D4=2,"Journée d'aviation","Aviation Day")</f>
        <v>Aviation Day</v>
      </c>
      <c r="BF8" s="992" t="str">
        <f>IF(D4=2,"Diner régimentaire","Mess Dinner")</f>
        <v>Mess Dinner</v>
      </c>
      <c r="BG8" s="992" t="str">
        <f>IF(D4=2,"Formation au sol","Ground School")</f>
        <v>Ground School</v>
      </c>
      <c r="BH8" s="854" t="s">
        <v>540</v>
      </c>
      <c r="BI8" s="854" t="s">
        <v>540</v>
      </c>
      <c r="BJ8" s="854" t="s">
        <v>540</v>
      </c>
      <c r="BK8" s="854" t="s">
        <v>540</v>
      </c>
      <c r="BL8" s="854" t="s">
        <v>540</v>
      </c>
      <c r="BM8" s="996" t="str">
        <f>IF(D4=2,"Fanfare","Band")</f>
        <v>Band</v>
      </c>
      <c r="BN8" s="997" t="str">
        <f>IF(D4=2,"Équipe - Exercice élémentaire","Drill Team")</f>
        <v>Drill Team</v>
      </c>
      <c r="BO8" s="997" t="str">
        <f>IF(D4=2,"Équipe de tir","Marksmanship")</f>
        <v>Marksmanship</v>
      </c>
      <c r="BP8" s="997" t="s">
        <v>478</v>
      </c>
      <c r="BQ8" s="997" t="str">
        <f>IF(D4=2,"Art oratoire","Effective Speaking")</f>
        <v>Effective Speaking</v>
      </c>
      <c r="BR8" s="854" t="s">
        <v>540</v>
      </c>
      <c r="BS8" s="854" t="s">
        <v>540</v>
      </c>
      <c r="BT8" s="854" t="s">
        <v>540</v>
      </c>
      <c r="BU8" s="854" t="s">
        <v>540</v>
      </c>
      <c r="BV8" s="854" t="s">
        <v>540</v>
      </c>
      <c r="BW8" s="998" t="str">
        <f>IF(D4=2,"Banquets pour cadets et autres activités spéciales","Cadet Banquets and Special Events")</f>
        <v>Cadet Banquets and Special Events</v>
      </c>
      <c r="BX8" s="855" t="s">
        <v>540</v>
      </c>
      <c r="BY8" s="855" t="s">
        <v>540</v>
      </c>
      <c r="BZ8" s="855" t="s">
        <v>540</v>
      </c>
      <c r="CA8" s="855" t="s">
        <v>540</v>
      </c>
      <c r="CB8" s="855" t="s">
        <v>540</v>
      </c>
      <c r="CC8" s="855" t="s">
        <v>540</v>
      </c>
      <c r="CD8" s="863" t="s">
        <v>540</v>
      </c>
      <c r="CE8" s="999" t="str">
        <f>IF(D4=2,"Cérémonial annuel","Annual Ceremonial Review")</f>
        <v>Annual Ceremonial Review</v>
      </c>
      <c r="CF8" s="997" t="str">
        <f>IF(D4=2,"Honneurs &amp; Récompenses","Honours &amp; Award")</f>
        <v>Honours &amp; Award</v>
      </c>
      <c r="CG8" s="997" t="str">
        <f>IF(D4=2,"Accoutrements pour cadet et cérémoniaux","Cadet &amp; Ceremonial Accoutrements")</f>
        <v>Cadet &amp; Ceremonial Accoutrements</v>
      </c>
      <c r="CH8" s="997" t="str">
        <f>IF(D4=2,"Bourses d'études et autres","Scholarship &amp; Bursaries")</f>
        <v>Scholarship &amp; Bursaries</v>
      </c>
      <c r="CI8" s="854" t="s">
        <v>540</v>
      </c>
      <c r="CJ8" s="854" t="s">
        <v>540</v>
      </c>
      <c r="CK8" s="854" t="s">
        <v>540</v>
      </c>
      <c r="CL8" s="854" t="s">
        <v>540</v>
      </c>
      <c r="CM8" s="854" t="s">
        <v>540</v>
      </c>
      <c r="CN8" s="854" t="s">
        <v>540</v>
      </c>
      <c r="CO8" s="854" t="s">
        <v>540</v>
      </c>
      <c r="CP8" s="854" t="s">
        <v>540</v>
      </c>
      <c r="CQ8" s="854" t="s">
        <v>540</v>
      </c>
      <c r="CR8" s="854" t="s">
        <v>540</v>
      </c>
      <c r="CS8" s="854" t="s">
        <v>540</v>
      </c>
      <c r="CT8" s="854" t="s">
        <v>540</v>
      </c>
      <c r="CU8" s="857" t="s">
        <v>540</v>
      </c>
      <c r="CV8" s="858" t="s">
        <v>540</v>
      </c>
      <c r="CW8" s="854" t="s">
        <v>540</v>
      </c>
      <c r="CX8" s="854" t="s">
        <v>540</v>
      </c>
      <c r="CY8" s="854" t="s">
        <v>540</v>
      </c>
      <c r="CZ8" s="854" t="s">
        <v>540</v>
      </c>
      <c r="DA8" s="854" t="s">
        <v>540</v>
      </c>
      <c r="DB8" s="854" t="s">
        <v>540</v>
      </c>
      <c r="DC8" s="854" t="s">
        <v>540</v>
      </c>
      <c r="DD8" s="854" t="s">
        <v>540</v>
      </c>
      <c r="DE8" s="991" t="str">
        <f>IF(D4=2,"Dons à d'autres org de charité","Donations to other Qualified Donnees")</f>
        <v>Donations to other Qualified Donnees</v>
      </c>
      <c r="DF8" s="997" t="str">
        <f>IF(D4=2,"Mauvaises créances","Bad Debts")</f>
        <v>Bad Debts</v>
      </c>
      <c r="DG8" s="997" t="str">
        <f>IF(D4=2,"Pertes en capital","Capital Losses")</f>
        <v>Capital Losses</v>
      </c>
      <c r="DH8" s="997" t="str">
        <f>IF(D4=2,"Vêtements et fournitures avec logo de l'escadron","Purchase of Sqn Logo Items")</f>
        <v>Purchase of Sqn Logo Items</v>
      </c>
      <c r="DI8" s="997" t="str">
        <f>IF(D4=2,"Achats pour cantine","Purchase for Canteen")</f>
        <v>Purchase for Canteen</v>
      </c>
      <c r="DJ8" s="992" t="str">
        <f>IF(D4=2,"Dépenses années antérieures","Expenses from previous years")</f>
        <v>Expenses from previous years</v>
      </c>
      <c r="DK8" s="854" t="s">
        <v>540</v>
      </c>
      <c r="DL8" s="1000" t="str">
        <f>IF(D4=2,"Autres dépenses (montant doit être raisonnable)","Other Expenses (Must not be Excessive)")</f>
        <v>Other Expenses (Must not be Excessive)</v>
      </c>
      <c r="DM8" s="1001" t="str">
        <f>IF(D4=2,"Transferts de compte à compte ou ajustements","Transfers between accounts or Adjustments")</f>
        <v>Transfers between accounts or Adjustments</v>
      </c>
      <c r="DN8" s="1"/>
      <c r="DO8" s="605"/>
      <c r="DR8" s="21"/>
    </row>
    <row r="9" spans="1:127" s="2" customFormat="1" ht="15.75" hidden="1" customHeight="1" thickTop="1" x14ac:dyDescent="0.15">
      <c r="A9" s="651"/>
      <c r="B9" s="652"/>
      <c r="C9" s="652"/>
      <c r="D9" s="653"/>
      <c r="E9" s="652"/>
      <c r="F9" s="653"/>
      <c r="G9" s="653"/>
      <c r="H9" s="653"/>
      <c r="I9" s="653"/>
      <c r="J9" s="653"/>
      <c r="K9" s="654"/>
      <c r="L9" s="653"/>
      <c r="M9" s="653"/>
      <c r="N9" s="653"/>
      <c r="O9" s="653"/>
      <c r="P9" s="652"/>
      <c r="Q9" s="653"/>
      <c r="R9" s="653"/>
      <c r="S9" s="653"/>
      <c r="T9" s="653"/>
      <c r="U9" s="653"/>
      <c r="V9" s="653"/>
      <c r="W9" s="655"/>
      <c r="X9" s="653"/>
      <c r="Y9" s="653"/>
      <c r="Z9" s="653"/>
      <c r="AA9" s="653"/>
      <c r="AB9" s="653"/>
      <c r="AC9" s="653"/>
      <c r="AD9" s="653"/>
      <c r="AE9" s="653"/>
      <c r="AF9" s="653"/>
      <c r="AG9" s="653"/>
      <c r="AH9" s="653"/>
      <c r="AI9" s="653"/>
      <c r="AJ9" s="653"/>
      <c r="AK9" s="653"/>
      <c r="AL9" s="653"/>
      <c r="AM9" s="653"/>
      <c r="AN9" s="653"/>
      <c r="AO9" s="653"/>
      <c r="AP9" s="653"/>
      <c r="AQ9" s="653"/>
      <c r="AR9" s="653"/>
      <c r="AS9" s="653"/>
      <c r="AT9" s="653"/>
      <c r="AU9" s="656"/>
      <c r="AV9" s="653"/>
      <c r="AW9" s="653"/>
      <c r="AX9" s="653"/>
      <c r="AY9" s="652"/>
      <c r="AZ9" s="656"/>
      <c r="BA9" s="652"/>
      <c r="BB9" s="653"/>
      <c r="BC9" s="653"/>
      <c r="BD9" s="653"/>
      <c r="BE9" s="653"/>
      <c r="BF9" s="652"/>
      <c r="BG9" s="653"/>
      <c r="BH9" s="655"/>
      <c r="BI9" s="655"/>
      <c r="BJ9" s="655"/>
      <c r="BK9" s="655"/>
      <c r="BL9" s="655"/>
      <c r="BM9" s="657"/>
      <c r="BN9" s="655"/>
      <c r="BO9" s="655"/>
      <c r="BP9" s="655"/>
      <c r="BQ9" s="655"/>
      <c r="BR9" s="655"/>
      <c r="BS9" s="655"/>
      <c r="BT9" s="655"/>
      <c r="BU9" s="655"/>
      <c r="BV9" s="655"/>
      <c r="BW9" s="658"/>
      <c r="BX9" s="653"/>
      <c r="BY9" s="653"/>
      <c r="BZ9" s="653"/>
      <c r="CA9" s="653"/>
      <c r="CB9" s="653"/>
      <c r="CC9" s="653"/>
      <c r="CD9" s="659"/>
      <c r="CE9" s="652"/>
      <c r="CF9" s="653"/>
      <c r="CG9" s="653"/>
      <c r="CH9" s="655"/>
      <c r="CI9" s="655"/>
      <c r="CJ9" s="653"/>
      <c r="CK9" s="653"/>
      <c r="CL9" s="653"/>
      <c r="CM9" s="653"/>
      <c r="CN9" s="653"/>
      <c r="CO9" s="653"/>
      <c r="CP9" s="653"/>
      <c r="CQ9" s="653"/>
      <c r="CR9" s="653"/>
      <c r="CS9" s="653"/>
      <c r="CT9" s="653"/>
      <c r="CU9" s="653"/>
      <c r="CV9" s="653"/>
      <c r="CW9" s="653"/>
      <c r="CX9" s="653"/>
      <c r="CY9" s="653"/>
      <c r="CZ9" s="653"/>
      <c r="DA9" s="653"/>
      <c r="DB9" s="653"/>
      <c r="DC9" s="653"/>
      <c r="DD9" s="653"/>
      <c r="DE9" s="655"/>
      <c r="DF9" s="653"/>
      <c r="DG9" s="653"/>
      <c r="DH9" s="660"/>
      <c r="DI9" s="653"/>
      <c r="DJ9" s="653"/>
      <c r="DK9" s="653"/>
      <c r="DL9" s="661"/>
      <c r="DM9" s="652"/>
      <c r="DN9" s="20"/>
    </row>
    <row r="10" spans="1:127" s="2" customFormat="1" ht="15.75" hidden="1" customHeight="1" x14ac:dyDescent="0.15">
      <c r="A10" s="651"/>
      <c r="B10" s="27"/>
      <c r="C10" s="27"/>
      <c r="D10" s="20"/>
      <c r="E10" s="27"/>
      <c r="F10" s="20"/>
      <c r="G10" s="20"/>
      <c r="H10" s="20"/>
      <c r="I10" s="20"/>
      <c r="J10" s="20"/>
      <c r="K10" s="662"/>
      <c r="L10" s="20"/>
      <c r="M10" s="20"/>
      <c r="N10" s="20"/>
      <c r="O10" s="20"/>
      <c r="P10" s="27"/>
      <c r="Q10" s="20"/>
      <c r="R10" s="20"/>
      <c r="S10" s="20"/>
      <c r="T10" s="20"/>
      <c r="U10" s="20"/>
      <c r="V10" s="20"/>
      <c r="X10" s="20"/>
      <c r="Y10" s="20"/>
      <c r="Z10" s="20"/>
      <c r="AA10" s="20"/>
      <c r="AB10" s="20"/>
      <c r="AC10" s="20"/>
      <c r="AD10" s="20"/>
      <c r="AE10" s="20"/>
      <c r="AF10" s="20"/>
      <c r="AG10" s="20"/>
      <c r="AH10" s="20"/>
      <c r="AI10" s="20"/>
      <c r="AJ10" s="20"/>
      <c r="AK10" s="20"/>
      <c r="AL10" s="20"/>
      <c r="AM10" s="20"/>
      <c r="AN10" s="20"/>
      <c r="AO10" s="20"/>
      <c r="AP10" s="20"/>
      <c r="AQ10" s="20"/>
      <c r="AR10" s="20"/>
      <c r="AS10" s="20"/>
      <c r="AU10" s="663"/>
      <c r="AW10" s="20"/>
      <c r="AX10" s="20"/>
      <c r="AY10" s="27"/>
      <c r="AZ10" s="623"/>
      <c r="BA10" s="27"/>
      <c r="BB10" s="20"/>
      <c r="BC10" s="20"/>
      <c r="BD10" s="20"/>
      <c r="BE10" s="20"/>
      <c r="BF10" s="27"/>
      <c r="BG10" s="20"/>
      <c r="BM10" s="664"/>
      <c r="BW10" s="665"/>
      <c r="BX10" s="20"/>
      <c r="BY10" s="20"/>
      <c r="BZ10" s="20"/>
      <c r="CA10" s="20"/>
      <c r="CB10" s="20"/>
      <c r="CC10" s="20"/>
      <c r="CD10" s="659"/>
      <c r="CE10" s="27"/>
      <c r="CF10" s="20"/>
      <c r="CG10" s="20"/>
      <c r="CJ10" s="20"/>
      <c r="CK10" s="20"/>
      <c r="CL10" s="20"/>
      <c r="CM10" s="20"/>
      <c r="CN10" s="20"/>
      <c r="CO10" s="20"/>
      <c r="CP10" s="20"/>
      <c r="CQ10" s="20"/>
      <c r="CR10" s="20"/>
      <c r="CS10" s="20"/>
      <c r="CT10" s="20"/>
      <c r="CU10" s="20"/>
      <c r="CV10" s="20"/>
      <c r="CW10" s="20"/>
      <c r="CX10" s="20"/>
      <c r="CY10" s="20"/>
      <c r="CZ10" s="20"/>
      <c r="DA10" s="20"/>
      <c r="DB10" s="20"/>
      <c r="DC10" s="20"/>
      <c r="DD10" s="20"/>
      <c r="DF10" s="20"/>
      <c r="DG10" s="20"/>
      <c r="DH10" s="666"/>
      <c r="DI10" s="20"/>
      <c r="DJ10" s="20"/>
      <c r="DK10" s="20"/>
      <c r="DL10" s="667"/>
      <c r="DM10" s="27"/>
      <c r="DN10" s="20"/>
    </row>
    <row r="11" spans="1:127" s="2" customFormat="1" ht="15.75" hidden="1" customHeight="1" x14ac:dyDescent="0.15">
      <c r="A11" s="651"/>
      <c r="B11" s="27"/>
      <c r="C11" s="27"/>
      <c r="D11" s="20"/>
      <c r="E11" s="27"/>
      <c r="F11" s="20"/>
      <c r="G11" s="20"/>
      <c r="H11" s="20"/>
      <c r="I11" s="20"/>
      <c r="J11" s="20"/>
      <c r="K11" s="668"/>
      <c r="L11" s="20"/>
      <c r="M11" s="20"/>
      <c r="N11" s="20"/>
      <c r="O11" s="20"/>
      <c r="P11" s="20"/>
      <c r="Q11" s="20"/>
      <c r="R11" s="20"/>
      <c r="S11" s="20"/>
      <c r="T11" s="20"/>
      <c r="U11" s="20"/>
      <c r="V11" s="20"/>
      <c r="Y11" s="20"/>
      <c r="Z11" s="20"/>
      <c r="AA11" s="20"/>
      <c r="AB11" s="20"/>
      <c r="AC11" s="20"/>
      <c r="AD11" s="20"/>
      <c r="AE11" s="20"/>
      <c r="AF11" s="20"/>
      <c r="AG11" s="20"/>
      <c r="AH11" s="20"/>
      <c r="AI11" s="20"/>
      <c r="AJ11" s="20"/>
      <c r="AK11" s="20"/>
      <c r="AL11" s="20"/>
      <c r="AM11" s="20"/>
      <c r="AN11" s="20"/>
      <c r="AO11" s="20"/>
      <c r="AP11" s="20"/>
      <c r="AQ11" s="20"/>
      <c r="AR11" s="20"/>
      <c r="AS11" s="20"/>
      <c r="AT11" s="20"/>
      <c r="AU11" s="623"/>
      <c r="AV11" s="20"/>
      <c r="AW11" s="20"/>
      <c r="AX11" s="20"/>
      <c r="AY11" s="20"/>
      <c r="AZ11" s="623"/>
      <c r="BA11" s="20"/>
      <c r="BB11" s="20"/>
      <c r="BC11" s="20"/>
      <c r="BD11" s="20"/>
      <c r="BE11" s="20"/>
      <c r="BF11" s="20"/>
      <c r="BG11" s="20"/>
      <c r="BH11" s="20"/>
      <c r="BI11" s="20"/>
      <c r="BJ11" s="20"/>
      <c r="BK11" s="20"/>
      <c r="BL11" s="20"/>
      <c r="BM11" s="665"/>
      <c r="BN11" s="20"/>
      <c r="BO11" s="20"/>
      <c r="BP11" s="20"/>
      <c r="BQ11" s="20"/>
      <c r="BR11" s="20"/>
      <c r="BS11" s="20"/>
      <c r="BT11" s="20"/>
      <c r="BU11" s="20"/>
      <c r="BV11" s="20"/>
      <c r="BW11" s="665"/>
      <c r="BX11" s="20"/>
      <c r="BY11" s="20"/>
      <c r="BZ11" s="20"/>
      <c r="CA11" s="20"/>
      <c r="CB11" s="20"/>
      <c r="CC11" s="20"/>
      <c r="CD11" s="659"/>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F11" s="20"/>
      <c r="DG11" s="20"/>
      <c r="DH11" s="20"/>
      <c r="DI11" s="20"/>
      <c r="DJ11" s="20"/>
      <c r="DK11" s="20"/>
      <c r="DL11" s="669"/>
      <c r="DM11" s="20"/>
      <c r="DN11" s="20"/>
    </row>
    <row r="12" spans="1:127" s="2" customFormat="1" ht="15.75" hidden="1" customHeight="1" x14ac:dyDescent="0.15">
      <c r="A12" s="651"/>
      <c r="B12" s="27"/>
      <c r="C12" s="27"/>
      <c r="D12" s="20"/>
      <c r="E12" s="27"/>
      <c r="F12" s="20"/>
      <c r="G12" s="20"/>
      <c r="H12" s="20"/>
      <c r="I12" s="20"/>
      <c r="J12" s="20"/>
      <c r="K12" s="668"/>
      <c r="L12" s="20"/>
      <c r="M12" s="20"/>
      <c r="N12" s="20"/>
      <c r="O12" s="20"/>
      <c r="P12" s="20"/>
      <c r="Q12" s="20"/>
      <c r="R12" s="20"/>
      <c r="S12" s="20"/>
      <c r="T12" s="20"/>
      <c r="U12" s="20"/>
      <c r="V12" s="20"/>
      <c r="Y12" s="20"/>
      <c r="Z12" s="20"/>
      <c r="AA12" s="20"/>
      <c r="AB12" s="20"/>
      <c r="AC12" s="20"/>
      <c r="AD12" s="20"/>
      <c r="AE12" s="20"/>
      <c r="AF12" s="20"/>
      <c r="AG12" s="20"/>
      <c r="AH12" s="20"/>
      <c r="AI12" s="20"/>
      <c r="AJ12" s="20"/>
      <c r="AK12" s="20"/>
      <c r="AL12" s="20"/>
      <c r="AM12" s="20"/>
      <c r="AN12" s="20"/>
      <c r="AO12" s="20"/>
      <c r="AP12" s="27"/>
      <c r="AQ12" s="20"/>
      <c r="AR12" s="20"/>
      <c r="AS12" s="20"/>
      <c r="AT12" s="20"/>
      <c r="AU12" s="623"/>
      <c r="AV12" s="20"/>
      <c r="AW12" s="20"/>
      <c r="AX12" s="20"/>
      <c r="AY12" s="20"/>
      <c r="AZ12" s="623"/>
      <c r="BA12" s="20"/>
      <c r="BB12" s="20"/>
      <c r="BC12" s="20"/>
      <c r="BD12" s="20"/>
      <c r="BE12" s="20"/>
      <c r="BF12" s="20"/>
      <c r="BG12" s="20"/>
      <c r="BH12" s="20"/>
      <c r="BI12" s="20"/>
      <c r="BJ12" s="20"/>
      <c r="BK12" s="20"/>
      <c r="BL12" s="20"/>
      <c r="BM12" s="665"/>
      <c r="BN12" s="20"/>
      <c r="BO12" s="20"/>
      <c r="BP12" s="20"/>
      <c r="BQ12" s="20"/>
      <c r="BR12" s="20"/>
      <c r="BS12" s="20"/>
      <c r="BT12" s="20"/>
      <c r="BU12" s="20"/>
      <c r="BV12" s="20"/>
      <c r="BW12" s="665"/>
      <c r="BX12" s="20"/>
      <c r="BY12" s="20"/>
      <c r="BZ12" s="20"/>
      <c r="CA12" s="20"/>
      <c r="CB12" s="20"/>
      <c r="CC12" s="20"/>
      <c r="CD12" s="659"/>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F12" s="20"/>
      <c r="DG12" s="20"/>
      <c r="DH12" s="20"/>
      <c r="DI12" s="20"/>
      <c r="DJ12" s="20"/>
      <c r="DK12" s="20"/>
      <c r="DL12" s="669"/>
      <c r="DM12" s="20"/>
      <c r="DN12" s="20"/>
    </row>
    <row r="13" spans="1:127" s="2" customFormat="1" ht="15.75" hidden="1" customHeight="1" x14ac:dyDescent="0.15">
      <c r="A13" s="651"/>
      <c r="B13" s="27"/>
      <c r="C13" s="27"/>
      <c r="D13" s="20"/>
      <c r="E13" s="27"/>
      <c r="F13" s="20"/>
      <c r="G13" s="20"/>
      <c r="H13" s="20"/>
      <c r="I13" s="20"/>
      <c r="J13" s="20"/>
      <c r="K13" s="668"/>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7"/>
      <c r="AQ13" s="20"/>
      <c r="AR13" s="20"/>
      <c r="AS13" s="20"/>
      <c r="AT13" s="20"/>
      <c r="AU13" s="623"/>
      <c r="AV13" s="20"/>
      <c r="AW13" s="20"/>
      <c r="AX13" s="20"/>
      <c r="AY13" s="20"/>
      <c r="AZ13" s="623"/>
      <c r="BA13" s="20"/>
      <c r="BB13" s="20"/>
      <c r="BC13" s="20"/>
      <c r="BD13" s="20"/>
      <c r="BE13" s="20"/>
      <c r="BF13" s="20"/>
      <c r="BG13" s="20"/>
      <c r="BM13" s="664"/>
      <c r="BW13" s="665"/>
      <c r="BX13" s="20"/>
      <c r="BY13" s="20"/>
      <c r="BZ13" s="20"/>
      <c r="CA13" s="20"/>
      <c r="CB13" s="20"/>
      <c r="CC13" s="20"/>
      <c r="CD13" s="659"/>
      <c r="CE13" s="20"/>
      <c r="CF13" s="20"/>
      <c r="CG13" s="20"/>
      <c r="CI13" s="20"/>
      <c r="CJ13" s="20"/>
      <c r="CK13" s="20"/>
      <c r="CL13" s="20"/>
      <c r="CM13" s="20"/>
      <c r="CN13" s="20"/>
      <c r="CO13" s="20"/>
      <c r="CP13" s="20"/>
      <c r="CQ13" s="20"/>
      <c r="CR13" s="20"/>
      <c r="CS13" s="20"/>
      <c r="CT13" s="20"/>
      <c r="CU13" s="20"/>
      <c r="CV13" s="20"/>
      <c r="CW13" s="20"/>
      <c r="CX13" s="20"/>
      <c r="CY13" s="20"/>
      <c r="CZ13" s="20"/>
      <c r="DA13" s="20"/>
      <c r="DB13" s="20"/>
      <c r="DC13" s="20"/>
      <c r="DD13" s="20"/>
      <c r="DF13" s="20"/>
      <c r="DG13" s="20"/>
      <c r="DH13" s="20"/>
      <c r="DI13" s="20"/>
      <c r="DJ13" s="20"/>
      <c r="DK13" s="20"/>
      <c r="DL13" s="670"/>
      <c r="DM13" s="20"/>
      <c r="DN13" s="20"/>
    </row>
    <row r="14" spans="1:127" s="2" customFormat="1" ht="27" hidden="1" customHeight="1" x14ac:dyDescent="0.15">
      <c r="A14" s="651"/>
      <c r="B14" s="27"/>
      <c r="C14" s="27"/>
      <c r="D14" s="20"/>
      <c r="E14" s="27"/>
      <c r="F14" s="20"/>
      <c r="G14" s="20"/>
      <c r="H14" s="20"/>
      <c r="I14" s="20"/>
      <c r="J14" s="20"/>
      <c r="K14" s="668"/>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623"/>
      <c r="AV14" s="20"/>
      <c r="AW14" s="20"/>
      <c r="AX14" s="20"/>
      <c r="AY14" s="20"/>
      <c r="AZ14" s="623"/>
      <c r="BA14" s="20"/>
      <c r="BB14" s="20"/>
      <c r="BC14" s="20"/>
      <c r="BD14" s="20"/>
      <c r="BE14" s="20"/>
      <c r="BF14" s="20"/>
      <c r="BG14" s="20"/>
      <c r="BM14" s="664"/>
      <c r="BW14" s="665"/>
      <c r="BX14" s="20"/>
      <c r="BY14" s="20"/>
      <c r="BZ14" s="20"/>
      <c r="CA14" s="20"/>
      <c r="CB14" s="20"/>
      <c r="CC14" s="20"/>
      <c r="CD14" s="659"/>
      <c r="CE14" s="20"/>
      <c r="CF14" s="20"/>
      <c r="CG14" s="20"/>
      <c r="CI14" s="20"/>
      <c r="CJ14" s="20"/>
      <c r="CK14" s="20"/>
      <c r="CL14" s="20"/>
      <c r="CM14" s="20"/>
      <c r="CN14" s="20"/>
      <c r="CO14" s="20"/>
      <c r="CP14" s="20"/>
      <c r="CQ14" s="20"/>
      <c r="CR14" s="20"/>
      <c r="CS14" s="20"/>
      <c r="CT14" s="20"/>
      <c r="CU14" s="20"/>
      <c r="CV14" s="20"/>
      <c r="CW14" s="20"/>
      <c r="CX14" s="20"/>
      <c r="CY14" s="20"/>
      <c r="CZ14" s="20"/>
      <c r="DA14" s="20"/>
      <c r="DB14" s="20"/>
      <c r="DC14" s="20"/>
      <c r="DD14" s="20"/>
      <c r="DF14" s="20"/>
      <c r="DG14" s="20"/>
      <c r="DH14" s="20"/>
      <c r="DI14" s="20"/>
      <c r="DJ14" s="20"/>
      <c r="DK14" s="20"/>
      <c r="DL14" s="670"/>
      <c r="DM14" s="20"/>
      <c r="DN14" s="20"/>
    </row>
    <row r="15" spans="1:127" s="651" customFormat="1" ht="15.75" hidden="1" customHeight="1" thickBot="1" x14ac:dyDescent="0.2">
      <c r="B15" s="27"/>
      <c r="C15" s="27"/>
      <c r="D15" s="27"/>
      <c r="E15" s="27"/>
      <c r="F15" s="27"/>
      <c r="G15" s="27"/>
      <c r="H15" s="27"/>
      <c r="I15" s="27"/>
      <c r="J15" s="27"/>
      <c r="K15" s="671"/>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672"/>
      <c r="AV15" s="27"/>
      <c r="AW15" s="27"/>
      <c r="AX15" s="27"/>
      <c r="AY15" s="27"/>
      <c r="AZ15" s="672"/>
      <c r="BA15" s="27"/>
      <c r="BB15" s="27"/>
      <c r="BC15" s="27"/>
      <c r="BD15" s="27"/>
      <c r="BE15" s="27"/>
      <c r="BF15" s="27"/>
      <c r="BG15" s="27"/>
      <c r="BM15" s="673"/>
      <c r="BW15" s="674"/>
      <c r="BX15" s="27"/>
      <c r="BY15" s="27"/>
      <c r="BZ15" s="27"/>
      <c r="CA15" s="27"/>
      <c r="CB15" s="27"/>
      <c r="CC15" s="27"/>
      <c r="CD15" s="675"/>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F15" s="27"/>
      <c r="DG15" s="27"/>
      <c r="DH15" s="27"/>
      <c r="DI15" s="27"/>
      <c r="DJ15" s="27"/>
      <c r="DK15" s="27"/>
      <c r="DL15" s="667"/>
      <c r="DM15" s="27"/>
      <c r="DN15" s="27"/>
    </row>
    <row r="16" spans="1:127" ht="25.5" customHeight="1" thickTop="1" thickBot="1" x14ac:dyDescent="0.2">
      <c r="A16" s="676">
        <f>$A8+1</f>
        <v>1</v>
      </c>
      <c r="B16" s="1051"/>
      <c r="C16" s="1051"/>
      <c r="D16" s="885"/>
      <c r="E16" s="955"/>
      <c r="F16" s="886"/>
      <c r="G16" s="887"/>
      <c r="H16" s="1056"/>
      <c r="I16" s="677" t="str">
        <f t="shared" ref="I16:I79" si="0">LEFT(H16,4)</f>
        <v/>
      </c>
      <c r="J16" s="678">
        <f t="shared" ref="J16:J79" si="1">G16-DN16</f>
        <v>0</v>
      </c>
      <c r="K16" s="1247"/>
      <c r="L16" s="1256"/>
      <c r="M16" s="1256"/>
      <c r="N16" s="719" t="str">
        <f>IF($E16="","",MONTH($E16))</f>
        <v/>
      </c>
      <c r="O16" s="720" t="str">
        <f>IF('Set up ~ Config'!$G$32=6,IF(OR($N16=7,$N16=8,$N16=9),1,IF(OR($N16=10,$N16=11,$N16=12),2,IF(OR($N16=1,$N16=2,$N16=3),3,IF(OR($N16=4,$N16=5,$N16=6),4,"")))),IF(OR($N16=9,$N16=10,$N16=11),1,IF(OR($N16=12,$N16=1,$N16=2),2,IF(OR($N16=3,$N16=4,$N16=5),3,IF(OR($N16=6,$N16=7,$N16=8),4,"")))))</f>
        <v/>
      </c>
      <c r="P16" s="84"/>
      <c r="Q16" s="85"/>
      <c r="R16" s="85"/>
      <c r="S16" s="85"/>
      <c r="T16" s="85"/>
      <c r="U16" s="85"/>
      <c r="V16" s="85"/>
      <c r="W16" s="85"/>
      <c r="X16" s="85"/>
      <c r="Y16" s="85"/>
      <c r="Z16" s="85"/>
      <c r="AA16" s="86"/>
      <c r="AB16" s="86"/>
      <c r="AC16" s="86"/>
      <c r="AD16" s="86"/>
      <c r="AE16" s="86"/>
      <c r="AF16" s="86"/>
      <c r="AG16" s="86"/>
      <c r="AH16" s="88"/>
      <c r="AI16" s="88"/>
      <c r="AJ16" s="88"/>
      <c r="AK16" s="88"/>
      <c r="AL16" s="88"/>
      <c r="AM16" s="88"/>
      <c r="AN16" s="88"/>
      <c r="AO16" s="87"/>
      <c r="AP16" s="679">
        <f>SUM(AQ16:AT16)</f>
        <v>0</v>
      </c>
      <c r="AQ16" s="86"/>
      <c r="AR16" s="86"/>
      <c r="AS16" s="86"/>
      <c r="AT16" s="88"/>
      <c r="AU16" s="680">
        <f>SUM(AV16:AY16)</f>
        <v>0</v>
      </c>
      <c r="AV16" s="86"/>
      <c r="AW16" s="86"/>
      <c r="AX16" s="86"/>
      <c r="AY16" s="88"/>
      <c r="AZ16" s="485"/>
      <c r="BA16" s="86"/>
      <c r="BB16" s="86"/>
      <c r="BC16" s="86"/>
      <c r="BD16" s="86"/>
      <c r="BE16" s="86"/>
      <c r="BF16" s="86"/>
      <c r="BG16" s="86"/>
      <c r="BH16" s="88"/>
      <c r="BI16" s="88"/>
      <c r="BJ16" s="88"/>
      <c r="BK16" s="88"/>
      <c r="BL16" s="88"/>
      <c r="BM16" s="482"/>
      <c r="BN16" s="88"/>
      <c r="BO16" s="88"/>
      <c r="BP16" s="88"/>
      <c r="BQ16" s="88"/>
      <c r="BR16" s="88"/>
      <c r="BS16" s="88"/>
      <c r="BT16" s="88"/>
      <c r="BU16" s="88"/>
      <c r="BV16" s="88"/>
      <c r="BW16" s="681">
        <f t="shared" ref="BW16:BW79" si="2">SUM(BX16:CD16)</f>
        <v>0</v>
      </c>
      <c r="BX16" s="86"/>
      <c r="BY16" s="86"/>
      <c r="BZ16" s="86"/>
      <c r="CA16" s="86"/>
      <c r="CB16" s="86"/>
      <c r="CC16" s="86"/>
      <c r="CD16" s="90"/>
      <c r="CE16" s="85"/>
      <c r="CF16" s="86"/>
      <c r="CG16" s="86"/>
      <c r="CH16" s="89"/>
      <c r="CI16" s="89"/>
      <c r="CJ16" s="86"/>
      <c r="CK16" s="86"/>
      <c r="CL16" s="87"/>
      <c r="CM16" s="84"/>
      <c r="CN16" s="86"/>
      <c r="CO16" s="86"/>
      <c r="CP16" s="86"/>
      <c r="CQ16" s="86"/>
      <c r="CR16" s="86"/>
      <c r="CS16" s="86"/>
      <c r="CT16" s="86"/>
      <c r="CU16" s="87"/>
      <c r="CV16" s="84"/>
      <c r="CW16" s="86"/>
      <c r="CX16" s="86"/>
      <c r="CY16" s="86"/>
      <c r="CZ16" s="86"/>
      <c r="DA16" s="86"/>
      <c r="DB16" s="86"/>
      <c r="DC16" s="86"/>
      <c r="DD16" s="87"/>
      <c r="DE16" s="84"/>
      <c r="DF16" s="86"/>
      <c r="DG16" s="86"/>
      <c r="DH16" s="86"/>
      <c r="DI16" s="86"/>
      <c r="DJ16" s="86"/>
      <c r="DK16" s="86"/>
      <c r="DL16" s="87"/>
      <c r="DM16" s="890"/>
      <c r="DN16" s="682">
        <f>SUM(P16:AP16,AU16,AZ16:BW16,CE16:DM16)</f>
        <v>0</v>
      </c>
      <c r="DO16" s="683"/>
      <c r="DP16" s="91" t="s">
        <v>86</v>
      </c>
      <c r="DQ16" s="91"/>
      <c r="DR16" s="92"/>
      <c r="DS16" s="92"/>
      <c r="DT16" s="92"/>
      <c r="DU16" s="92"/>
      <c r="DV16" s="92"/>
      <c r="DW16" s="92"/>
    </row>
    <row r="17" spans="1:127" ht="25.5" customHeight="1" thickTop="1" thickBot="1" x14ac:dyDescent="0.2">
      <c r="A17" s="676">
        <f t="shared" ref="A17:A80" si="3">$A16+1</f>
        <v>2</v>
      </c>
      <c r="B17" s="1052"/>
      <c r="C17" s="1052"/>
      <c r="D17" s="888"/>
      <c r="E17" s="953"/>
      <c r="F17" s="884"/>
      <c r="G17" s="889"/>
      <c r="H17" s="1057"/>
      <c r="I17" s="684" t="str">
        <f t="shared" si="0"/>
        <v/>
      </c>
      <c r="J17" s="685">
        <f t="shared" si="1"/>
        <v>0</v>
      </c>
      <c r="K17" s="1249"/>
      <c r="L17" s="1251"/>
      <c r="M17" s="1257"/>
      <c r="N17" s="719" t="str">
        <f t="shared" ref="N17:N80" si="4">IF($E17="","",MONTH($E17))</f>
        <v/>
      </c>
      <c r="O17" s="720" t="str">
        <f>IF('Set up ~ Config'!$G$32=6,IF(OR($N17=7,$N17=8,$N17=9),1,IF(OR($N17=10,$N17=11,$N17=12),2,IF(OR($N17=1,$N17=2,$N17=3),3,IF(OR($N17=4,$N17=5,$N17=6),4,"")))),IF(OR($N17=9,$N17=10,$N17=11),1,IF(OR($N17=12,$N17=1,$N17=2),2,IF(OR($N17=3,$N17=4,$N17=5),3,IF(OR($N17=6,$N17=7,$N17=8),4,"")))))</f>
        <v/>
      </c>
      <c r="P17" s="93"/>
      <c r="Q17" s="51"/>
      <c r="R17" s="51"/>
      <c r="S17" s="51"/>
      <c r="T17" s="51"/>
      <c r="U17" s="51"/>
      <c r="V17" s="51"/>
      <c r="W17" s="51"/>
      <c r="X17" s="51"/>
      <c r="Y17" s="51"/>
      <c r="Z17" s="94"/>
      <c r="AA17" s="51"/>
      <c r="AB17" s="51"/>
      <c r="AC17" s="51"/>
      <c r="AD17" s="51"/>
      <c r="AE17" s="51"/>
      <c r="AF17" s="51"/>
      <c r="AG17" s="51"/>
      <c r="AH17" s="94"/>
      <c r="AI17" s="94"/>
      <c r="AJ17" s="94"/>
      <c r="AK17" s="94"/>
      <c r="AL17" s="94"/>
      <c r="AM17" s="94"/>
      <c r="AN17" s="94"/>
      <c r="AO17" s="95"/>
      <c r="AP17" s="686">
        <f t="shared" ref="AP17:AP80" si="5">SUM(AQ17:AT17)</f>
        <v>0</v>
      </c>
      <c r="AQ17" s="42"/>
      <c r="AR17" s="42"/>
      <c r="AS17" s="42"/>
      <c r="AT17" s="43"/>
      <c r="AU17" s="687">
        <f t="shared" ref="AU17:AU80" si="6">SUM(AV17:AY17)</f>
        <v>0</v>
      </c>
      <c r="AV17" s="42"/>
      <c r="AW17" s="42"/>
      <c r="AX17" s="42"/>
      <c r="AY17" s="43"/>
      <c r="AZ17" s="486"/>
      <c r="BA17" s="51"/>
      <c r="BB17" s="94"/>
      <c r="BC17" s="94"/>
      <c r="BD17" s="94"/>
      <c r="BE17" s="94"/>
      <c r="BF17" s="51"/>
      <c r="BG17" s="94"/>
      <c r="BH17" s="94"/>
      <c r="BI17" s="94"/>
      <c r="BJ17" s="94"/>
      <c r="BK17" s="94"/>
      <c r="BL17" s="94"/>
      <c r="BM17" s="483"/>
      <c r="BN17" s="94"/>
      <c r="BO17" s="94"/>
      <c r="BP17" s="94"/>
      <c r="BQ17" s="94"/>
      <c r="BR17" s="94"/>
      <c r="BS17" s="94"/>
      <c r="BT17" s="94"/>
      <c r="BU17" s="94"/>
      <c r="BV17" s="94"/>
      <c r="BW17" s="688">
        <f t="shared" si="2"/>
        <v>0</v>
      </c>
      <c r="BX17" s="51"/>
      <c r="BY17" s="51"/>
      <c r="BZ17" s="51"/>
      <c r="CA17" s="51"/>
      <c r="CB17" s="51"/>
      <c r="CC17" s="51"/>
      <c r="CD17" s="97"/>
      <c r="CE17" s="479"/>
      <c r="CF17" s="51"/>
      <c r="CG17" s="51"/>
      <c r="CH17" s="62"/>
      <c r="CI17" s="62"/>
      <c r="CJ17" s="51"/>
      <c r="CK17" s="51"/>
      <c r="CL17" s="95"/>
      <c r="CM17" s="93"/>
      <c r="CN17" s="51"/>
      <c r="CO17" s="51"/>
      <c r="CP17" s="51"/>
      <c r="CQ17" s="51"/>
      <c r="CR17" s="51"/>
      <c r="CS17" s="51"/>
      <c r="CT17" s="51"/>
      <c r="CU17" s="95"/>
      <c r="CV17" s="93"/>
      <c r="CW17" s="51"/>
      <c r="CX17" s="51"/>
      <c r="CY17" s="51"/>
      <c r="CZ17" s="51"/>
      <c r="DA17" s="51"/>
      <c r="DB17" s="51"/>
      <c r="DC17" s="51"/>
      <c r="DD17" s="95"/>
      <c r="DE17" s="93"/>
      <c r="DF17" s="64"/>
      <c r="DG17" s="96"/>
      <c r="DH17" s="51"/>
      <c r="DI17" s="51"/>
      <c r="DJ17" s="51"/>
      <c r="DK17" s="51"/>
      <c r="DL17" s="95"/>
      <c r="DM17" s="891"/>
      <c r="DN17" s="682">
        <f t="shared" ref="DN17:DN80" si="7">SUM(P17:AP17,AU17,AZ17:BW17,CE17:DM17)</f>
        <v>0</v>
      </c>
      <c r="DO17" s="683"/>
      <c r="DP17" s="91" t="s">
        <v>87</v>
      </c>
      <c r="DQ17" s="91"/>
      <c r="DR17" s="92"/>
      <c r="DS17" s="92"/>
      <c r="DT17" s="92"/>
      <c r="DU17" s="92"/>
      <c r="DV17" s="92"/>
      <c r="DW17" s="92"/>
    </row>
    <row r="18" spans="1:127" ht="25.5" customHeight="1" thickTop="1" thickBot="1" x14ac:dyDescent="0.2">
      <c r="A18" s="676">
        <f t="shared" si="3"/>
        <v>3</v>
      </c>
      <c r="B18" s="1052"/>
      <c r="C18" s="1052"/>
      <c r="D18" s="888"/>
      <c r="E18" s="953"/>
      <c r="F18" s="884"/>
      <c r="G18" s="889"/>
      <c r="H18" s="1057"/>
      <c r="I18" s="684" t="str">
        <f t="shared" si="0"/>
        <v/>
      </c>
      <c r="J18" s="685">
        <f t="shared" si="1"/>
        <v>0</v>
      </c>
      <c r="K18" s="1249"/>
      <c r="L18" s="1251"/>
      <c r="M18" s="1257"/>
      <c r="N18" s="719" t="str">
        <f t="shared" si="4"/>
        <v/>
      </c>
      <c r="O18" s="720" t="str">
        <f>IF('Set up ~ Config'!$G$32=6,IF(OR($N18=7,$N18=8,$N18=9),1,IF(OR($N18=10,$N18=11,$N18=12),2,IF(OR($N18=1,$N18=2,$N18=3),3,IF(OR($N18=4,$N18=5,$N18=6),4,"")))),IF(OR($N18=9,$N18=10,$N18=11),1,IF(OR($N18=12,$N18=1,$N18=2),2,IF(OR($N18=3,$N18=4,$N18=5),3,IF(OR($N18=6,$N18=7,$N18=8),4,"")))))</f>
        <v/>
      </c>
      <c r="P18" s="93"/>
      <c r="Q18" s="51"/>
      <c r="R18" s="51"/>
      <c r="S18" s="51"/>
      <c r="T18" s="51"/>
      <c r="U18" s="51"/>
      <c r="V18" s="51"/>
      <c r="W18" s="51"/>
      <c r="X18" s="51"/>
      <c r="Y18" s="51"/>
      <c r="Z18" s="94"/>
      <c r="AA18" s="51"/>
      <c r="AB18" s="51"/>
      <c r="AC18" s="51"/>
      <c r="AD18" s="51"/>
      <c r="AE18" s="51"/>
      <c r="AF18" s="51"/>
      <c r="AG18" s="51"/>
      <c r="AH18" s="94"/>
      <c r="AI18" s="94"/>
      <c r="AJ18" s="94"/>
      <c r="AK18" s="94"/>
      <c r="AL18" s="94"/>
      <c r="AM18" s="94"/>
      <c r="AN18" s="94"/>
      <c r="AO18" s="95"/>
      <c r="AP18" s="686">
        <f t="shared" si="5"/>
        <v>0</v>
      </c>
      <c r="AQ18" s="42"/>
      <c r="AR18" s="42"/>
      <c r="AS18" s="42"/>
      <c r="AT18" s="43"/>
      <c r="AU18" s="687">
        <f t="shared" si="6"/>
        <v>0</v>
      </c>
      <c r="AV18" s="42"/>
      <c r="AW18" s="42"/>
      <c r="AX18" s="42"/>
      <c r="AY18" s="43"/>
      <c r="AZ18" s="486"/>
      <c r="BA18" s="51"/>
      <c r="BB18" s="94"/>
      <c r="BC18" s="94"/>
      <c r="BD18" s="94"/>
      <c r="BE18" s="94"/>
      <c r="BF18" s="94"/>
      <c r="BG18" s="94"/>
      <c r="BH18" s="94"/>
      <c r="BI18" s="94"/>
      <c r="BJ18" s="94"/>
      <c r="BK18" s="94"/>
      <c r="BL18" s="94"/>
      <c r="BM18" s="483"/>
      <c r="BN18" s="94"/>
      <c r="BO18" s="94"/>
      <c r="BP18" s="94"/>
      <c r="BQ18" s="94"/>
      <c r="BR18" s="94"/>
      <c r="BS18" s="94"/>
      <c r="BT18" s="94"/>
      <c r="BU18" s="94"/>
      <c r="BV18" s="94"/>
      <c r="BW18" s="688">
        <f t="shared" si="2"/>
        <v>0</v>
      </c>
      <c r="BX18" s="51"/>
      <c r="BY18" s="51"/>
      <c r="BZ18" s="51"/>
      <c r="CA18" s="51"/>
      <c r="CB18" s="51"/>
      <c r="CC18" s="51"/>
      <c r="CD18" s="97"/>
      <c r="CE18" s="479"/>
      <c r="CF18" s="51"/>
      <c r="CG18" s="51"/>
      <c r="CH18" s="62"/>
      <c r="CI18" s="62"/>
      <c r="CJ18" s="51"/>
      <c r="CK18" s="51"/>
      <c r="CL18" s="95"/>
      <c r="CM18" s="93"/>
      <c r="CN18" s="51"/>
      <c r="CO18" s="51"/>
      <c r="CP18" s="51"/>
      <c r="CQ18" s="51"/>
      <c r="CR18" s="51"/>
      <c r="CS18" s="51"/>
      <c r="CT18" s="51"/>
      <c r="CU18" s="95"/>
      <c r="CV18" s="93"/>
      <c r="CW18" s="96"/>
      <c r="CX18" s="51"/>
      <c r="CY18" s="51"/>
      <c r="CZ18" s="51"/>
      <c r="DA18" s="51"/>
      <c r="DB18" s="51"/>
      <c r="DC18" s="51"/>
      <c r="DD18" s="95"/>
      <c r="DE18" s="93"/>
      <c r="DF18" s="51"/>
      <c r="DG18" s="51"/>
      <c r="DH18" s="51"/>
      <c r="DI18" s="51"/>
      <c r="DJ18" s="51"/>
      <c r="DK18" s="51"/>
      <c r="DL18" s="95"/>
      <c r="DM18" s="891"/>
      <c r="DN18" s="682">
        <f t="shared" si="7"/>
        <v>0</v>
      </c>
      <c r="DO18" s="683"/>
      <c r="DP18" s="91" t="s">
        <v>88</v>
      </c>
      <c r="DQ18" s="91"/>
      <c r="DR18" s="92"/>
      <c r="DS18" s="92"/>
      <c r="DT18" s="92"/>
      <c r="DU18" s="92"/>
      <c r="DV18" s="92"/>
      <c r="DW18" s="92"/>
    </row>
    <row r="19" spans="1:127" ht="25.5" customHeight="1" thickTop="1" thickBot="1" x14ac:dyDescent="0.2">
      <c r="A19" s="676">
        <f t="shared" si="3"/>
        <v>4</v>
      </c>
      <c r="B19" s="1052"/>
      <c r="C19" s="1052"/>
      <c r="D19" s="888"/>
      <c r="E19" s="953"/>
      <c r="F19" s="884"/>
      <c r="G19" s="889"/>
      <c r="H19" s="1057"/>
      <c r="I19" s="684" t="str">
        <f t="shared" si="0"/>
        <v/>
      </c>
      <c r="J19" s="685">
        <f t="shared" si="1"/>
        <v>0</v>
      </c>
      <c r="K19" s="1249"/>
      <c r="L19" s="1251"/>
      <c r="M19" s="1257"/>
      <c r="N19" s="719" t="str">
        <f t="shared" si="4"/>
        <v/>
      </c>
      <c r="O19" s="720" t="str">
        <f>IF('Set up ~ Config'!$G$32=6,IF(OR($N19=7,$N19=8,$N19=9),1,IF(OR($N19=10,$N19=11,$N19=12),2,IF(OR($N19=1,$N19=2,$N19=3),3,IF(OR($N19=4,$N19=5,$N19=6),4,"")))),IF(OR($N19=9,$N19=10,$N19=11),1,IF(OR($N19=12,$N19=1,$N19=2),2,IF(OR($N19=3,$N19=4,$N19=5),3,IF(OR($N19=6,$N19=7,$N19=8),4,"")))))</f>
        <v/>
      </c>
      <c r="P19" s="93"/>
      <c r="Q19" s="51"/>
      <c r="R19" s="51"/>
      <c r="S19" s="51"/>
      <c r="T19" s="51"/>
      <c r="U19" s="51"/>
      <c r="V19" s="51"/>
      <c r="W19" s="51"/>
      <c r="X19" s="51"/>
      <c r="Y19" s="51"/>
      <c r="Z19" s="94"/>
      <c r="AA19" s="51"/>
      <c r="AB19" s="51"/>
      <c r="AC19" s="51"/>
      <c r="AD19" s="51"/>
      <c r="AE19" s="51"/>
      <c r="AF19" s="51"/>
      <c r="AG19" s="51"/>
      <c r="AH19" s="94"/>
      <c r="AI19" s="94"/>
      <c r="AJ19" s="94"/>
      <c r="AK19" s="94"/>
      <c r="AL19" s="94"/>
      <c r="AM19" s="94"/>
      <c r="AN19" s="94"/>
      <c r="AO19" s="95"/>
      <c r="AP19" s="686">
        <f t="shared" si="5"/>
        <v>0</v>
      </c>
      <c r="AQ19" s="42"/>
      <c r="AR19" s="42"/>
      <c r="AS19" s="42"/>
      <c r="AT19" s="43"/>
      <c r="AU19" s="687">
        <f t="shared" si="6"/>
        <v>0</v>
      </c>
      <c r="AV19" s="42"/>
      <c r="AW19" s="42"/>
      <c r="AX19" s="42"/>
      <c r="AY19" s="43"/>
      <c r="AZ19" s="486"/>
      <c r="BA19" s="51"/>
      <c r="BB19" s="94"/>
      <c r="BC19" s="94"/>
      <c r="BD19" s="94"/>
      <c r="BE19" s="94"/>
      <c r="BF19" s="94"/>
      <c r="BG19" s="94"/>
      <c r="BH19" s="94"/>
      <c r="BI19" s="94"/>
      <c r="BJ19" s="94"/>
      <c r="BK19" s="94"/>
      <c r="BL19" s="94"/>
      <c r="BM19" s="483"/>
      <c r="BN19" s="94"/>
      <c r="BO19" s="94"/>
      <c r="BP19" s="94"/>
      <c r="BQ19" s="94"/>
      <c r="BR19" s="94"/>
      <c r="BS19" s="94"/>
      <c r="BT19" s="94"/>
      <c r="BU19" s="94"/>
      <c r="BV19" s="94"/>
      <c r="BW19" s="688">
        <f t="shared" si="2"/>
        <v>0</v>
      </c>
      <c r="BX19" s="51"/>
      <c r="BY19" s="51"/>
      <c r="BZ19" s="51"/>
      <c r="CA19" s="51"/>
      <c r="CB19" s="51"/>
      <c r="CC19" s="51"/>
      <c r="CD19" s="97"/>
      <c r="CE19" s="479"/>
      <c r="CF19" s="51"/>
      <c r="CG19" s="51"/>
      <c r="CH19" s="62"/>
      <c r="CI19" s="62"/>
      <c r="CJ19" s="51"/>
      <c r="CK19" s="51"/>
      <c r="CL19" s="95"/>
      <c r="CM19" s="93"/>
      <c r="CN19" s="51"/>
      <c r="CO19" s="51"/>
      <c r="CP19" s="51"/>
      <c r="CQ19" s="51"/>
      <c r="CR19" s="51"/>
      <c r="CS19" s="51"/>
      <c r="CT19" s="51"/>
      <c r="CU19" s="95"/>
      <c r="CV19" s="93"/>
      <c r="CW19" s="51"/>
      <c r="CX19" s="51"/>
      <c r="CY19" s="51"/>
      <c r="CZ19" s="51"/>
      <c r="DA19" s="51"/>
      <c r="DB19" s="51"/>
      <c r="DC19" s="51"/>
      <c r="DD19" s="95"/>
      <c r="DE19" s="93"/>
      <c r="DF19" s="51"/>
      <c r="DG19" s="51"/>
      <c r="DH19" s="51"/>
      <c r="DI19" s="51"/>
      <c r="DJ19" s="51"/>
      <c r="DK19" s="51"/>
      <c r="DL19" s="95"/>
      <c r="DM19" s="891"/>
      <c r="DN19" s="682">
        <f t="shared" si="7"/>
        <v>0</v>
      </c>
      <c r="DO19" s="683"/>
      <c r="DP19" s="12" t="s">
        <v>89</v>
      </c>
      <c r="DQ19" s="12"/>
      <c r="DR19" s="92"/>
    </row>
    <row r="20" spans="1:127" ht="25.5" customHeight="1" thickTop="1" thickBot="1" x14ac:dyDescent="0.2">
      <c r="A20" s="676">
        <f t="shared" si="3"/>
        <v>5</v>
      </c>
      <c r="B20" s="1052"/>
      <c r="C20" s="1052"/>
      <c r="D20" s="888"/>
      <c r="E20" s="953"/>
      <c r="F20" s="884"/>
      <c r="G20" s="889"/>
      <c r="H20" s="1057"/>
      <c r="I20" s="684" t="str">
        <f t="shared" si="0"/>
        <v/>
      </c>
      <c r="J20" s="685">
        <f t="shared" si="1"/>
        <v>0</v>
      </c>
      <c r="K20" s="1249"/>
      <c r="L20" s="1251"/>
      <c r="M20" s="1257"/>
      <c r="N20" s="719" t="str">
        <f t="shared" si="4"/>
        <v/>
      </c>
      <c r="O20" s="720" t="str">
        <f>IF('Set up ~ Config'!$G$32=6,IF(OR($N20=7,$N20=8,$N20=9),1,IF(OR($N20=10,$N20=11,$N20=12),2,IF(OR($N20=1,$N20=2,$N20=3),3,IF(OR($N20=4,$N20=5,$N20=6),4,"")))),IF(OR($N20=9,$N20=10,$N20=11),1,IF(OR($N20=12,$N20=1,$N20=2),2,IF(OR($N20=3,$N20=4,$N20=5),3,IF(OR($N20=6,$N20=7,$N20=8),4,"")))))</f>
        <v/>
      </c>
      <c r="P20" s="93"/>
      <c r="Q20" s="51"/>
      <c r="R20" s="51"/>
      <c r="S20" s="51"/>
      <c r="T20" s="51"/>
      <c r="U20" s="51"/>
      <c r="V20" s="51"/>
      <c r="W20" s="51"/>
      <c r="X20" s="51"/>
      <c r="Y20" s="51"/>
      <c r="Z20" s="94"/>
      <c r="AA20" s="51"/>
      <c r="AB20" s="51"/>
      <c r="AC20" s="51"/>
      <c r="AD20" s="51"/>
      <c r="AE20" s="51"/>
      <c r="AF20" s="51"/>
      <c r="AG20" s="51"/>
      <c r="AH20" s="94"/>
      <c r="AI20" s="94"/>
      <c r="AJ20" s="94"/>
      <c r="AK20" s="94"/>
      <c r="AL20" s="94"/>
      <c r="AM20" s="94"/>
      <c r="AN20" s="94"/>
      <c r="AO20" s="95"/>
      <c r="AP20" s="686">
        <f t="shared" si="5"/>
        <v>0</v>
      </c>
      <c r="AQ20" s="42"/>
      <c r="AR20" s="42"/>
      <c r="AS20" s="42"/>
      <c r="AT20" s="43"/>
      <c r="AU20" s="687">
        <f t="shared" si="6"/>
        <v>0</v>
      </c>
      <c r="AV20" s="42"/>
      <c r="AW20" s="42"/>
      <c r="AX20" s="42"/>
      <c r="AY20" s="43"/>
      <c r="AZ20" s="486"/>
      <c r="BA20" s="51"/>
      <c r="BB20" s="94"/>
      <c r="BC20" s="94"/>
      <c r="BD20" s="94"/>
      <c r="BE20" s="94"/>
      <c r="BF20" s="94"/>
      <c r="BG20" s="94"/>
      <c r="BH20" s="94"/>
      <c r="BI20" s="94"/>
      <c r="BJ20" s="94"/>
      <c r="BK20" s="94"/>
      <c r="BL20" s="94"/>
      <c r="BM20" s="483"/>
      <c r="BN20" s="94"/>
      <c r="BO20" s="94"/>
      <c r="BP20" s="94"/>
      <c r="BQ20" s="94"/>
      <c r="BR20" s="94"/>
      <c r="BS20" s="94"/>
      <c r="BT20" s="94"/>
      <c r="BU20" s="94"/>
      <c r="BV20" s="94"/>
      <c r="BW20" s="688">
        <f t="shared" si="2"/>
        <v>0</v>
      </c>
      <c r="BX20" s="51"/>
      <c r="BY20" s="51"/>
      <c r="BZ20" s="51"/>
      <c r="CA20" s="51"/>
      <c r="CB20" s="51"/>
      <c r="CC20" s="51"/>
      <c r="CD20" s="97"/>
      <c r="CE20" s="479"/>
      <c r="CF20" s="51"/>
      <c r="CG20" s="51"/>
      <c r="CH20" s="62"/>
      <c r="CI20" s="62"/>
      <c r="CJ20" s="51"/>
      <c r="CK20" s="51"/>
      <c r="CL20" s="95"/>
      <c r="CM20" s="93"/>
      <c r="CN20" s="51"/>
      <c r="CO20" s="51"/>
      <c r="CP20" s="51"/>
      <c r="CQ20" s="51"/>
      <c r="CR20" s="51"/>
      <c r="CS20" s="51"/>
      <c r="CT20" s="51"/>
      <c r="CU20" s="95"/>
      <c r="CV20" s="93"/>
      <c r="CW20" s="51"/>
      <c r="CX20" s="51"/>
      <c r="CY20" s="51"/>
      <c r="CZ20" s="51"/>
      <c r="DA20" s="51"/>
      <c r="DB20" s="51"/>
      <c r="DC20" s="51"/>
      <c r="DD20" s="95"/>
      <c r="DE20" s="93"/>
      <c r="DF20" s="51"/>
      <c r="DG20" s="51"/>
      <c r="DH20" s="51"/>
      <c r="DI20" s="51"/>
      <c r="DJ20" s="51"/>
      <c r="DK20" s="51"/>
      <c r="DL20" s="95"/>
      <c r="DM20" s="891"/>
      <c r="DN20" s="682">
        <f t="shared" si="7"/>
        <v>0</v>
      </c>
      <c r="DO20" s="683"/>
      <c r="DP20" s="12" t="s">
        <v>90</v>
      </c>
      <c r="DQ20" s="12"/>
      <c r="DR20" s="92"/>
    </row>
    <row r="21" spans="1:127" ht="25.5" customHeight="1" thickTop="1" thickBot="1" x14ac:dyDescent="0.2">
      <c r="A21" s="676">
        <f t="shared" si="3"/>
        <v>6</v>
      </c>
      <c r="B21" s="1052"/>
      <c r="C21" s="1052"/>
      <c r="D21" s="888"/>
      <c r="E21" s="953"/>
      <c r="F21" s="884"/>
      <c r="G21" s="889"/>
      <c r="H21" s="1057"/>
      <c r="I21" s="684" t="str">
        <f t="shared" si="0"/>
        <v/>
      </c>
      <c r="J21" s="685">
        <f t="shared" si="1"/>
        <v>0</v>
      </c>
      <c r="K21" s="1249"/>
      <c r="L21" s="1251"/>
      <c r="M21" s="1257"/>
      <c r="N21" s="719" t="str">
        <f t="shared" si="4"/>
        <v/>
      </c>
      <c r="O21" s="720" t="str">
        <f>IF('Set up ~ Config'!$G$32=6,IF(OR($N21=7,$N21=8,$N21=9),1,IF(OR($N21=10,$N21=11,$N21=12),2,IF(OR($N21=1,$N21=2,$N21=3),3,IF(OR($N21=4,$N21=5,$N21=6),4,"")))),IF(OR($N21=9,$N21=10,$N21=11),1,IF(OR($N21=12,$N21=1,$N21=2),2,IF(OR($N21=3,$N21=4,$N21=5),3,IF(OR($N21=6,$N21=7,$N21=8),4,"")))))</f>
        <v/>
      </c>
      <c r="P21" s="93"/>
      <c r="Q21" s="51"/>
      <c r="R21" s="51"/>
      <c r="S21" s="51"/>
      <c r="T21" s="51"/>
      <c r="U21" s="51"/>
      <c r="V21" s="51"/>
      <c r="W21" s="51"/>
      <c r="X21" s="51"/>
      <c r="Y21" s="51"/>
      <c r="Z21" s="94"/>
      <c r="AA21" s="51"/>
      <c r="AB21" s="51"/>
      <c r="AC21" s="51"/>
      <c r="AD21" s="51"/>
      <c r="AE21" s="51"/>
      <c r="AF21" s="51"/>
      <c r="AG21" s="51"/>
      <c r="AH21" s="94"/>
      <c r="AI21" s="94"/>
      <c r="AJ21" s="94"/>
      <c r="AK21" s="94"/>
      <c r="AL21" s="94"/>
      <c r="AM21" s="94"/>
      <c r="AN21" s="94"/>
      <c r="AO21" s="95"/>
      <c r="AP21" s="686">
        <f t="shared" si="5"/>
        <v>0</v>
      </c>
      <c r="AQ21" s="42"/>
      <c r="AR21" s="42"/>
      <c r="AS21" s="42"/>
      <c r="AT21" s="43"/>
      <c r="AU21" s="687">
        <f t="shared" si="6"/>
        <v>0</v>
      </c>
      <c r="AV21" s="42"/>
      <c r="AW21" s="42"/>
      <c r="AX21" s="42"/>
      <c r="AY21" s="43"/>
      <c r="AZ21" s="486"/>
      <c r="BA21" s="51"/>
      <c r="BB21" s="94"/>
      <c r="BC21" s="94"/>
      <c r="BD21" s="94"/>
      <c r="BE21" s="94"/>
      <c r="BF21" s="94"/>
      <c r="BG21" s="94"/>
      <c r="BH21" s="94"/>
      <c r="BI21" s="94"/>
      <c r="BJ21" s="94"/>
      <c r="BK21" s="94"/>
      <c r="BL21" s="94"/>
      <c r="BM21" s="483"/>
      <c r="BN21" s="94"/>
      <c r="BO21" s="94"/>
      <c r="BP21" s="94"/>
      <c r="BQ21" s="94"/>
      <c r="BR21" s="94"/>
      <c r="BS21" s="94"/>
      <c r="BT21" s="94"/>
      <c r="BU21" s="94"/>
      <c r="BV21" s="94"/>
      <c r="BW21" s="688">
        <f t="shared" si="2"/>
        <v>0</v>
      </c>
      <c r="BX21" s="51"/>
      <c r="BY21" s="51"/>
      <c r="BZ21" s="51"/>
      <c r="CA21" s="51"/>
      <c r="CB21" s="51"/>
      <c r="CC21" s="51"/>
      <c r="CD21" s="97"/>
      <c r="CE21" s="479"/>
      <c r="CF21" s="51"/>
      <c r="CG21" s="51"/>
      <c r="CH21" s="62"/>
      <c r="CI21" s="62"/>
      <c r="CJ21" s="51"/>
      <c r="CK21" s="51"/>
      <c r="CL21" s="95"/>
      <c r="CM21" s="93"/>
      <c r="CN21" s="51"/>
      <c r="CO21" s="51"/>
      <c r="CP21" s="51"/>
      <c r="CQ21" s="51"/>
      <c r="CR21" s="51"/>
      <c r="CS21" s="51"/>
      <c r="CT21" s="51"/>
      <c r="CU21" s="95"/>
      <c r="CV21" s="93"/>
      <c r="CW21" s="98"/>
      <c r="CX21" s="51"/>
      <c r="CY21" s="51"/>
      <c r="CZ21" s="51"/>
      <c r="DA21" s="51"/>
      <c r="DB21" s="51"/>
      <c r="DC21" s="51"/>
      <c r="DD21" s="95"/>
      <c r="DE21" s="93"/>
      <c r="DF21" s="51"/>
      <c r="DG21" s="51"/>
      <c r="DH21" s="51"/>
      <c r="DI21" s="51"/>
      <c r="DJ21" s="51"/>
      <c r="DK21" s="51"/>
      <c r="DL21" s="95"/>
      <c r="DM21" s="891"/>
      <c r="DN21" s="682">
        <f t="shared" si="7"/>
        <v>0</v>
      </c>
      <c r="DO21" s="683"/>
      <c r="DP21" s="12" t="s">
        <v>91</v>
      </c>
      <c r="DQ21" s="12"/>
      <c r="DR21" s="92"/>
    </row>
    <row r="22" spans="1:127" ht="25.5" customHeight="1" thickTop="1" thickBot="1" x14ac:dyDescent="0.2">
      <c r="A22" s="676">
        <f t="shared" si="3"/>
        <v>7</v>
      </c>
      <c r="B22" s="1052"/>
      <c r="C22" s="1052"/>
      <c r="D22" s="888"/>
      <c r="E22" s="953"/>
      <c r="F22" s="884"/>
      <c r="G22" s="889"/>
      <c r="H22" s="1057"/>
      <c r="I22" s="684" t="str">
        <f t="shared" si="0"/>
        <v/>
      </c>
      <c r="J22" s="685">
        <f t="shared" si="1"/>
        <v>0</v>
      </c>
      <c r="K22" s="1249"/>
      <c r="L22" s="1251"/>
      <c r="M22" s="1257"/>
      <c r="N22" s="719" t="str">
        <f t="shared" si="4"/>
        <v/>
      </c>
      <c r="O22" s="720" t="str">
        <f>IF('Set up ~ Config'!$G$32=6,IF(OR($N22=7,$N22=8,$N22=9),1,IF(OR($N22=10,$N22=11,$N22=12),2,IF(OR($N22=1,$N22=2,$N22=3),3,IF(OR($N22=4,$N22=5,$N22=6),4,"")))),IF(OR($N22=9,$N22=10,$N22=11),1,IF(OR($N22=12,$N22=1,$N22=2),2,IF(OR($N22=3,$N22=4,$N22=5),3,IF(OR($N22=6,$N22=7,$N22=8),4,"")))))</f>
        <v/>
      </c>
      <c r="P22" s="93"/>
      <c r="Q22" s="51"/>
      <c r="R22" s="51"/>
      <c r="S22" s="51"/>
      <c r="T22" s="51"/>
      <c r="U22" s="51"/>
      <c r="V22" s="51"/>
      <c r="W22" s="51"/>
      <c r="X22" s="51"/>
      <c r="Y22" s="51"/>
      <c r="Z22" s="94"/>
      <c r="AA22" s="51"/>
      <c r="AB22" s="51"/>
      <c r="AC22" s="51"/>
      <c r="AD22" s="51"/>
      <c r="AE22" s="51"/>
      <c r="AF22" s="51"/>
      <c r="AG22" s="51"/>
      <c r="AH22" s="94"/>
      <c r="AI22" s="94"/>
      <c r="AJ22" s="94"/>
      <c r="AK22" s="94"/>
      <c r="AL22" s="94"/>
      <c r="AM22" s="94"/>
      <c r="AN22" s="94"/>
      <c r="AO22" s="95"/>
      <c r="AP22" s="686">
        <f t="shared" si="5"/>
        <v>0</v>
      </c>
      <c r="AQ22" s="42"/>
      <c r="AR22" s="42"/>
      <c r="AS22" s="42"/>
      <c r="AT22" s="43"/>
      <c r="AU22" s="687">
        <f t="shared" si="6"/>
        <v>0</v>
      </c>
      <c r="AV22" s="42"/>
      <c r="AW22" s="42"/>
      <c r="AX22" s="42"/>
      <c r="AY22" s="43"/>
      <c r="AZ22" s="486"/>
      <c r="BA22" s="51"/>
      <c r="BB22" s="94"/>
      <c r="BC22" s="94"/>
      <c r="BD22" s="94"/>
      <c r="BE22" s="94"/>
      <c r="BF22" s="94"/>
      <c r="BG22" s="94"/>
      <c r="BH22" s="94"/>
      <c r="BI22" s="94"/>
      <c r="BJ22" s="94"/>
      <c r="BK22" s="94"/>
      <c r="BL22" s="94"/>
      <c r="BM22" s="483"/>
      <c r="BN22" s="94"/>
      <c r="BO22" s="94"/>
      <c r="BP22" s="94"/>
      <c r="BQ22" s="94"/>
      <c r="BR22" s="94"/>
      <c r="BS22" s="94"/>
      <c r="BT22" s="94"/>
      <c r="BU22" s="94"/>
      <c r="BV22" s="94"/>
      <c r="BW22" s="688">
        <f t="shared" si="2"/>
        <v>0</v>
      </c>
      <c r="BX22" s="51"/>
      <c r="BY22" s="51"/>
      <c r="BZ22" s="51"/>
      <c r="CA22" s="51"/>
      <c r="CB22" s="51"/>
      <c r="CC22" s="51"/>
      <c r="CD22" s="97"/>
      <c r="CE22" s="479"/>
      <c r="CF22" s="51"/>
      <c r="CG22" s="51"/>
      <c r="CH22" s="62"/>
      <c r="CI22" s="62"/>
      <c r="CJ22" s="51"/>
      <c r="CK22" s="51"/>
      <c r="CL22" s="95"/>
      <c r="CM22" s="93"/>
      <c r="CN22" s="51"/>
      <c r="CO22" s="51"/>
      <c r="CP22" s="51"/>
      <c r="CQ22" s="51"/>
      <c r="CR22" s="51"/>
      <c r="CS22" s="51"/>
      <c r="CT22" s="51"/>
      <c r="CU22" s="95"/>
      <c r="CV22" s="93"/>
      <c r="CW22" s="51"/>
      <c r="CX22" s="51"/>
      <c r="CY22" s="51"/>
      <c r="CZ22" s="51"/>
      <c r="DA22" s="51"/>
      <c r="DB22" s="51"/>
      <c r="DC22" s="51"/>
      <c r="DD22" s="95"/>
      <c r="DE22" s="93"/>
      <c r="DF22" s="51"/>
      <c r="DG22" s="51"/>
      <c r="DH22" s="51"/>
      <c r="DI22" s="51"/>
      <c r="DJ22" s="96"/>
      <c r="DK22" s="51"/>
      <c r="DL22" s="95"/>
      <c r="DM22" s="891"/>
      <c r="DN22" s="682">
        <f t="shared" si="7"/>
        <v>0</v>
      </c>
      <c r="DO22" s="683"/>
      <c r="DP22" s="12" t="s">
        <v>129</v>
      </c>
      <c r="DQ22" s="12"/>
      <c r="DR22" s="92"/>
    </row>
    <row r="23" spans="1:127" ht="25.5" customHeight="1" thickTop="1" thickBot="1" x14ac:dyDescent="0.2">
      <c r="A23" s="676">
        <f t="shared" si="3"/>
        <v>8</v>
      </c>
      <c r="B23" s="1052"/>
      <c r="C23" s="1052"/>
      <c r="D23" s="888"/>
      <c r="E23" s="953"/>
      <c r="F23" s="884"/>
      <c r="G23" s="889"/>
      <c r="H23" s="1057"/>
      <c r="I23" s="684" t="str">
        <f t="shared" si="0"/>
        <v/>
      </c>
      <c r="J23" s="685">
        <f t="shared" si="1"/>
        <v>0</v>
      </c>
      <c r="K23" s="1249"/>
      <c r="L23" s="1251"/>
      <c r="M23" s="1257"/>
      <c r="N23" s="719" t="str">
        <f t="shared" si="4"/>
        <v/>
      </c>
      <c r="O23" s="720" t="str">
        <f>IF('Set up ~ Config'!$G$32=6,IF(OR($N23=7,$N23=8,$N23=9),1,IF(OR($N23=10,$N23=11,$N23=12),2,IF(OR($N23=1,$N23=2,$N23=3),3,IF(OR($N23=4,$N23=5,$N23=6),4,"")))),IF(OR($N23=9,$N23=10,$N23=11),1,IF(OR($N23=12,$N23=1,$N23=2),2,IF(OR($N23=3,$N23=4,$N23=5),3,IF(OR($N23=6,$N23=7,$N23=8),4,"")))))</f>
        <v/>
      </c>
      <c r="P23" s="93"/>
      <c r="Q23" s="51"/>
      <c r="R23" s="51"/>
      <c r="S23" s="51"/>
      <c r="T23" s="51"/>
      <c r="U23" s="51"/>
      <c r="V23" s="51"/>
      <c r="W23" s="51"/>
      <c r="X23" s="51"/>
      <c r="Y23" s="51"/>
      <c r="Z23" s="94"/>
      <c r="AA23" s="51"/>
      <c r="AB23" s="51"/>
      <c r="AC23" s="51"/>
      <c r="AD23" s="51"/>
      <c r="AE23" s="51"/>
      <c r="AF23" s="51"/>
      <c r="AG23" s="51"/>
      <c r="AH23" s="94"/>
      <c r="AI23" s="94"/>
      <c r="AJ23" s="94"/>
      <c r="AK23" s="94"/>
      <c r="AL23" s="94"/>
      <c r="AM23" s="94"/>
      <c r="AN23" s="94"/>
      <c r="AO23" s="95"/>
      <c r="AP23" s="686">
        <f t="shared" si="5"/>
        <v>0</v>
      </c>
      <c r="AQ23" s="42"/>
      <c r="AR23" s="42"/>
      <c r="AS23" s="42"/>
      <c r="AT23" s="43"/>
      <c r="AU23" s="687">
        <f t="shared" si="6"/>
        <v>0</v>
      </c>
      <c r="AV23" s="42"/>
      <c r="AW23" s="42"/>
      <c r="AX23" s="42"/>
      <c r="AY23" s="43"/>
      <c r="AZ23" s="486"/>
      <c r="BA23" s="51"/>
      <c r="BB23" s="94"/>
      <c r="BC23" s="94"/>
      <c r="BD23" s="94"/>
      <c r="BE23" s="94"/>
      <c r="BF23" s="94"/>
      <c r="BG23" s="94"/>
      <c r="BH23" s="94"/>
      <c r="BI23" s="94"/>
      <c r="BJ23" s="94"/>
      <c r="BK23" s="94"/>
      <c r="BL23" s="94"/>
      <c r="BM23" s="483"/>
      <c r="BN23" s="94"/>
      <c r="BO23" s="94"/>
      <c r="BP23" s="94"/>
      <c r="BQ23" s="94"/>
      <c r="BR23" s="94"/>
      <c r="BS23" s="94"/>
      <c r="BT23" s="94"/>
      <c r="BU23" s="94"/>
      <c r="BV23" s="94"/>
      <c r="BW23" s="688">
        <f t="shared" si="2"/>
        <v>0</v>
      </c>
      <c r="BX23" s="51"/>
      <c r="BY23" s="51"/>
      <c r="BZ23" s="51"/>
      <c r="CA23" s="51"/>
      <c r="CB23" s="51"/>
      <c r="CC23" s="51"/>
      <c r="CD23" s="97"/>
      <c r="CE23" s="479"/>
      <c r="CF23" s="51"/>
      <c r="CG23" s="51"/>
      <c r="CH23" s="62"/>
      <c r="CI23" s="62"/>
      <c r="CJ23" s="51"/>
      <c r="CK23" s="51"/>
      <c r="CL23" s="95"/>
      <c r="CM23" s="93"/>
      <c r="CN23" s="51"/>
      <c r="CO23" s="51"/>
      <c r="CP23" s="51"/>
      <c r="CQ23" s="51"/>
      <c r="CR23" s="51"/>
      <c r="CS23" s="51"/>
      <c r="CT23" s="51"/>
      <c r="CU23" s="95"/>
      <c r="CV23" s="93"/>
      <c r="CW23" s="51"/>
      <c r="CX23" s="51"/>
      <c r="CY23" s="51"/>
      <c r="CZ23" s="51"/>
      <c r="DA23" s="51"/>
      <c r="DB23" s="51"/>
      <c r="DC23" s="51"/>
      <c r="DD23" s="95"/>
      <c r="DE23" s="93"/>
      <c r="DF23" s="51"/>
      <c r="DG23" s="51"/>
      <c r="DH23" s="51"/>
      <c r="DI23" s="51"/>
      <c r="DJ23" s="51"/>
      <c r="DK23" s="51"/>
      <c r="DL23" s="95"/>
      <c r="DM23" s="891"/>
      <c r="DN23" s="682">
        <f t="shared" si="7"/>
        <v>0</v>
      </c>
      <c r="DO23" s="683"/>
    </row>
    <row r="24" spans="1:127" ht="25.5" customHeight="1" thickTop="1" thickBot="1" x14ac:dyDescent="0.2">
      <c r="A24" s="676">
        <f t="shared" si="3"/>
        <v>9</v>
      </c>
      <c r="B24" s="1052"/>
      <c r="C24" s="1052"/>
      <c r="D24" s="888"/>
      <c r="E24" s="953"/>
      <c r="F24" s="884"/>
      <c r="G24" s="889"/>
      <c r="H24" s="1057"/>
      <c r="I24" s="684" t="str">
        <f t="shared" si="0"/>
        <v/>
      </c>
      <c r="J24" s="685">
        <f t="shared" si="1"/>
        <v>0</v>
      </c>
      <c r="K24" s="1249"/>
      <c r="L24" s="1251"/>
      <c r="M24" s="1257"/>
      <c r="N24" s="719" t="str">
        <f t="shared" si="4"/>
        <v/>
      </c>
      <c r="O24" s="720" t="str">
        <f>IF('Set up ~ Config'!$G$32=6,IF(OR($N24=7,$N24=8,$N24=9),1,IF(OR($N24=10,$N24=11,$N24=12),2,IF(OR($N24=1,$N24=2,$N24=3),3,IF(OR($N24=4,$N24=5,$N24=6),4,"")))),IF(OR($N24=9,$N24=10,$N24=11),1,IF(OR($N24=12,$N24=1,$N24=2),2,IF(OR($N24=3,$N24=4,$N24=5),3,IF(OR($N24=6,$N24=7,$N24=8),4,"")))))</f>
        <v/>
      </c>
      <c r="P24" s="93"/>
      <c r="Q24" s="51"/>
      <c r="R24" s="51"/>
      <c r="S24" s="51"/>
      <c r="T24" s="51"/>
      <c r="U24" s="51"/>
      <c r="V24" s="51"/>
      <c r="W24" s="51"/>
      <c r="X24" s="51"/>
      <c r="Y24" s="51"/>
      <c r="Z24" s="94"/>
      <c r="AA24" s="51"/>
      <c r="AB24" s="51"/>
      <c r="AC24" s="51"/>
      <c r="AD24" s="51"/>
      <c r="AE24" s="51"/>
      <c r="AF24" s="51"/>
      <c r="AG24" s="51"/>
      <c r="AH24" s="94"/>
      <c r="AI24" s="94"/>
      <c r="AJ24" s="94"/>
      <c r="AK24" s="94"/>
      <c r="AL24" s="94"/>
      <c r="AM24" s="94"/>
      <c r="AN24" s="94"/>
      <c r="AO24" s="95"/>
      <c r="AP24" s="686">
        <f t="shared" si="5"/>
        <v>0</v>
      </c>
      <c r="AQ24" s="42"/>
      <c r="AR24" s="42"/>
      <c r="AS24" s="42"/>
      <c r="AT24" s="43"/>
      <c r="AU24" s="687">
        <f t="shared" si="6"/>
        <v>0</v>
      </c>
      <c r="AV24" s="42"/>
      <c r="AW24" s="42"/>
      <c r="AX24" s="42"/>
      <c r="AY24" s="43"/>
      <c r="AZ24" s="486"/>
      <c r="BA24" s="51"/>
      <c r="BB24" s="94"/>
      <c r="BC24" s="94"/>
      <c r="BD24" s="94"/>
      <c r="BE24" s="94"/>
      <c r="BF24" s="94"/>
      <c r="BG24" s="94"/>
      <c r="BH24" s="94"/>
      <c r="BI24" s="94"/>
      <c r="BJ24" s="94"/>
      <c r="BK24" s="94"/>
      <c r="BL24" s="94"/>
      <c r="BM24" s="483"/>
      <c r="BN24" s="94"/>
      <c r="BO24" s="94"/>
      <c r="BP24" s="94"/>
      <c r="BQ24" s="94"/>
      <c r="BR24" s="94"/>
      <c r="BS24" s="94"/>
      <c r="BT24" s="94"/>
      <c r="BU24" s="94"/>
      <c r="BV24" s="94"/>
      <c r="BW24" s="688">
        <f t="shared" si="2"/>
        <v>0</v>
      </c>
      <c r="BX24" s="51"/>
      <c r="BY24" s="51"/>
      <c r="BZ24" s="51"/>
      <c r="CA24" s="51"/>
      <c r="CB24" s="51"/>
      <c r="CC24" s="51"/>
      <c r="CD24" s="97"/>
      <c r="CE24" s="479"/>
      <c r="CF24" s="51"/>
      <c r="CG24" s="51"/>
      <c r="CH24" s="62"/>
      <c r="CI24" s="62"/>
      <c r="CJ24" s="51"/>
      <c r="CK24" s="51"/>
      <c r="CL24" s="95"/>
      <c r="CM24" s="93"/>
      <c r="CN24" s="51"/>
      <c r="CO24" s="51"/>
      <c r="CP24" s="51"/>
      <c r="CQ24" s="51"/>
      <c r="CR24" s="51"/>
      <c r="CS24" s="51"/>
      <c r="CT24" s="51"/>
      <c r="CU24" s="95"/>
      <c r="CV24" s="93"/>
      <c r="CW24" s="51"/>
      <c r="CX24" s="51"/>
      <c r="CY24" s="51"/>
      <c r="CZ24" s="51"/>
      <c r="DA24" s="51"/>
      <c r="DB24" s="51"/>
      <c r="DC24" s="51"/>
      <c r="DD24" s="95"/>
      <c r="DE24" s="93"/>
      <c r="DF24" s="51"/>
      <c r="DG24" s="51"/>
      <c r="DH24" s="51"/>
      <c r="DI24" s="51"/>
      <c r="DJ24" s="51"/>
      <c r="DK24" s="51"/>
      <c r="DL24" s="95"/>
      <c r="DM24" s="891"/>
      <c r="DN24" s="682">
        <f t="shared" si="7"/>
        <v>0</v>
      </c>
      <c r="DO24" s="683"/>
    </row>
    <row r="25" spans="1:127" ht="25.5" customHeight="1" thickTop="1" thickBot="1" x14ac:dyDescent="0.2">
      <c r="A25" s="676">
        <f t="shared" si="3"/>
        <v>10</v>
      </c>
      <c r="B25" s="1052"/>
      <c r="C25" s="1052"/>
      <c r="D25" s="888"/>
      <c r="E25" s="953"/>
      <c r="F25" s="884"/>
      <c r="G25" s="889"/>
      <c r="H25" s="1057"/>
      <c r="I25" s="684" t="str">
        <f t="shared" si="0"/>
        <v/>
      </c>
      <c r="J25" s="685">
        <f t="shared" si="1"/>
        <v>0</v>
      </c>
      <c r="K25" s="1249"/>
      <c r="L25" s="1251"/>
      <c r="M25" s="1257"/>
      <c r="N25" s="719" t="str">
        <f t="shared" si="4"/>
        <v/>
      </c>
      <c r="O25" s="720" t="str">
        <f>IF('Set up ~ Config'!$G$32=6,IF(OR($N25=7,$N25=8,$N25=9),1,IF(OR($N25=10,$N25=11,$N25=12),2,IF(OR($N25=1,$N25=2,$N25=3),3,IF(OR($N25=4,$N25=5,$N25=6),4,"")))),IF(OR($N25=9,$N25=10,$N25=11),1,IF(OR($N25=12,$N25=1,$N25=2),2,IF(OR($N25=3,$N25=4,$N25=5),3,IF(OR($N25=6,$N25=7,$N25=8),4,"")))))</f>
        <v/>
      </c>
      <c r="P25" s="93"/>
      <c r="Q25" s="51"/>
      <c r="R25" s="51"/>
      <c r="S25" s="51"/>
      <c r="T25" s="51"/>
      <c r="U25" s="51"/>
      <c r="V25" s="51"/>
      <c r="W25" s="51"/>
      <c r="X25" s="51"/>
      <c r="Y25" s="51"/>
      <c r="Z25" s="94"/>
      <c r="AA25" s="51"/>
      <c r="AB25" s="51"/>
      <c r="AC25" s="51"/>
      <c r="AD25" s="51"/>
      <c r="AE25" s="51"/>
      <c r="AF25" s="51"/>
      <c r="AG25" s="51"/>
      <c r="AH25" s="94"/>
      <c r="AI25" s="94"/>
      <c r="AJ25" s="94"/>
      <c r="AK25" s="94"/>
      <c r="AL25" s="94"/>
      <c r="AM25" s="94"/>
      <c r="AN25" s="94"/>
      <c r="AO25" s="95"/>
      <c r="AP25" s="686">
        <f t="shared" si="5"/>
        <v>0</v>
      </c>
      <c r="AQ25" s="42"/>
      <c r="AR25" s="42"/>
      <c r="AS25" s="42"/>
      <c r="AT25" s="43"/>
      <c r="AU25" s="687">
        <f t="shared" si="6"/>
        <v>0</v>
      </c>
      <c r="AV25" s="42"/>
      <c r="AW25" s="42"/>
      <c r="AX25" s="42"/>
      <c r="AY25" s="43"/>
      <c r="AZ25" s="486"/>
      <c r="BA25" s="51"/>
      <c r="BB25" s="94"/>
      <c r="BC25" s="94"/>
      <c r="BD25" s="94"/>
      <c r="BE25" s="94"/>
      <c r="BF25" s="94"/>
      <c r="BG25" s="94"/>
      <c r="BH25" s="94"/>
      <c r="BI25" s="94"/>
      <c r="BJ25" s="94"/>
      <c r="BK25" s="94"/>
      <c r="BL25" s="94"/>
      <c r="BM25" s="483"/>
      <c r="BN25" s="94"/>
      <c r="BO25" s="94"/>
      <c r="BP25" s="94"/>
      <c r="BQ25" s="94"/>
      <c r="BR25" s="94"/>
      <c r="BS25" s="94"/>
      <c r="BT25" s="94"/>
      <c r="BU25" s="94"/>
      <c r="BV25" s="94"/>
      <c r="BW25" s="688">
        <f t="shared" si="2"/>
        <v>0</v>
      </c>
      <c r="BX25" s="51"/>
      <c r="BY25" s="51"/>
      <c r="BZ25" s="51"/>
      <c r="CA25" s="51"/>
      <c r="CB25" s="51"/>
      <c r="CC25" s="51"/>
      <c r="CD25" s="97"/>
      <c r="CE25" s="479"/>
      <c r="CF25" s="51"/>
      <c r="CG25" s="51"/>
      <c r="CH25" s="62"/>
      <c r="CI25" s="62"/>
      <c r="CJ25" s="51"/>
      <c r="CK25" s="51"/>
      <c r="CL25" s="95"/>
      <c r="CM25" s="93"/>
      <c r="CN25" s="51"/>
      <c r="CO25" s="51"/>
      <c r="CP25" s="51"/>
      <c r="CQ25" s="51"/>
      <c r="CR25" s="51"/>
      <c r="CS25" s="51"/>
      <c r="CT25" s="51"/>
      <c r="CU25" s="95"/>
      <c r="CV25" s="93"/>
      <c r="CW25" s="51"/>
      <c r="CX25" s="51"/>
      <c r="CY25" s="51"/>
      <c r="CZ25" s="51"/>
      <c r="DA25" s="51"/>
      <c r="DB25" s="51"/>
      <c r="DC25" s="51"/>
      <c r="DD25" s="95"/>
      <c r="DE25" s="93"/>
      <c r="DF25" s="51"/>
      <c r="DG25" s="51"/>
      <c r="DH25" s="51"/>
      <c r="DI25" s="51"/>
      <c r="DJ25" s="51"/>
      <c r="DK25" s="51"/>
      <c r="DL25" s="95"/>
      <c r="DM25" s="891"/>
      <c r="DN25" s="682">
        <f t="shared" si="7"/>
        <v>0</v>
      </c>
      <c r="DO25" s="683"/>
    </row>
    <row r="26" spans="1:127" ht="25.5" customHeight="1" thickTop="1" thickBot="1" x14ac:dyDescent="0.2">
      <c r="A26" s="676">
        <f t="shared" si="3"/>
        <v>11</v>
      </c>
      <c r="B26" s="1052"/>
      <c r="C26" s="1052"/>
      <c r="D26" s="888"/>
      <c r="E26" s="953"/>
      <c r="F26" s="884"/>
      <c r="G26" s="889"/>
      <c r="H26" s="1057"/>
      <c r="I26" s="684" t="str">
        <f t="shared" si="0"/>
        <v/>
      </c>
      <c r="J26" s="685">
        <f t="shared" si="1"/>
        <v>0</v>
      </c>
      <c r="K26" s="1249"/>
      <c r="L26" s="1251"/>
      <c r="M26" s="1257"/>
      <c r="N26" s="719" t="str">
        <f t="shared" si="4"/>
        <v/>
      </c>
      <c r="O26" s="720" t="str">
        <f>IF('Set up ~ Config'!$G$32=6,IF(OR($N26=7,$N26=8,$N26=9),1,IF(OR($N26=10,$N26=11,$N26=12),2,IF(OR($N26=1,$N26=2,$N26=3),3,IF(OR($N26=4,$N26=5,$N26=6),4,"")))),IF(OR($N26=9,$N26=10,$N26=11),1,IF(OR($N26=12,$N26=1,$N26=2),2,IF(OR($N26=3,$N26=4,$N26=5),3,IF(OR($N26=6,$N26=7,$N26=8),4,"")))))</f>
        <v/>
      </c>
      <c r="P26" s="93"/>
      <c r="Q26" s="51"/>
      <c r="R26" s="51"/>
      <c r="S26" s="51"/>
      <c r="T26" s="51"/>
      <c r="U26" s="51"/>
      <c r="V26" s="51"/>
      <c r="W26" s="51"/>
      <c r="X26" s="51"/>
      <c r="Y26" s="51"/>
      <c r="Z26" s="94"/>
      <c r="AA26" s="51"/>
      <c r="AB26" s="51"/>
      <c r="AC26" s="51"/>
      <c r="AD26" s="51"/>
      <c r="AE26" s="51"/>
      <c r="AF26" s="51"/>
      <c r="AG26" s="51"/>
      <c r="AH26" s="94"/>
      <c r="AI26" s="94"/>
      <c r="AJ26" s="94"/>
      <c r="AK26" s="94"/>
      <c r="AL26" s="94"/>
      <c r="AM26" s="94"/>
      <c r="AN26" s="94"/>
      <c r="AO26" s="95"/>
      <c r="AP26" s="686">
        <f t="shared" si="5"/>
        <v>0</v>
      </c>
      <c r="AQ26" s="42"/>
      <c r="AR26" s="42"/>
      <c r="AS26" s="42"/>
      <c r="AT26" s="43"/>
      <c r="AU26" s="687">
        <f t="shared" si="6"/>
        <v>0</v>
      </c>
      <c r="AV26" s="42"/>
      <c r="AW26" s="42"/>
      <c r="AX26" s="42"/>
      <c r="AY26" s="43"/>
      <c r="AZ26" s="486"/>
      <c r="BA26" s="51"/>
      <c r="BB26" s="94"/>
      <c r="BC26" s="94"/>
      <c r="BD26" s="94"/>
      <c r="BE26" s="94"/>
      <c r="BF26" s="94"/>
      <c r="BG26" s="94"/>
      <c r="BH26" s="94"/>
      <c r="BI26" s="94"/>
      <c r="BJ26" s="94"/>
      <c r="BK26" s="94"/>
      <c r="BL26" s="94"/>
      <c r="BM26" s="483"/>
      <c r="BN26" s="94"/>
      <c r="BO26" s="94"/>
      <c r="BP26" s="94"/>
      <c r="BQ26" s="94"/>
      <c r="BR26" s="94"/>
      <c r="BS26" s="94"/>
      <c r="BT26" s="94"/>
      <c r="BU26" s="94"/>
      <c r="BV26" s="94"/>
      <c r="BW26" s="688">
        <f t="shared" si="2"/>
        <v>0</v>
      </c>
      <c r="BX26" s="51"/>
      <c r="BY26" s="51"/>
      <c r="BZ26" s="51"/>
      <c r="CA26" s="51"/>
      <c r="CB26" s="51"/>
      <c r="CC26" s="51"/>
      <c r="CD26" s="97"/>
      <c r="CE26" s="479"/>
      <c r="CF26" s="51"/>
      <c r="CG26" s="51"/>
      <c r="CH26" s="62"/>
      <c r="CI26" s="62"/>
      <c r="CJ26" s="51"/>
      <c r="CK26" s="51"/>
      <c r="CL26" s="95"/>
      <c r="CM26" s="93"/>
      <c r="CN26" s="51"/>
      <c r="CO26" s="51"/>
      <c r="CP26" s="51"/>
      <c r="CQ26" s="51"/>
      <c r="CR26" s="51"/>
      <c r="CS26" s="51"/>
      <c r="CT26" s="51"/>
      <c r="CU26" s="95"/>
      <c r="CV26" s="93"/>
      <c r="CW26" s="51"/>
      <c r="CX26" s="51"/>
      <c r="CY26" s="51"/>
      <c r="CZ26" s="51"/>
      <c r="DA26" s="51"/>
      <c r="DB26" s="51"/>
      <c r="DC26" s="51"/>
      <c r="DD26" s="95"/>
      <c r="DE26" s="93"/>
      <c r="DF26" s="51"/>
      <c r="DG26" s="51"/>
      <c r="DH26" s="51"/>
      <c r="DI26" s="51"/>
      <c r="DJ26" s="51"/>
      <c r="DK26" s="51"/>
      <c r="DL26" s="95"/>
      <c r="DM26" s="891"/>
      <c r="DN26" s="682">
        <f t="shared" si="7"/>
        <v>0</v>
      </c>
      <c r="DO26" s="683"/>
    </row>
    <row r="27" spans="1:127" ht="25.5" customHeight="1" thickTop="1" thickBot="1" x14ac:dyDescent="0.2">
      <c r="A27" s="676">
        <f t="shared" si="3"/>
        <v>12</v>
      </c>
      <c r="B27" s="1052"/>
      <c r="C27" s="1052"/>
      <c r="D27" s="888"/>
      <c r="E27" s="953"/>
      <c r="F27" s="884"/>
      <c r="G27" s="889"/>
      <c r="H27" s="1057"/>
      <c r="I27" s="684" t="str">
        <f t="shared" si="0"/>
        <v/>
      </c>
      <c r="J27" s="685">
        <f t="shared" si="1"/>
        <v>0</v>
      </c>
      <c r="K27" s="1249"/>
      <c r="L27" s="1251"/>
      <c r="M27" s="1257"/>
      <c r="N27" s="719" t="str">
        <f t="shared" si="4"/>
        <v/>
      </c>
      <c r="O27" s="720" t="str">
        <f>IF('Set up ~ Config'!$G$32=6,IF(OR($N27=7,$N27=8,$N27=9),1,IF(OR($N27=10,$N27=11,$N27=12),2,IF(OR($N27=1,$N27=2,$N27=3),3,IF(OR($N27=4,$N27=5,$N27=6),4,"")))),IF(OR($N27=9,$N27=10,$N27=11),1,IF(OR($N27=12,$N27=1,$N27=2),2,IF(OR($N27=3,$N27=4,$N27=5),3,IF(OR($N27=6,$N27=7,$N27=8),4,"")))))</f>
        <v/>
      </c>
      <c r="P27" s="93"/>
      <c r="Q27" s="51"/>
      <c r="R27" s="51"/>
      <c r="S27" s="51"/>
      <c r="T27" s="51"/>
      <c r="U27" s="51"/>
      <c r="V27" s="51"/>
      <c r="W27" s="51"/>
      <c r="X27" s="51"/>
      <c r="Y27" s="51"/>
      <c r="Z27" s="94"/>
      <c r="AA27" s="51"/>
      <c r="AB27" s="51"/>
      <c r="AC27" s="51"/>
      <c r="AD27" s="51"/>
      <c r="AE27" s="51"/>
      <c r="AF27" s="51"/>
      <c r="AG27" s="51"/>
      <c r="AH27" s="94"/>
      <c r="AI27" s="94"/>
      <c r="AJ27" s="94"/>
      <c r="AK27" s="94"/>
      <c r="AL27" s="94"/>
      <c r="AM27" s="94"/>
      <c r="AN27" s="94"/>
      <c r="AO27" s="95"/>
      <c r="AP27" s="686">
        <f t="shared" si="5"/>
        <v>0</v>
      </c>
      <c r="AQ27" s="42"/>
      <c r="AR27" s="42"/>
      <c r="AS27" s="42"/>
      <c r="AT27" s="43"/>
      <c r="AU27" s="687">
        <f t="shared" si="6"/>
        <v>0</v>
      </c>
      <c r="AV27" s="42"/>
      <c r="AW27" s="42"/>
      <c r="AX27" s="42"/>
      <c r="AY27" s="43"/>
      <c r="AZ27" s="486"/>
      <c r="BA27" s="51"/>
      <c r="BB27" s="94"/>
      <c r="BC27" s="94"/>
      <c r="BD27" s="94"/>
      <c r="BE27" s="94"/>
      <c r="BF27" s="94"/>
      <c r="BG27" s="94"/>
      <c r="BH27" s="94"/>
      <c r="BI27" s="94"/>
      <c r="BJ27" s="94"/>
      <c r="BK27" s="94"/>
      <c r="BL27" s="94"/>
      <c r="BM27" s="483"/>
      <c r="BN27" s="94"/>
      <c r="BO27" s="94"/>
      <c r="BP27" s="94"/>
      <c r="BQ27" s="94"/>
      <c r="BR27" s="94"/>
      <c r="BS27" s="94"/>
      <c r="BT27" s="94"/>
      <c r="BU27" s="94"/>
      <c r="BV27" s="94"/>
      <c r="BW27" s="688">
        <f t="shared" si="2"/>
        <v>0</v>
      </c>
      <c r="BX27" s="51"/>
      <c r="BY27" s="51"/>
      <c r="BZ27" s="51"/>
      <c r="CA27" s="51"/>
      <c r="CB27" s="51"/>
      <c r="CC27" s="51"/>
      <c r="CD27" s="97"/>
      <c r="CE27" s="479"/>
      <c r="CF27" s="51"/>
      <c r="CG27" s="51"/>
      <c r="CH27" s="62"/>
      <c r="CI27" s="62"/>
      <c r="CJ27" s="51"/>
      <c r="CK27" s="51"/>
      <c r="CL27" s="95"/>
      <c r="CM27" s="93"/>
      <c r="CN27" s="51"/>
      <c r="CO27" s="51"/>
      <c r="CP27" s="51"/>
      <c r="CQ27" s="51"/>
      <c r="CR27" s="51"/>
      <c r="CS27" s="51"/>
      <c r="CT27" s="51"/>
      <c r="CU27" s="95"/>
      <c r="CV27" s="93"/>
      <c r="CW27" s="51"/>
      <c r="CX27" s="51"/>
      <c r="CY27" s="51"/>
      <c r="CZ27" s="51"/>
      <c r="DA27" s="51"/>
      <c r="DB27" s="51"/>
      <c r="DC27" s="51"/>
      <c r="DD27" s="95"/>
      <c r="DE27" s="93"/>
      <c r="DF27" s="51"/>
      <c r="DG27" s="51"/>
      <c r="DH27" s="51"/>
      <c r="DI27" s="51"/>
      <c r="DJ27" s="51"/>
      <c r="DK27" s="51"/>
      <c r="DL27" s="95"/>
      <c r="DM27" s="891"/>
      <c r="DN27" s="682">
        <f t="shared" si="7"/>
        <v>0</v>
      </c>
      <c r="DO27" s="683"/>
    </row>
    <row r="28" spans="1:127" ht="25.5" customHeight="1" thickTop="1" thickBot="1" x14ac:dyDescent="0.2">
      <c r="A28" s="676">
        <f t="shared" si="3"/>
        <v>13</v>
      </c>
      <c r="B28" s="1052"/>
      <c r="C28" s="1052"/>
      <c r="D28" s="888"/>
      <c r="E28" s="953"/>
      <c r="F28" s="884"/>
      <c r="G28" s="889"/>
      <c r="H28" s="1057"/>
      <c r="I28" s="684" t="str">
        <f t="shared" si="0"/>
        <v/>
      </c>
      <c r="J28" s="685">
        <f t="shared" si="1"/>
        <v>0</v>
      </c>
      <c r="K28" s="1249"/>
      <c r="L28" s="1251"/>
      <c r="M28" s="1257"/>
      <c r="N28" s="719" t="str">
        <f t="shared" si="4"/>
        <v/>
      </c>
      <c r="O28" s="720" t="str">
        <f>IF('Set up ~ Config'!$G$32=6,IF(OR($N28=7,$N28=8,$N28=9),1,IF(OR($N28=10,$N28=11,$N28=12),2,IF(OR($N28=1,$N28=2,$N28=3),3,IF(OR($N28=4,$N28=5,$N28=6),4,"")))),IF(OR($N28=9,$N28=10,$N28=11),1,IF(OR($N28=12,$N28=1,$N28=2),2,IF(OR($N28=3,$N28=4,$N28=5),3,IF(OR($N28=6,$N28=7,$N28=8),4,"")))))</f>
        <v/>
      </c>
      <c r="P28" s="93"/>
      <c r="Q28" s="51"/>
      <c r="R28" s="51"/>
      <c r="S28" s="51"/>
      <c r="T28" s="51"/>
      <c r="U28" s="51"/>
      <c r="V28" s="51"/>
      <c r="W28" s="51"/>
      <c r="X28" s="51"/>
      <c r="Y28" s="51"/>
      <c r="Z28" s="94"/>
      <c r="AA28" s="51"/>
      <c r="AB28" s="51"/>
      <c r="AC28" s="51"/>
      <c r="AD28" s="51"/>
      <c r="AE28" s="51"/>
      <c r="AF28" s="51"/>
      <c r="AG28" s="51"/>
      <c r="AH28" s="94"/>
      <c r="AI28" s="94"/>
      <c r="AJ28" s="94"/>
      <c r="AK28" s="94"/>
      <c r="AL28" s="94"/>
      <c r="AM28" s="94"/>
      <c r="AN28" s="94"/>
      <c r="AO28" s="95"/>
      <c r="AP28" s="686">
        <f t="shared" si="5"/>
        <v>0</v>
      </c>
      <c r="AQ28" s="42"/>
      <c r="AR28" s="42"/>
      <c r="AS28" s="42"/>
      <c r="AT28" s="43"/>
      <c r="AU28" s="687">
        <f t="shared" si="6"/>
        <v>0</v>
      </c>
      <c r="AV28" s="42"/>
      <c r="AW28" s="42"/>
      <c r="AX28" s="42"/>
      <c r="AY28" s="43"/>
      <c r="AZ28" s="486"/>
      <c r="BA28" s="51"/>
      <c r="BB28" s="94"/>
      <c r="BC28" s="94"/>
      <c r="BD28" s="94"/>
      <c r="BE28" s="94"/>
      <c r="BF28" s="94"/>
      <c r="BG28" s="94"/>
      <c r="BH28" s="94"/>
      <c r="BI28" s="94"/>
      <c r="BJ28" s="94"/>
      <c r="BK28" s="94"/>
      <c r="BL28" s="94"/>
      <c r="BM28" s="483"/>
      <c r="BN28" s="94"/>
      <c r="BO28" s="94"/>
      <c r="BP28" s="94"/>
      <c r="BQ28" s="94"/>
      <c r="BR28" s="94"/>
      <c r="BS28" s="94"/>
      <c r="BT28" s="94"/>
      <c r="BU28" s="94"/>
      <c r="BV28" s="94"/>
      <c r="BW28" s="688">
        <f t="shared" si="2"/>
        <v>0</v>
      </c>
      <c r="BX28" s="51"/>
      <c r="BY28" s="51"/>
      <c r="BZ28" s="51"/>
      <c r="CA28" s="51"/>
      <c r="CB28" s="51"/>
      <c r="CC28" s="51"/>
      <c r="CD28" s="97"/>
      <c r="CE28" s="479"/>
      <c r="CF28" s="51"/>
      <c r="CG28" s="51"/>
      <c r="CH28" s="62"/>
      <c r="CI28" s="62"/>
      <c r="CJ28" s="51"/>
      <c r="CK28" s="51"/>
      <c r="CL28" s="95"/>
      <c r="CM28" s="93"/>
      <c r="CN28" s="51"/>
      <c r="CO28" s="51"/>
      <c r="CP28" s="51"/>
      <c r="CQ28" s="51"/>
      <c r="CR28" s="51"/>
      <c r="CS28" s="51"/>
      <c r="CT28" s="51"/>
      <c r="CU28" s="95"/>
      <c r="CV28" s="93"/>
      <c r="CW28" s="51"/>
      <c r="CX28" s="51"/>
      <c r="CY28" s="51"/>
      <c r="CZ28" s="51"/>
      <c r="DA28" s="51"/>
      <c r="DB28" s="51"/>
      <c r="DC28" s="51"/>
      <c r="DD28" s="95"/>
      <c r="DE28" s="93"/>
      <c r="DF28" s="51"/>
      <c r="DG28" s="51"/>
      <c r="DH28" s="51"/>
      <c r="DI28" s="51"/>
      <c r="DJ28" s="51"/>
      <c r="DK28" s="51"/>
      <c r="DL28" s="95"/>
      <c r="DM28" s="891"/>
      <c r="DN28" s="682">
        <f t="shared" si="7"/>
        <v>0</v>
      </c>
      <c r="DO28" s="683"/>
    </row>
    <row r="29" spans="1:127" ht="25.5" customHeight="1" thickTop="1" thickBot="1" x14ac:dyDescent="0.2">
      <c r="A29" s="676">
        <f t="shared" si="3"/>
        <v>14</v>
      </c>
      <c r="B29" s="1052"/>
      <c r="C29" s="1052"/>
      <c r="D29" s="888"/>
      <c r="E29" s="953"/>
      <c r="F29" s="884"/>
      <c r="G29" s="889"/>
      <c r="H29" s="1057"/>
      <c r="I29" s="684" t="str">
        <f t="shared" si="0"/>
        <v/>
      </c>
      <c r="J29" s="685">
        <f t="shared" si="1"/>
        <v>0</v>
      </c>
      <c r="K29" s="1249"/>
      <c r="L29" s="1251"/>
      <c r="M29" s="1257"/>
      <c r="N29" s="719" t="str">
        <f t="shared" si="4"/>
        <v/>
      </c>
      <c r="O29" s="720" t="str">
        <f>IF('Set up ~ Config'!$G$32=6,IF(OR($N29=7,$N29=8,$N29=9),1,IF(OR($N29=10,$N29=11,$N29=12),2,IF(OR($N29=1,$N29=2,$N29=3),3,IF(OR($N29=4,$N29=5,$N29=6),4,"")))),IF(OR($N29=9,$N29=10,$N29=11),1,IF(OR($N29=12,$N29=1,$N29=2),2,IF(OR($N29=3,$N29=4,$N29=5),3,IF(OR($N29=6,$N29=7,$N29=8),4,"")))))</f>
        <v/>
      </c>
      <c r="P29" s="93"/>
      <c r="Q29" s="51"/>
      <c r="R29" s="51"/>
      <c r="S29" s="51"/>
      <c r="T29" s="51"/>
      <c r="U29" s="51"/>
      <c r="V29" s="51"/>
      <c r="W29" s="51"/>
      <c r="X29" s="51"/>
      <c r="Y29" s="51"/>
      <c r="Z29" s="94"/>
      <c r="AA29" s="51"/>
      <c r="AB29" s="51"/>
      <c r="AC29" s="51"/>
      <c r="AD29" s="51"/>
      <c r="AE29" s="51"/>
      <c r="AF29" s="51"/>
      <c r="AG29" s="51"/>
      <c r="AH29" s="94"/>
      <c r="AI29" s="94"/>
      <c r="AJ29" s="94"/>
      <c r="AK29" s="94"/>
      <c r="AL29" s="94"/>
      <c r="AM29" s="94"/>
      <c r="AN29" s="94"/>
      <c r="AO29" s="95"/>
      <c r="AP29" s="686">
        <f t="shared" si="5"/>
        <v>0</v>
      </c>
      <c r="AQ29" s="42"/>
      <c r="AR29" s="42"/>
      <c r="AS29" s="42"/>
      <c r="AT29" s="43"/>
      <c r="AU29" s="687">
        <f t="shared" si="6"/>
        <v>0</v>
      </c>
      <c r="AV29" s="42"/>
      <c r="AW29" s="42"/>
      <c r="AX29" s="42"/>
      <c r="AY29" s="43"/>
      <c r="AZ29" s="486"/>
      <c r="BA29" s="51"/>
      <c r="BB29" s="94"/>
      <c r="BC29" s="94"/>
      <c r="BD29" s="94"/>
      <c r="BE29" s="94"/>
      <c r="BF29" s="94"/>
      <c r="BG29" s="94"/>
      <c r="BH29" s="94"/>
      <c r="BI29" s="94"/>
      <c r="BJ29" s="94"/>
      <c r="BK29" s="94"/>
      <c r="BL29" s="94"/>
      <c r="BM29" s="483"/>
      <c r="BN29" s="94"/>
      <c r="BO29" s="94"/>
      <c r="BP29" s="94"/>
      <c r="BQ29" s="94"/>
      <c r="BR29" s="94"/>
      <c r="BS29" s="94"/>
      <c r="BT29" s="94"/>
      <c r="BU29" s="94"/>
      <c r="BV29" s="94"/>
      <c r="BW29" s="688">
        <f t="shared" si="2"/>
        <v>0</v>
      </c>
      <c r="BX29" s="51"/>
      <c r="BY29" s="51"/>
      <c r="BZ29" s="51"/>
      <c r="CA29" s="51"/>
      <c r="CB29" s="51"/>
      <c r="CC29" s="51"/>
      <c r="CD29" s="97"/>
      <c r="CE29" s="479"/>
      <c r="CF29" s="51"/>
      <c r="CG29" s="51"/>
      <c r="CH29" s="62"/>
      <c r="CI29" s="62"/>
      <c r="CJ29" s="51"/>
      <c r="CK29" s="51"/>
      <c r="CL29" s="95"/>
      <c r="CM29" s="93"/>
      <c r="CN29" s="51"/>
      <c r="CO29" s="51"/>
      <c r="CP29" s="51"/>
      <c r="CQ29" s="51"/>
      <c r="CR29" s="51"/>
      <c r="CS29" s="51"/>
      <c r="CT29" s="51"/>
      <c r="CU29" s="95"/>
      <c r="CV29" s="93"/>
      <c r="CW29" s="51"/>
      <c r="CX29" s="51"/>
      <c r="CY29" s="51"/>
      <c r="CZ29" s="51"/>
      <c r="DA29" s="51"/>
      <c r="DB29" s="51"/>
      <c r="DC29" s="51"/>
      <c r="DD29" s="95"/>
      <c r="DE29" s="93"/>
      <c r="DF29" s="51"/>
      <c r="DG29" s="51"/>
      <c r="DH29" s="51"/>
      <c r="DI29" s="51"/>
      <c r="DJ29" s="51"/>
      <c r="DK29" s="51"/>
      <c r="DL29" s="95"/>
      <c r="DM29" s="891"/>
      <c r="DN29" s="682">
        <f t="shared" si="7"/>
        <v>0</v>
      </c>
      <c r="DO29" s="683"/>
    </row>
    <row r="30" spans="1:127" ht="25.5" customHeight="1" thickTop="1" thickBot="1" x14ac:dyDescent="0.2">
      <c r="A30" s="676">
        <f t="shared" si="3"/>
        <v>15</v>
      </c>
      <c r="B30" s="1052"/>
      <c r="C30" s="1052"/>
      <c r="D30" s="888"/>
      <c r="E30" s="953"/>
      <c r="F30" s="884"/>
      <c r="G30" s="889"/>
      <c r="H30" s="1057"/>
      <c r="I30" s="684" t="str">
        <f t="shared" si="0"/>
        <v/>
      </c>
      <c r="J30" s="685">
        <f t="shared" si="1"/>
        <v>0</v>
      </c>
      <c r="K30" s="1249"/>
      <c r="L30" s="1251"/>
      <c r="M30" s="1257"/>
      <c r="N30" s="719" t="str">
        <f t="shared" si="4"/>
        <v/>
      </c>
      <c r="O30" s="720" t="str">
        <f>IF('Set up ~ Config'!$G$32=6,IF(OR($N30=7,$N30=8,$N30=9),1,IF(OR($N30=10,$N30=11,$N30=12),2,IF(OR($N30=1,$N30=2,$N30=3),3,IF(OR($N30=4,$N30=5,$N30=6),4,"")))),IF(OR($N30=9,$N30=10,$N30=11),1,IF(OR($N30=12,$N30=1,$N30=2),2,IF(OR($N30=3,$N30=4,$N30=5),3,IF(OR($N30=6,$N30=7,$N30=8),4,"")))))</f>
        <v/>
      </c>
      <c r="P30" s="93"/>
      <c r="Q30" s="51"/>
      <c r="R30" s="51"/>
      <c r="S30" s="51"/>
      <c r="T30" s="51"/>
      <c r="U30" s="51"/>
      <c r="V30" s="51"/>
      <c r="W30" s="51"/>
      <c r="X30" s="51"/>
      <c r="Y30" s="51"/>
      <c r="Z30" s="94"/>
      <c r="AA30" s="51"/>
      <c r="AB30" s="51"/>
      <c r="AC30" s="51"/>
      <c r="AD30" s="51"/>
      <c r="AE30" s="51"/>
      <c r="AF30" s="51"/>
      <c r="AG30" s="51"/>
      <c r="AH30" s="94"/>
      <c r="AI30" s="94"/>
      <c r="AJ30" s="94"/>
      <c r="AK30" s="94"/>
      <c r="AL30" s="94"/>
      <c r="AM30" s="94"/>
      <c r="AN30" s="94"/>
      <c r="AO30" s="95"/>
      <c r="AP30" s="686">
        <f t="shared" si="5"/>
        <v>0</v>
      </c>
      <c r="AQ30" s="42"/>
      <c r="AR30" s="42"/>
      <c r="AS30" s="42"/>
      <c r="AT30" s="43"/>
      <c r="AU30" s="687">
        <f t="shared" si="6"/>
        <v>0</v>
      </c>
      <c r="AV30" s="42"/>
      <c r="AW30" s="42"/>
      <c r="AX30" s="42"/>
      <c r="AY30" s="43"/>
      <c r="AZ30" s="486"/>
      <c r="BA30" s="51"/>
      <c r="BB30" s="94"/>
      <c r="BC30" s="94"/>
      <c r="BD30" s="94"/>
      <c r="BE30" s="94"/>
      <c r="BF30" s="94"/>
      <c r="BG30" s="94"/>
      <c r="BH30" s="94"/>
      <c r="BI30" s="94"/>
      <c r="BJ30" s="94"/>
      <c r="BK30" s="94"/>
      <c r="BL30" s="94"/>
      <c r="BM30" s="483"/>
      <c r="BN30" s="94"/>
      <c r="BO30" s="94"/>
      <c r="BP30" s="94"/>
      <c r="BQ30" s="94"/>
      <c r="BR30" s="94"/>
      <c r="BS30" s="94"/>
      <c r="BT30" s="94"/>
      <c r="BU30" s="94"/>
      <c r="BV30" s="94"/>
      <c r="BW30" s="688">
        <f t="shared" si="2"/>
        <v>0</v>
      </c>
      <c r="BX30" s="51"/>
      <c r="BY30" s="51"/>
      <c r="BZ30" s="51"/>
      <c r="CA30" s="51"/>
      <c r="CB30" s="51"/>
      <c r="CC30" s="51"/>
      <c r="CD30" s="97"/>
      <c r="CE30" s="479"/>
      <c r="CF30" s="51"/>
      <c r="CG30" s="51"/>
      <c r="CH30" s="62"/>
      <c r="CI30" s="62"/>
      <c r="CJ30" s="51"/>
      <c r="CK30" s="51"/>
      <c r="CL30" s="95"/>
      <c r="CM30" s="93"/>
      <c r="CN30" s="51"/>
      <c r="CO30" s="51"/>
      <c r="CP30" s="51"/>
      <c r="CQ30" s="51"/>
      <c r="CR30" s="51"/>
      <c r="CS30" s="51"/>
      <c r="CT30" s="51"/>
      <c r="CU30" s="95"/>
      <c r="CV30" s="93"/>
      <c r="CW30" s="51"/>
      <c r="CX30" s="51"/>
      <c r="CY30" s="51"/>
      <c r="CZ30" s="51"/>
      <c r="DA30" s="51"/>
      <c r="DB30" s="51"/>
      <c r="DC30" s="51"/>
      <c r="DD30" s="95"/>
      <c r="DE30" s="93"/>
      <c r="DF30" s="51"/>
      <c r="DG30" s="51"/>
      <c r="DH30" s="51"/>
      <c r="DI30" s="51"/>
      <c r="DJ30" s="51"/>
      <c r="DK30" s="51"/>
      <c r="DL30" s="95"/>
      <c r="DM30" s="891"/>
      <c r="DN30" s="682">
        <f t="shared" si="7"/>
        <v>0</v>
      </c>
      <c r="DO30" s="683"/>
    </row>
    <row r="31" spans="1:127" ht="25.5" customHeight="1" thickTop="1" thickBot="1" x14ac:dyDescent="0.2">
      <c r="A31" s="676">
        <f t="shared" si="3"/>
        <v>16</v>
      </c>
      <c r="B31" s="1052"/>
      <c r="C31" s="1052"/>
      <c r="D31" s="888"/>
      <c r="E31" s="953"/>
      <c r="F31" s="884"/>
      <c r="G31" s="889"/>
      <c r="H31" s="1057"/>
      <c r="I31" s="684" t="str">
        <f t="shared" si="0"/>
        <v/>
      </c>
      <c r="J31" s="685">
        <f t="shared" si="1"/>
        <v>0</v>
      </c>
      <c r="K31" s="1249"/>
      <c r="L31" s="1251"/>
      <c r="M31" s="1257"/>
      <c r="N31" s="719" t="str">
        <f t="shared" si="4"/>
        <v/>
      </c>
      <c r="O31" s="720" t="str">
        <f>IF('Set up ~ Config'!$G$32=6,IF(OR($N31=7,$N31=8,$N31=9),1,IF(OR($N31=10,$N31=11,$N31=12),2,IF(OR($N31=1,$N31=2,$N31=3),3,IF(OR($N31=4,$N31=5,$N31=6),4,"")))),IF(OR($N31=9,$N31=10,$N31=11),1,IF(OR($N31=12,$N31=1,$N31=2),2,IF(OR($N31=3,$N31=4,$N31=5),3,IF(OR($N31=6,$N31=7,$N31=8),4,"")))))</f>
        <v/>
      </c>
      <c r="P31" s="93"/>
      <c r="Q31" s="51"/>
      <c r="R31" s="51"/>
      <c r="S31" s="51"/>
      <c r="T31" s="51"/>
      <c r="U31" s="51"/>
      <c r="V31" s="51"/>
      <c r="W31" s="51"/>
      <c r="X31" s="51"/>
      <c r="Y31" s="51"/>
      <c r="Z31" s="94"/>
      <c r="AA31" s="51"/>
      <c r="AB31" s="51"/>
      <c r="AC31" s="51"/>
      <c r="AD31" s="51"/>
      <c r="AE31" s="51"/>
      <c r="AF31" s="51"/>
      <c r="AG31" s="51"/>
      <c r="AH31" s="94"/>
      <c r="AI31" s="94"/>
      <c r="AJ31" s="94"/>
      <c r="AK31" s="94"/>
      <c r="AL31" s="94"/>
      <c r="AM31" s="94"/>
      <c r="AN31" s="94"/>
      <c r="AO31" s="95"/>
      <c r="AP31" s="686">
        <f t="shared" si="5"/>
        <v>0</v>
      </c>
      <c r="AQ31" s="42"/>
      <c r="AR31" s="42"/>
      <c r="AS31" s="42"/>
      <c r="AT31" s="43"/>
      <c r="AU31" s="687">
        <f t="shared" si="6"/>
        <v>0</v>
      </c>
      <c r="AV31" s="42"/>
      <c r="AW31" s="42"/>
      <c r="AX31" s="42"/>
      <c r="AY31" s="43"/>
      <c r="AZ31" s="486"/>
      <c r="BA31" s="51"/>
      <c r="BB31" s="94"/>
      <c r="BC31" s="94"/>
      <c r="BD31" s="94"/>
      <c r="BE31" s="94"/>
      <c r="BF31" s="94"/>
      <c r="BG31" s="94"/>
      <c r="BH31" s="94"/>
      <c r="BI31" s="94"/>
      <c r="BJ31" s="94"/>
      <c r="BK31" s="94"/>
      <c r="BL31" s="94"/>
      <c r="BM31" s="483"/>
      <c r="BN31" s="94"/>
      <c r="BO31" s="94"/>
      <c r="BP31" s="94"/>
      <c r="BQ31" s="94"/>
      <c r="BR31" s="94"/>
      <c r="BS31" s="94"/>
      <c r="BT31" s="94"/>
      <c r="BU31" s="94"/>
      <c r="BV31" s="94"/>
      <c r="BW31" s="688">
        <f t="shared" si="2"/>
        <v>0</v>
      </c>
      <c r="BX31" s="51"/>
      <c r="BY31" s="51"/>
      <c r="BZ31" s="51"/>
      <c r="CA31" s="51"/>
      <c r="CB31" s="51"/>
      <c r="CC31" s="51"/>
      <c r="CD31" s="97"/>
      <c r="CE31" s="479"/>
      <c r="CF31" s="51"/>
      <c r="CG31" s="51"/>
      <c r="CH31" s="62"/>
      <c r="CI31" s="62"/>
      <c r="CJ31" s="51"/>
      <c r="CK31" s="51"/>
      <c r="CL31" s="95"/>
      <c r="CM31" s="93"/>
      <c r="CN31" s="51"/>
      <c r="CO31" s="51"/>
      <c r="CP31" s="51"/>
      <c r="CQ31" s="51"/>
      <c r="CR31" s="51"/>
      <c r="CS31" s="51"/>
      <c r="CT31" s="51"/>
      <c r="CU31" s="95"/>
      <c r="CV31" s="93"/>
      <c r="CW31" s="51"/>
      <c r="CX31" s="51"/>
      <c r="CY31" s="51"/>
      <c r="CZ31" s="51"/>
      <c r="DA31" s="51"/>
      <c r="DB31" s="51"/>
      <c r="DC31" s="51"/>
      <c r="DD31" s="95"/>
      <c r="DE31" s="93"/>
      <c r="DF31" s="51"/>
      <c r="DG31" s="51"/>
      <c r="DH31" s="51"/>
      <c r="DI31" s="51"/>
      <c r="DJ31" s="51"/>
      <c r="DK31" s="51"/>
      <c r="DL31" s="95"/>
      <c r="DM31" s="891"/>
      <c r="DN31" s="682">
        <f t="shared" si="7"/>
        <v>0</v>
      </c>
      <c r="DO31" s="683"/>
    </row>
    <row r="32" spans="1:127" ht="25.5" customHeight="1" thickTop="1" thickBot="1" x14ac:dyDescent="0.2">
      <c r="A32" s="676">
        <f t="shared" si="3"/>
        <v>17</v>
      </c>
      <c r="B32" s="1052"/>
      <c r="C32" s="1052"/>
      <c r="D32" s="888"/>
      <c r="E32" s="953"/>
      <c r="F32" s="884"/>
      <c r="G32" s="889"/>
      <c r="H32" s="1057"/>
      <c r="I32" s="684" t="str">
        <f t="shared" si="0"/>
        <v/>
      </c>
      <c r="J32" s="685">
        <f t="shared" si="1"/>
        <v>0</v>
      </c>
      <c r="K32" s="1249"/>
      <c r="L32" s="1251"/>
      <c r="M32" s="1257"/>
      <c r="N32" s="719" t="str">
        <f t="shared" si="4"/>
        <v/>
      </c>
      <c r="O32" s="720" t="str">
        <f>IF('Set up ~ Config'!$G$32=6,IF(OR($N32=7,$N32=8,$N32=9),1,IF(OR($N32=10,$N32=11,$N32=12),2,IF(OR($N32=1,$N32=2,$N32=3),3,IF(OR($N32=4,$N32=5,$N32=6),4,"")))),IF(OR($N32=9,$N32=10,$N32=11),1,IF(OR($N32=12,$N32=1,$N32=2),2,IF(OR($N32=3,$N32=4,$N32=5),3,IF(OR($N32=6,$N32=7,$N32=8),4,"")))))</f>
        <v/>
      </c>
      <c r="P32" s="93"/>
      <c r="Q32" s="51"/>
      <c r="R32" s="51"/>
      <c r="S32" s="51"/>
      <c r="T32" s="51"/>
      <c r="U32" s="51"/>
      <c r="V32" s="51"/>
      <c r="W32" s="51"/>
      <c r="X32" s="51"/>
      <c r="Y32" s="51"/>
      <c r="Z32" s="94"/>
      <c r="AA32" s="51"/>
      <c r="AB32" s="51"/>
      <c r="AC32" s="51"/>
      <c r="AD32" s="51"/>
      <c r="AE32" s="51"/>
      <c r="AF32" s="51"/>
      <c r="AG32" s="51"/>
      <c r="AH32" s="94"/>
      <c r="AI32" s="94"/>
      <c r="AJ32" s="94"/>
      <c r="AK32" s="94"/>
      <c r="AL32" s="94"/>
      <c r="AM32" s="94"/>
      <c r="AN32" s="94"/>
      <c r="AO32" s="95"/>
      <c r="AP32" s="686">
        <f t="shared" si="5"/>
        <v>0</v>
      </c>
      <c r="AQ32" s="42"/>
      <c r="AR32" s="42"/>
      <c r="AS32" s="42"/>
      <c r="AT32" s="43"/>
      <c r="AU32" s="687">
        <f t="shared" si="6"/>
        <v>0</v>
      </c>
      <c r="AV32" s="42"/>
      <c r="AW32" s="42"/>
      <c r="AX32" s="42"/>
      <c r="AY32" s="43"/>
      <c r="AZ32" s="486"/>
      <c r="BA32" s="51"/>
      <c r="BB32" s="94"/>
      <c r="BC32" s="94"/>
      <c r="BD32" s="94"/>
      <c r="BE32" s="94"/>
      <c r="BF32" s="94"/>
      <c r="BG32" s="94"/>
      <c r="BH32" s="94"/>
      <c r="BI32" s="94"/>
      <c r="BJ32" s="94"/>
      <c r="BK32" s="94"/>
      <c r="BL32" s="94"/>
      <c r="BM32" s="483"/>
      <c r="BN32" s="94"/>
      <c r="BO32" s="94"/>
      <c r="BP32" s="94"/>
      <c r="BQ32" s="94"/>
      <c r="BR32" s="94"/>
      <c r="BS32" s="94"/>
      <c r="BT32" s="94"/>
      <c r="BU32" s="94"/>
      <c r="BV32" s="94"/>
      <c r="BW32" s="688">
        <f t="shared" si="2"/>
        <v>0</v>
      </c>
      <c r="BX32" s="51"/>
      <c r="BY32" s="51"/>
      <c r="BZ32" s="51"/>
      <c r="CA32" s="51"/>
      <c r="CB32" s="51"/>
      <c r="CC32" s="51"/>
      <c r="CD32" s="97"/>
      <c r="CE32" s="479"/>
      <c r="CF32" s="51"/>
      <c r="CG32" s="51"/>
      <c r="CH32" s="62"/>
      <c r="CI32" s="62"/>
      <c r="CJ32" s="51"/>
      <c r="CK32" s="51"/>
      <c r="CL32" s="95"/>
      <c r="CM32" s="93"/>
      <c r="CN32" s="51"/>
      <c r="CO32" s="51"/>
      <c r="CP32" s="51"/>
      <c r="CQ32" s="51"/>
      <c r="CR32" s="51"/>
      <c r="CS32" s="51"/>
      <c r="CT32" s="51"/>
      <c r="CU32" s="95"/>
      <c r="CV32" s="93"/>
      <c r="CW32" s="51"/>
      <c r="CX32" s="51"/>
      <c r="CY32" s="51"/>
      <c r="CZ32" s="51"/>
      <c r="DA32" s="51"/>
      <c r="DB32" s="51"/>
      <c r="DC32" s="51"/>
      <c r="DD32" s="95"/>
      <c r="DE32" s="93"/>
      <c r="DF32" s="51"/>
      <c r="DG32" s="51"/>
      <c r="DH32" s="51"/>
      <c r="DI32" s="51"/>
      <c r="DJ32" s="51"/>
      <c r="DK32" s="51"/>
      <c r="DL32" s="95"/>
      <c r="DM32" s="891"/>
      <c r="DN32" s="682">
        <f t="shared" si="7"/>
        <v>0</v>
      </c>
      <c r="DO32" s="683"/>
    </row>
    <row r="33" spans="1:119" ht="25.5" customHeight="1" thickTop="1" thickBot="1" x14ac:dyDescent="0.2">
      <c r="A33" s="676">
        <f t="shared" si="3"/>
        <v>18</v>
      </c>
      <c r="B33" s="1052"/>
      <c r="C33" s="1052"/>
      <c r="D33" s="888"/>
      <c r="E33" s="953"/>
      <c r="F33" s="884"/>
      <c r="G33" s="889"/>
      <c r="H33" s="1057"/>
      <c r="I33" s="684" t="str">
        <f t="shared" si="0"/>
        <v/>
      </c>
      <c r="J33" s="685">
        <f t="shared" si="1"/>
        <v>0</v>
      </c>
      <c r="K33" s="1249"/>
      <c r="L33" s="1251"/>
      <c r="M33" s="1257"/>
      <c r="N33" s="719" t="str">
        <f t="shared" si="4"/>
        <v/>
      </c>
      <c r="O33" s="720" t="str">
        <f>IF('Set up ~ Config'!$G$32=6,IF(OR($N33=7,$N33=8,$N33=9),1,IF(OR($N33=10,$N33=11,$N33=12),2,IF(OR($N33=1,$N33=2,$N33=3),3,IF(OR($N33=4,$N33=5,$N33=6),4,"")))),IF(OR($N33=9,$N33=10,$N33=11),1,IF(OR($N33=12,$N33=1,$N33=2),2,IF(OR($N33=3,$N33=4,$N33=5),3,IF(OR($N33=6,$N33=7,$N33=8),4,"")))))</f>
        <v/>
      </c>
      <c r="P33" s="93"/>
      <c r="Q33" s="51"/>
      <c r="R33" s="51"/>
      <c r="S33" s="51"/>
      <c r="T33" s="51"/>
      <c r="U33" s="51"/>
      <c r="V33" s="51"/>
      <c r="W33" s="51"/>
      <c r="X33" s="51"/>
      <c r="Y33" s="51"/>
      <c r="Z33" s="94"/>
      <c r="AA33" s="51"/>
      <c r="AB33" s="51"/>
      <c r="AC33" s="51"/>
      <c r="AD33" s="51"/>
      <c r="AE33" s="51"/>
      <c r="AF33" s="51"/>
      <c r="AG33" s="51"/>
      <c r="AH33" s="94"/>
      <c r="AI33" s="94"/>
      <c r="AJ33" s="94"/>
      <c r="AK33" s="94"/>
      <c r="AL33" s="94"/>
      <c r="AM33" s="94"/>
      <c r="AN33" s="94"/>
      <c r="AO33" s="95"/>
      <c r="AP33" s="686">
        <f t="shared" si="5"/>
        <v>0</v>
      </c>
      <c r="AQ33" s="42"/>
      <c r="AR33" s="42"/>
      <c r="AS33" s="42"/>
      <c r="AT33" s="43"/>
      <c r="AU33" s="687">
        <f t="shared" si="6"/>
        <v>0</v>
      </c>
      <c r="AV33" s="42"/>
      <c r="AW33" s="42"/>
      <c r="AX33" s="42"/>
      <c r="AY33" s="43"/>
      <c r="AZ33" s="486"/>
      <c r="BA33" s="51"/>
      <c r="BB33" s="94"/>
      <c r="BC33" s="94"/>
      <c r="BD33" s="94"/>
      <c r="BE33" s="94"/>
      <c r="BF33" s="94"/>
      <c r="BG33" s="94"/>
      <c r="BH33" s="94"/>
      <c r="BI33" s="94"/>
      <c r="BJ33" s="94"/>
      <c r="BK33" s="94"/>
      <c r="BL33" s="94"/>
      <c r="BM33" s="483"/>
      <c r="BN33" s="94"/>
      <c r="BO33" s="94"/>
      <c r="BP33" s="94"/>
      <c r="BQ33" s="94"/>
      <c r="BR33" s="94"/>
      <c r="BS33" s="94"/>
      <c r="BT33" s="94"/>
      <c r="BU33" s="94"/>
      <c r="BV33" s="94"/>
      <c r="BW33" s="688">
        <f t="shared" si="2"/>
        <v>0</v>
      </c>
      <c r="BX33" s="51"/>
      <c r="BY33" s="51"/>
      <c r="BZ33" s="51"/>
      <c r="CA33" s="51"/>
      <c r="CB33" s="51"/>
      <c r="CC33" s="51"/>
      <c r="CD33" s="97"/>
      <c r="CE33" s="479"/>
      <c r="CF33" s="51"/>
      <c r="CG33" s="51"/>
      <c r="CH33" s="62"/>
      <c r="CI33" s="62"/>
      <c r="CJ33" s="51"/>
      <c r="CK33" s="51"/>
      <c r="CL33" s="95"/>
      <c r="CM33" s="93"/>
      <c r="CN33" s="51"/>
      <c r="CO33" s="51"/>
      <c r="CP33" s="51"/>
      <c r="CQ33" s="51"/>
      <c r="CR33" s="51"/>
      <c r="CS33" s="51"/>
      <c r="CT33" s="51"/>
      <c r="CU33" s="95"/>
      <c r="CV33" s="93"/>
      <c r="CW33" s="51"/>
      <c r="CX33" s="51"/>
      <c r="CY33" s="51"/>
      <c r="CZ33" s="51"/>
      <c r="DA33" s="51"/>
      <c r="DB33" s="51"/>
      <c r="DC33" s="51"/>
      <c r="DD33" s="95"/>
      <c r="DE33" s="93"/>
      <c r="DF33" s="51"/>
      <c r="DG33" s="51"/>
      <c r="DH33" s="51"/>
      <c r="DI33" s="51"/>
      <c r="DJ33" s="51"/>
      <c r="DK33" s="51"/>
      <c r="DL33" s="95"/>
      <c r="DM33" s="891"/>
      <c r="DN33" s="682">
        <f t="shared" si="7"/>
        <v>0</v>
      </c>
      <c r="DO33" s="683"/>
    </row>
    <row r="34" spans="1:119" ht="25.5" customHeight="1" thickTop="1" thickBot="1" x14ac:dyDescent="0.2">
      <c r="A34" s="676">
        <f t="shared" si="3"/>
        <v>19</v>
      </c>
      <c r="B34" s="1053"/>
      <c r="C34" s="1053"/>
      <c r="D34" s="938"/>
      <c r="E34" s="956"/>
      <c r="F34" s="883"/>
      <c r="G34" s="889"/>
      <c r="H34" s="1057"/>
      <c r="I34" s="684" t="str">
        <f t="shared" si="0"/>
        <v/>
      </c>
      <c r="J34" s="685">
        <f t="shared" si="1"/>
        <v>0</v>
      </c>
      <c r="K34" s="1249"/>
      <c r="L34" s="1251"/>
      <c r="M34" s="1257"/>
      <c r="N34" s="719" t="str">
        <f t="shared" si="4"/>
        <v/>
      </c>
      <c r="O34" s="720" t="str">
        <f>IF('Set up ~ Config'!$G$32=6,IF(OR($N34=7,$N34=8,$N34=9),1,IF(OR($N34=10,$N34=11,$N34=12),2,IF(OR($N34=1,$N34=2,$N34=3),3,IF(OR($N34=4,$N34=5,$N34=6),4,"")))),IF(OR($N34=9,$N34=10,$N34=11),1,IF(OR($N34=12,$N34=1,$N34=2),2,IF(OR($N34=3,$N34=4,$N34=5),3,IF(OR($N34=6,$N34=7,$N34=8),4,"")))))</f>
        <v/>
      </c>
      <c r="P34" s="93"/>
      <c r="Q34" s="51"/>
      <c r="R34" s="51"/>
      <c r="S34" s="51"/>
      <c r="T34" s="51"/>
      <c r="U34" s="51"/>
      <c r="V34" s="51"/>
      <c r="W34" s="51"/>
      <c r="X34" s="51"/>
      <c r="Y34" s="51"/>
      <c r="Z34" s="51"/>
      <c r="AA34" s="51"/>
      <c r="AB34" s="51"/>
      <c r="AC34" s="51"/>
      <c r="AD34" s="51"/>
      <c r="AE34" s="51"/>
      <c r="AF34" s="51"/>
      <c r="AG34" s="51"/>
      <c r="AH34" s="94"/>
      <c r="AI34" s="94"/>
      <c r="AJ34" s="94"/>
      <c r="AK34" s="94"/>
      <c r="AL34" s="94"/>
      <c r="AM34" s="94"/>
      <c r="AN34" s="94"/>
      <c r="AO34" s="95"/>
      <c r="AP34" s="686">
        <f t="shared" si="5"/>
        <v>0</v>
      </c>
      <c r="AQ34" s="42"/>
      <c r="AR34" s="42"/>
      <c r="AS34" s="42"/>
      <c r="AT34" s="43"/>
      <c r="AU34" s="687">
        <f t="shared" si="6"/>
        <v>0</v>
      </c>
      <c r="AV34" s="42"/>
      <c r="AW34" s="42"/>
      <c r="AX34" s="42"/>
      <c r="AY34" s="43"/>
      <c r="AZ34" s="486"/>
      <c r="BA34" s="51"/>
      <c r="BB34" s="51"/>
      <c r="BC34" s="51"/>
      <c r="BD34" s="51"/>
      <c r="BE34" s="51"/>
      <c r="BF34" s="51"/>
      <c r="BG34" s="51"/>
      <c r="BH34" s="94"/>
      <c r="BI34" s="94"/>
      <c r="BJ34" s="94"/>
      <c r="BK34" s="94"/>
      <c r="BL34" s="94"/>
      <c r="BM34" s="483"/>
      <c r="BN34" s="94"/>
      <c r="BO34" s="94"/>
      <c r="BP34" s="94"/>
      <c r="BQ34" s="94"/>
      <c r="BR34" s="94"/>
      <c r="BS34" s="94"/>
      <c r="BT34" s="94"/>
      <c r="BU34" s="94"/>
      <c r="BV34" s="94"/>
      <c r="BW34" s="688">
        <f t="shared" si="2"/>
        <v>0</v>
      </c>
      <c r="BX34" s="51"/>
      <c r="BY34" s="51"/>
      <c r="BZ34" s="51"/>
      <c r="CA34" s="51"/>
      <c r="CB34" s="51"/>
      <c r="CC34" s="51"/>
      <c r="CD34" s="97"/>
      <c r="CE34" s="479"/>
      <c r="CF34" s="51"/>
      <c r="CG34" s="51"/>
      <c r="CH34" s="62"/>
      <c r="CI34" s="62"/>
      <c r="CJ34" s="51"/>
      <c r="CK34" s="51"/>
      <c r="CL34" s="95"/>
      <c r="CM34" s="93"/>
      <c r="CN34" s="51"/>
      <c r="CO34" s="51"/>
      <c r="CP34" s="51"/>
      <c r="CQ34" s="51"/>
      <c r="CR34" s="51"/>
      <c r="CS34" s="51"/>
      <c r="CT34" s="51"/>
      <c r="CU34" s="95"/>
      <c r="CV34" s="93"/>
      <c r="CW34" s="51"/>
      <c r="CX34" s="51"/>
      <c r="CY34" s="51"/>
      <c r="CZ34" s="51"/>
      <c r="DA34" s="51"/>
      <c r="DB34" s="51"/>
      <c r="DC34" s="51"/>
      <c r="DD34" s="95"/>
      <c r="DE34" s="93"/>
      <c r="DF34" s="51"/>
      <c r="DG34" s="51"/>
      <c r="DH34" s="51"/>
      <c r="DI34" s="51"/>
      <c r="DJ34" s="51"/>
      <c r="DK34" s="51"/>
      <c r="DL34" s="95"/>
      <c r="DM34" s="891"/>
      <c r="DN34" s="682">
        <f t="shared" si="7"/>
        <v>0</v>
      </c>
      <c r="DO34" s="683"/>
    </row>
    <row r="35" spans="1:119" ht="25.5" customHeight="1" thickTop="1" thickBot="1" x14ac:dyDescent="0.2">
      <c r="A35" s="676">
        <f t="shared" si="3"/>
        <v>20</v>
      </c>
      <c r="B35" s="1052"/>
      <c r="C35" s="1052"/>
      <c r="D35" s="888"/>
      <c r="E35" s="953"/>
      <c r="F35" s="884"/>
      <c r="G35" s="889"/>
      <c r="H35" s="1057"/>
      <c r="I35" s="684" t="str">
        <f t="shared" si="0"/>
        <v/>
      </c>
      <c r="J35" s="685">
        <f t="shared" si="1"/>
        <v>0</v>
      </c>
      <c r="K35" s="1249"/>
      <c r="L35" s="1251"/>
      <c r="M35" s="1257"/>
      <c r="N35" s="719" t="str">
        <f t="shared" si="4"/>
        <v/>
      </c>
      <c r="O35" s="720" t="str">
        <f>IF('Set up ~ Config'!$G$32=6,IF(OR($N35=7,$N35=8,$N35=9),1,IF(OR($N35=10,$N35=11,$N35=12),2,IF(OR($N35=1,$N35=2,$N35=3),3,IF(OR($N35=4,$N35=5,$N35=6),4,"")))),IF(OR($N35=9,$N35=10,$N35=11),1,IF(OR($N35=12,$N35=1,$N35=2),2,IF(OR($N35=3,$N35=4,$N35=5),3,IF(OR($N35=6,$N35=7,$N35=8),4,"")))))</f>
        <v/>
      </c>
      <c r="P35" s="93"/>
      <c r="Q35" s="51"/>
      <c r="R35" s="51"/>
      <c r="S35" s="51"/>
      <c r="T35" s="51"/>
      <c r="U35" s="51"/>
      <c r="V35" s="51"/>
      <c r="W35" s="51"/>
      <c r="X35" s="51"/>
      <c r="Y35" s="51"/>
      <c r="Z35" s="51"/>
      <c r="AA35" s="51"/>
      <c r="AB35" s="51"/>
      <c r="AC35" s="51"/>
      <c r="AD35" s="51"/>
      <c r="AE35" s="51"/>
      <c r="AF35" s="51"/>
      <c r="AG35" s="51"/>
      <c r="AH35" s="94"/>
      <c r="AI35" s="94"/>
      <c r="AJ35" s="94"/>
      <c r="AK35" s="94"/>
      <c r="AL35" s="94"/>
      <c r="AM35" s="94"/>
      <c r="AN35" s="94"/>
      <c r="AO35" s="95"/>
      <c r="AP35" s="686">
        <f t="shared" si="5"/>
        <v>0</v>
      </c>
      <c r="AQ35" s="42"/>
      <c r="AR35" s="42"/>
      <c r="AS35" s="42"/>
      <c r="AT35" s="43"/>
      <c r="AU35" s="687">
        <f t="shared" si="6"/>
        <v>0</v>
      </c>
      <c r="AV35" s="42"/>
      <c r="AW35" s="42"/>
      <c r="AX35" s="42"/>
      <c r="AY35" s="43"/>
      <c r="AZ35" s="486"/>
      <c r="BA35" s="51"/>
      <c r="BB35" s="51"/>
      <c r="BC35" s="51"/>
      <c r="BD35" s="51"/>
      <c r="BE35" s="51"/>
      <c r="BF35" s="51"/>
      <c r="BG35" s="51"/>
      <c r="BH35" s="94"/>
      <c r="BI35" s="94"/>
      <c r="BJ35" s="94"/>
      <c r="BK35" s="94"/>
      <c r="BL35" s="94"/>
      <c r="BM35" s="483"/>
      <c r="BN35" s="94"/>
      <c r="BO35" s="94"/>
      <c r="BP35" s="94"/>
      <c r="BQ35" s="94"/>
      <c r="BR35" s="94"/>
      <c r="BS35" s="94"/>
      <c r="BT35" s="94"/>
      <c r="BU35" s="94"/>
      <c r="BV35" s="94"/>
      <c r="BW35" s="688">
        <f t="shared" si="2"/>
        <v>0</v>
      </c>
      <c r="BX35" s="51"/>
      <c r="BY35" s="51"/>
      <c r="BZ35" s="51"/>
      <c r="CA35" s="51"/>
      <c r="CB35" s="51"/>
      <c r="CC35" s="51"/>
      <c r="CD35" s="97"/>
      <c r="CE35" s="479"/>
      <c r="CF35" s="51"/>
      <c r="CG35" s="51"/>
      <c r="CH35" s="62"/>
      <c r="CI35" s="62"/>
      <c r="CJ35" s="51"/>
      <c r="CK35" s="51"/>
      <c r="CL35" s="95"/>
      <c r="CM35" s="93"/>
      <c r="CN35" s="51"/>
      <c r="CO35" s="51"/>
      <c r="CP35" s="51"/>
      <c r="CQ35" s="51"/>
      <c r="CR35" s="51"/>
      <c r="CS35" s="51"/>
      <c r="CT35" s="51"/>
      <c r="CU35" s="95"/>
      <c r="CV35" s="93"/>
      <c r="CW35" s="51"/>
      <c r="CX35" s="51"/>
      <c r="CY35" s="51"/>
      <c r="CZ35" s="51"/>
      <c r="DA35" s="51"/>
      <c r="DB35" s="51"/>
      <c r="DC35" s="51"/>
      <c r="DD35" s="95"/>
      <c r="DE35" s="93"/>
      <c r="DF35" s="51"/>
      <c r="DG35" s="51"/>
      <c r="DH35" s="51"/>
      <c r="DI35" s="51"/>
      <c r="DJ35" s="51"/>
      <c r="DK35" s="51"/>
      <c r="DL35" s="95"/>
      <c r="DM35" s="891"/>
      <c r="DN35" s="682">
        <f t="shared" si="7"/>
        <v>0</v>
      </c>
      <c r="DO35" s="683"/>
    </row>
    <row r="36" spans="1:119" ht="25.5" customHeight="1" thickTop="1" thickBot="1" x14ac:dyDescent="0.2">
      <c r="A36" s="676">
        <f t="shared" si="3"/>
        <v>21</v>
      </c>
      <c r="B36" s="1052"/>
      <c r="C36" s="1052"/>
      <c r="D36" s="888"/>
      <c r="E36" s="953"/>
      <c r="F36" s="884"/>
      <c r="G36" s="889"/>
      <c r="H36" s="1057"/>
      <c r="I36" s="684" t="str">
        <f t="shared" si="0"/>
        <v/>
      </c>
      <c r="J36" s="685">
        <f t="shared" si="1"/>
        <v>0</v>
      </c>
      <c r="K36" s="1249"/>
      <c r="L36" s="1251"/>
      <c r="M36" s="1257"/>
      <c r="N36" s="719" t="str">
        <f t="shared" si="4"/>
        <v/>
      </c>
      <c r="O36" s="720" t="str">
        <f>IF('Set up ~ Config'!$G$32=6,IF(OR($N36=7,$N36=8,$N36=9),1,IF(OR($N36=10,$N36=11,$N36=12),2,IF(OR($N36=1,$N36=2,$N36=3),3,IF(OR($N36=4,$N36=5,$N36=6),4,"")))),IF(OR($N36=9,$N36=10,$N36=11),1,IF(OR($N36=12,$N36=1,$N36=2),2,IF(OR($N36=3,$N36=4,$N36=5),3,IF(OR($N36=6,$N36=7,$N36=8),4,"")))))</f>
        <v/>
      </c>
      <c r="P36" s="93"/>
      <c r="Q36" s="51"/>
      <c r="R36" s="51"/>
      <c r="S36" s="51"/>
      <c r="T36" s="51"/>
      <c r="U36" s="51"/>
      <c r="V36" s="51"/>
      <c r="W36" s="51"/>
      <c r="X36" s="51"/>
      <c r="Y36" s="51"/>
      <c r="Z36" s="51"/>
      <c r="AA36" s="51"/>
      <c r="AB36" s="51"/>
      <c r="AC36" s="51"/>
      <c r="AD36" s="51"/>
      <c r="AE36" s="51"/>
      <c r="AF36" s="51"/>
      <c r="AG36" s="51"/>
      <c r="AH36" s="94"/>
      <c r="AI36" s="94"/>
      <c r="AJ36" s="94"/>
      <c r="AK36" s="94"/>
      <c r="AL36" s="94"/>
      <c r="AM36" s="94"/>
      <c r="AN36" s="94"/>
      <c r="AO36" s="95"/>
      <c r="AP36" s="686">
        <f t="shared" si="5"/>
        <v>0</v>
      </c>
      <c r="AQ36" s="42"/>
      <c r="AR36" s="42"/>
      <c r="AS36" s="42"/>
      <c r="AT36" s="43"/>
      <c r="AU36" s="687">
        <f t="shared" si="6"/>
        <v>0</v>
      </c>
      <c r="AV36" s="42"/>
      <c r="AW36" s="42"/>
      <c r="AX36" s="42"/>
      <c r="AY36" s="43"/>
      <c r="AZ36" s="486"/>
      <c r="BA36" s="51"/>
      <c r="BB36" s="51"/>
      <c r="BC36" s="51"/>
      <c r="BD36" s="51"/>
      <c r="BE36" s="51"/>
      <c r="BF36" s="51"/>
      <c r="BG36" s="51"/>
      <c r="BH36" s="94"/>
      <c r="BI36" s="94"/>
      <c r="BJ36" s="94"/>
      <c r="BK36" s="94"/>
      <c r="BL36" s="94"/>
      <c r="BM36" s="483"/>
      <c r="BN36" s="94"/>
      <c r="BO36" s="94"/>
      <c r="BP36" s="94"/>
      <c r="BQ36" s="94"/>
      <c r="BR36" s="94"/>
      <c r="BS36" s="94"/>
      <c r="BT36" s="94"/>
      <c r="BU36" s="94"/>
      <c r="BV36" s="94"/>
      <c r="BW36" s="688">
        <f t="shared" si="2"/>
        <v>0</v>
      </c>
      <c r="BX36" s="51"/>
      <c r="BY36" s="51"/>
      <c r="BZ36" s="51"/>
      <c r="CA36" s="51"/>
      <c r="CB36" s="51"/>
      <c r="CC36" s="51"/>
      <c r="CD36" s="97"/>
      <c r="CE36" s="479"/>
      <c r="CF36" s="51"/>
      <c r="CG36" s="51"/>
      <c r="CH36" s="62"/>
      <c r="CI36" s="62"/>
      <c r="CJ36" s="51"/>
      <c r="CK36" s="51"/>
      <c r="CL36" s="95"/>
      <c r="CM36" s="93"/>
      <c r="CN36" s="51"/>
      <c r="CO36" s="51"/>
      <c r="CP36" s="51"/>
      <c r="CQ36" s="51"/>
      <c r="CR36" s="51"/>
      <c r="CS36" s="51"/>
      <c r="CT36" s="51"/>
      <c r="CU36" s="95"/>
      <c r="CV36" s="93"/>
      <c r="CW36" s="51"/>
      <c r="CX36" s="51"/>
      <c r="CY36" s="51"/>
      <c r="CZ36" s="51"/>
      <c r="DA36" s="51"/>
      <c r="DB36" s="51"/>
      <c r="DC36" s="51"/>
      <c r="DD36" s="95"/>
      <c r="DE36" s="93"/>
      <c r="DF36" s="51"/>
      <c r="DG36" s="51"/>
      <c r="DH36" s="51"/>
      <c r="DI36" s="51"/>
      <c r="DJ36" s="51"/>
      <c r="DK36" s="51"/>
      <c r="DL36" s="95"/>
      <c r="DM36" s="891"/>
      <c r="DN36" s="682">
        <f t="shared" si="7"/>
        <v>0</v>
      </c>
      <c r="DO36" s="683"/>
    </row>
    <row r="37" spans="1:119" ht="25.5" customHeight="1" thickTop="1" thickBot="1" x14ac:dyDescent="0.2">
      <c r="A37" s="676">
        <f t="shared" si="3"/>
        <v>22</v>
      </c>
      <c r="B37" s="1052"/>
      <c r="C37" s="1052"/>
      <c r="D37" s="888"/>
      <c r="E37" s="953"/>
      <c r="F37" s="884"/>
      <c r="G37" s="889"/>
      <c r="H37" s="1057"/>
      <c r="I37" s="684" t="str">
        <f t="shared" si="0"/>
        <v/>
      </c>
      <c r="J37" s="685">
        <f t="shared" si="1"/>
        <v>0</v>
      </c>
      <c r="K37" s="1249"/>
      <c r="L37" s="1251"/>
      <c r="M37" s="1257"/>
      <c r="N37" s="719" t="str">
        <f t="shared" si="4"/>
        <v/>
      </c>
      <c r="O37" s="720" t="str">
        <f>IF('Set up ~ Config'!$G$32=6,IF(OR($N37=7,$N37=8,$N37=9),1,IF(OR($N37=10,$N37=11,$N37=12),2,IF(OR($N37=1,$N37=2,$N37=3),3,IF(OR($N37=4,$N37=5,$N37=6),4,"")))),IF(OR($N37=9,$N37=10,$N37=11),1,IF(OR($N37=12,$N37=1,$N37=2),2,IF(OR($N37=3,$N37=4,$N37=5),3,IF(OR($N37=6,$N37=7,$N37=8),4,"")))))</f>
        <v/>
      </c>
      <c r="P37" s="93"/>
      <c r="Q37" s="51"/>
      <c r="R37" s="51"/>
      <c r="S37" s="51"/>
      <c r="T37" s="51"/>
      <c r="U37" s="51"/>
      <c r="V37" s="51"/>
      <c r="W37" s="51"/>
      <c r="X37" s="51"/>
      <c r="Y37" s="51"/>
      <c r="Z37" s="51"/>
      <c r="AA37" s="51"/>
      <c r="AB37" s="51"/>
      <c r="AC37" s="51"/>
      <c r="AD37" s="51"/>
      <c r="AE37" s="51"/>
      <c r="AF37" s="51"/>
      <c r="AG37" s="51"/>
      <c r="AH37" s="94"/>
      <c r="AI37" s="94"/>
      <c r="AJ37" s="94"/>
      <c r="AK37" s="94"/>
      <c r="AL37" s="94"/>
      <c r="AM37" s="94"/>
      <c r="AN37" s="94"/>
      <c r="AO37" s="95"/>
      <c r="AP37" s="686">
        <f t="shared" si="5"/>
        <v>0</v>
      </c>
      <c r="AQ37" s="42"/>
      <c r="AR37" s="42"/>
      <c r="AS37" s="42"/>
      <c r="AT37" s="43"/>
      <c r="AU37" s="687">
        <f t="shared" si="6"/>
        <v>0</v>
      </c>
      <c r="AV37" s="42"/>
      <c r="AW37" s="42"/>
      <c r="AX37" s="42"/>
      <c r="AY37" s="43"/>
      <c r="AZ37" s="486"/>
      <c r="BA37" s="51"/>
      <c r="BB37" s="51"/>
      <c r="BC37" s="51"/>
      <c r="BD37" s="51"/>
      <c r="BE37" s="51"/>
      <c r="BF37" s="51"/>
      <c r="BG37" s="51"/>
      <c r="BH37" s="94"/>
      <c r="BI37" s="94"/>
      <c r="BJ37" s="94"/>
      <c r="BK37" s="94"/>
      <c r="BL37" s="94"/>
      <c r="BM37" s="483"/>
      <c r="BN37" s="94"/>
      <c r="BO37" s="94"/>
      <c r="BP37" s="94"/>
      <c r="BQ37" s="94"/>
      <c r="BR37" s="94"/>
      <c r="BS37" s="94"/>
      <c r="BT37" s="94"/>
      <c r="BU37" s="94"/>
      <c r="BV37" s="94"/>
      <c r="BW37" s="688">
        <f t="shared" si="2"/>
        <v>0</v>
      </c>
      <c r="BX37" s="51"/>
      <c r="BY37" s="51"/>
      <c r="BZ37" s="51"/>
      <c r="CA37" s="51"/>
      <c r="CB37" s="51"/>
      <c r="CC37" s="51"/>
      <c r="CD37" s="97"/>
      <c r="CE37" s="479"/>
      <c r="CF37" s="51"/>
      <c r="CG37" s="51"/>
      <c r="CH37" s="62"/>
      <c r="CI37" s="62"/>
      <c r="CJ37" s="51"/>
      <c r="CK37" s="51"/>
      <c r="CL37" s="95"/>
      <c r="CM37" s="93"/>
      <c r="CN37" s="51"/>
      <c r="CO37" s="51"/>
      <c r="CP37" s="51"/>
      <c r="CQ37" s="51"/>
      <c r="CR37" s="51"/>
      <c r="CS37" s="51"/>
      <c r="CT37" s="51"/>
      <c r="CU37" s="95"/>
      <c r="CV37" s="93"/>
      <c r="CW37" s="51"/>
      <c r="CX37" s="51"/>
      <c r="CY37" s="51"/>
      <c r="CZ37" s="51"/>
      <c r="DA37" s="51"/>
      <c r="DB37" s="51"/>
      <c r="DC37" s="51"/>
      <c r="DD37" s="95"/>
      <c r="DE37" s="93"/>
      <c r="DF37" s="51"/>
      <c r="DG37" s="51"/>
      <c r="DH37" s="51"/>
      <c r="DI37" s="64"/>
      <c r="DJ37" s="51"/>
      <c r="DK37" s="51"/>
      <c r="DL37" s="95"/>
      <c r="DM37" s="891"/>
      <c r="DN37" s="682">
        <f t="shared" si="7"/>
        <v>0</v>
      </c>
      <c r="DO37" s="683"/>
    </row>
    <row r="38" spans="1:119" ht="25.5" customHeight="1" thickTop="1" thickBot="1" x14ac:dyDescent="0.2">
      <c r="A38" s="676">
        <f t="shared" si="3"/>
        <v>23</v>
      </c>
      <c r="B38" s="1052"/>
      <c r="C38" s="1052"/>
      <c r="D38" s="888"/>
      <c r="E38" s="953"/>
      <c r="F38" s="884"/>
      <c r="G38" s="889"/>
      <c r="H38" s="1057"/>
      <c r="I38" s="684" t="str">
        <f t="shared" si="0"/>
        <v/>
      </c>
      <c r="J38" s="685">
        <f t="shared" si="1"/>
        <v>0</v>
      </c>
      <c r="K38" s="1249"/>
      <c r="L38" s="1251"/>
      <c r="M38" s="1257"/>
      <c r="N38" s="719" t="str">
        <f t="shared" si="4"/>
        <v/>
      </c>
      <c r="O38" s="720" t="str">
        <f>IF('Set up ~ Config'!$G$32=6,IF(OR($N38=7,$N38=8,$N38=9),1,IF(OR($N38=10,$N38=11,$N38=12),2,IF(OR($N38=1,$N38=2,$N38=3),3,IF(OR($N38=4,$N38=5,$N38=6),4,"")))),IF(OR($N38=9,$N38=10,$N38=11),1,IF(OR($N38=12,$N38=1,$N38=2),2,IF(OR($N38=3,$N38=4,$N38=5),3,IF(OR($N38=6,$N38=7,$N38=8),4,"")))))</f>
        <v/>
      </c>
      <c r="P38" s="93"/>
      <c r="Q38" s="51"/>
      <c r="R38" s="51"/>
      <c r="S38" s="51"/>
      <c r="T38" s="51"/>
      <c r="U38" s="51"/>
      <c r="V38" s="51"/>
      <c r="W38" s="51"/>
      <c r="X38" s="51"/>
      <c r="Y38" s="51"/>
      <c r="Z38" s="51"/>
      <c r="AA38" s="51"/>
      <c r="AB38" s="51"/>
      <c r="AC38" s="51"/>
      <c r="AD38" s="51"/>
      <c r="AE38" s="51"/>
      <c r="AF38" s="51"/>
      <c r="AG38" s="51"/>
      <c r="AH38" s="94"/>
      <c r="AI38" s="94"/>
      <c r="AJ38" s="94"/>
      <c r="AK38" s="94"/>
      <c r="AL38" s="94"/>
      <c r="AM38" s="94"/>
      <c r="AN38" s="94"/>
      <c r="AO38" s="95"/>
      <c r="AP38" s="686">
        <f t="shared" si="5"/>
        <v>0</v>
      </c>
      <c r="AQ38" s="42"/>
      <c r="AR38" s="42"/>
      <c r="AS38" s="42"/>
      <c r="AT38" s="43"/>
      <c r="AU38" s="687">
        <f t="shared" si="6"/>
        <v>0</v>
      </c>
      <c r="AV38" s="42"/>
      <c r="AW38" s="42"/>
      <c r="AX38" s="42"/>
      <c r="AY38" s="43"/>
      <c r="AZ38" s="486"/>
      <c r="BA38" s="51"/>
      <c r="BB38" s="51"/>
      <c r="BC38" s="51"/>
      <c r="BD38" s="51"/>
      <c r="BE38" s="51"/>
      <c r="BF38" s="51"/>
      <c r="BG38" s="51"/>
      <c r="BH38" s="94"/>
      <c r="BI38" s="94"/>
      <c r="BJ38" s="94"/>
      <c r="BK38" s="94"/>
      <c r="BL38" s="94"/>
      <c r="BM38" s="483"/>
      <c r="BN38" s="94"/>
      <c r="BO38" s="94"/>
      <c r="BP38" s="94"/>
      <c r="BQ38" s="94"/>
      <c r="BR38" s="94"/>
      <c r="BS38" s="94"/>
      <c r="BT38" s="94"/>
      <c r="BU38" s="94"/>
      <c r="BV38" s="94"/>
      <c r="BW38" s="688">
        <f t="shared" si="2"/>
        <v>0</v>
      </c>
      <c r="BX38" s="51"/>
      <c r="BY38" s="51"/>
      <c r="BZ38" s="51"/>
      <c r="CA38" s="51"/>
      <c r="CB38" s="51"/>
      <c r="CC38" s="51"/>
      <c r="CD38" s="97"/>
      <c r="CE38" s="479"/>
      <c r="CF38" s="51"/>
      <c r="CG38" s="51"/>
      <c r="CH38" s="62"/>
      <c r="CI38" s="62"/>
      <c r="CJ38" s="51"/>
      <c r="CK38" s="51"/>
      <c r="CL38" s="95"/>
      <c r="CM38" s="93"/>
      <c r="CN38" s="51"/>
      <c r="CO38" s="51"/>
      <c r="CP38" s="51"/>
      <c r="CQ38" s="51"/>
      <c r="CR38" s="51"/>
      <c r="CS38" s="51"/>
      <c r="CT38" s="51"/>
      <c r="CU38" s="95"/>
      <c r="CV38" s="93"/>
      <c r="CW38" s="51"/>
      <c r="CX38" s="51"/>
      <c r="CY38" s="51"/>
      <c r="CZ38" s="51"/>
      <c r="DA38" s="51"/>
      <c r="DB38" s="51"/>
      <c r="DC38" s="51"/>
      <c r="DD38" s="95"/>
      <c r="DE38" s="93"/>
      <c r="DF38" s="51"/>
      <c r="DG38" s="51"/>
      <c r="DH38" s="51"/>
      <c r="DI38" s="51"/>
      <c r="DJ38" s="51"/>
      <c r="DK38" s="51"/>
      <c r="DL38" s="95"/>
      <c r="DM38" s="891"/>
      <c r="DN38" s="682">
        <f t="shared" si="7"/>
        <v>0</v>
      </c>
      <c r="DO38" s="683"/>
    </row>
    <row r="39" spans="1:119" ht="25.5" customHeight="1" thickTop="1" thickBot="1" x14ac:dyDescent="0.2">
      <c r="A39" s="676">
        <f t="shared" si="3"/>
        <v>24</v>
      </c>
      <c r="B39" s="1052"/>
      <c r="C39" s="1052"/>
      <c r="D39" s="888"/>
      <c r="E39" s="953"/>
      <c r="F39" s="884"/>
      <c r="G39" s="889"/>
      <c r="H39" s="1057"/>
      <c r="I39" s="684" t="str">
        <f t="shared" si="0"/>
        <v/>
      </c>
      <c r="J39" s="685">
        <f t="shared" si="1"/>
        <v>0</v>
      </c>
      <c r="K39" s="1249"/>
      <c r="L39" s="1251"/>
      <c r="M39" s="1257"/>
      <c r="N39" s="719" t="str">
        <f t="shared" si="4"/>
        <v/>
      </c>
      <c r="O39" s="720" t="str">
        <f>IF('Set up ~ Config'!$G$32=6,IF(OR($N39=7,$N39=8,$N39=9),1,IF(OR($N39=10,$N39=11,$N39=12),2,IF(OR($N39=1,$N39=2,$N39=3),3,IF(OR($N39=4,$N39=5,$N39=6),4,"")))),IF(OR($N39=9,$N39=10,$N39=11),1,IF(OR($N39=12,$N39=1,$N39=2),2,IF(OR($N39=3,$N39=4,$N39=5),3,IF(OR($N39=6,$N39=7,$N39=8),4,"")))))</f>
        <v/>
      </c>
      <c r="P39" s="93"/>
      <c r="Q39" s="51"/>
      <c r="R39" s="51"/>
      <c r="S39" s="51"/>
      <c r="T39" s="51"/>
      <c r="U39" s="51"/>
      <c r="V39" s="51"/>
      <c r="W39" s="51"/>
      <c r="X39" s="51"/>
      <c r="Y39" s="51"/>
      <c r="Z39" s="51"/>
      <c r="AA39" s="51"/>
      <c r="AB39" s="51"/>
      <c r="AC39" s="51"/>
      <c r="AD39" s="51"/>
      <c r="AE39" s="51"/>
      <c r="AF39" s="51"/>
      <c r="AG39" s="51"/>
      <c r="AH39" s="94"/>
      <c r="AI39" s="94"/>
      <c r="AJ39" s="94"/>
      <c r="AK39" s="94"/>
      <c r="AL39" s="94"/>
      <c r="AM39" s="94"/>
      <c r="AN39" s="94"/>
      <c r="AO39" s="95"/>
      <c r="AP39" s="686">
        <f t="shared" si="5"/>
        <v>0</v>
      </c>
      <c r="AQ39" s="42"/>
      <c r="AR39" s="42"/>
      <c r="AS39" s="42"/>
      <c r="AT39" s="43"/>
      <c r="AU39" s="687">
        <f t="shared" si="6"/>
        <v>0</v>
      </c>
      <c r="AV39" s="42"/>
      <c r="AW39" s="42"/>
      <c r="AX39" s="42"/>
      <c r="AY39" s="43"/>
      <c r="AZ39" s="486"/>
      <c r="BA39" s="51"/>
      <c r="BB39" s="51"/>
      <c r="BC39" s="51"/>
      <c r="BD39" s="51"/>
      <c r="BE39" s="51"/>
      <c r="BF39" s="51"/>
      <c r="BG39" s="51"/>
      <c r="BH39" s="94"/>
      <c r="BI39" s="94"/>
      <c r="BJ39" s="94"/>
      <c r="BK39" s="94"/>
      <c r="BL39" s="94"/>
      <c r="BM39" s="483"/>
      <c r="BN39" s="94"/>
      <c r="BO39" s="94"/>
      <c r="BP39" s="94"/>
      <c r="BQ39" s="94"/>
      <c r="BR39" s="94"/>
      <c r="BS39" s="94"/>
      <c r="BT39" s="94"/>
      <c r="BU39" s="94"/>
      <c r="BV39" s="94"/>
      <c r="BW39" s="688">
        <f t="shared" si="2"/>
        <v>0</v>
      </c>
      <c r="BX39" s="51"/>
      <c r="BY39" s="51"/>
      <c r="BZ39" s="51"/>
      <c r="CA39" s="51"/>
      <c r="CB39" s="51"/>
      <c r="CC39" s="51"/>
      <c r="CD39" s="97"/>
      <c r="CE39" s="479"/>
      <c r="CF39" s="51"/>
      <c r="CG39" s="51"/>
      <c r="CH39" s="62"/>
      <c r="CI39" s="62"/>
      <c r="CJ39" s="51"/>
      <c r="CK39" s="51"/>
      <c r="CL39" s="95"/>
      <c r="CM39" s="93"/>
      <c r="CN39" s="51"/>
      <c r="CO39" s="51"/>
      <c r="CP39" s="51"/>
      <c r="CQ39" s="51"/>
      <c r="CR39" s="51"/>
      <c r="CS39" s="51"/>
      <c r="CT39" s="51"/>
      <c r="CU39" s="95"/>
      <c r="CV39" s="93"/>
      <c r="CW39" s="51"/>
      <c r="CX39" s="51"/>
      <c r="CY39" s="51"/>
      <c r="CZ39" s="51"/>
      <c r="DA39" s="51"/>
      <c r="DB39" s="51"/>
      <c r="DC39" s="51"/>
      <c r="DD39" s="95"/>
      <c r="DE39" s="93"/>
      <c r="DF39" s="51"/>
      <c r="DG39" s="51"/>
      <c r="DH39" s="51"/>
      <c r="DI39" s="64"/>
      <c r="DJ39" s="51"/>
      <c r="DK39" s="51"/>
      <c r="DL39" s="95"/>
      <c r="DM39" s="891"/>
      <c r="DN39" s="682">
        <f t="shared" si="7"/>
        <v>0</v>
      </c>
      <c r="DO39" s="683"/>
    </row>
    <row r="40" spans="1:119" ht="25.5" customHeight="1" thickTop="1" thickBot="1" x14ac:dyDescent="0.2">
      <c r="A40" s="676">
        <f t="shared" si="3"/>
        <v>25</v>
      </c>
      <c r="B40" s="1052"/>
      <c r="C40" s="1052"/>
      <c r="D40" s="888"/>
      <c r="E40" s="953"/>
      <c r="F40" s="884"/>
      <c r="G40" s="889"/>
      <c r="H40" s="1057"/>
      <c r="I40" s="684" t="str">
        <f t="shared" si="0"/>
        <v/>
      </c>
      <c r="J40" s="685">
        <f t="shared" si="1"/>
        <v>0</v>
      </c>
      <c r="K40" s="1249"/>
      <c r="L40" s="1251"/>
      <c r="M40" s="1257"/>
      <c r="N40" s="719" t="str">
        <f t="shared" si="4"/>
        <v/>
      </c>
      <c r="O40" s="720" t="str">
        <f>IF('Set up ~ Config'!$G$32=6,IF(OR($N40=7,$N40=8,$N40=9),1,IF(OR($N40=10,$N40=11,$N40=12),2,IF(OR($N40=1,$N40=2,$N40=3),3,IF(OR($N40=4,$N40=5,$N40=6),4,"")))),IF(OR($N40=9,$N40=10,$N40=11),1,IF(OR($N40=12,$N40=1,$N40=2),2,IF(OR($N40=3,$N40=4,$N40=5),3,IF(OR($N40=6,$N40=7,$N40=8),4,"")))))</f>
        <v/>
      </c>
      <c r="P40" s="93"/>
      <c r="Q40" s="51"/>
      <c r="R40" s="51"/>
      <c r="S40" s="51"/>
      <c r="T40" s="51"/>
      <c r="U40" s="51"/>
      <c r="V40" s="51"/>
      <c r="W40" s="64"/>
      <c r="X40" s="51"/>
      <c r="Y40" s="51"/>
      <c r="Z40" s="51"/>
      <c r="AA40" s="51"/>
      <c r="AB40" s="51"/>
      <c r="AC40" s="51"/>
      <c r="AD40" s="51"/>
      <c r="AE40" s="51"/>
      <c r="AF40" s="51"/>
      <c r="AG40" s="51"/>
      <c r="AH40" s="94"/>
      <c r="AI40" s="94"/>
      <c r="AJ40" s="94"/>
      <c r="AK40" s="94"/>
      <c r="AL40" s="94"/>
      <c r="AM40" s="94"/>
      <c r="AN40" s="94"/>
      <c r="AO40" s="95"/>
      <c r="AP40" s="686">
        <f t="shared" si="5"/>
        <v>0</v>
      </c>
      <c r="AQ40" s="42"/>
      <c r="AR40" s="42"/>
      <c r="AS40" s="42"/>
      <c r="AT40" s="43"/>
      <c r="AU40" s="687">
        <f t="shared" si="6"/>
        <v>0</v>
      </c>
      <c r="AV40" s="42"/>
      <c r="AW40" s="42"/>
      <c r="AX40" s="42"/>
      <c r="AY40" s="43"/>
      <c r="AZ40" s="486"/>
      <c r="BA40" s="51"/>
      <c r="BB40" s="51"/>
      <c r="BC40" s="51"/>
      <c r="BD40" s="51"/>
      <c r="BE40" s="51"/>
      <c r="BF40" s="51"/>
      <c r="BG40" s="51"/>
      <c r="BH40" s="94"/>
      <c r="BI40" s="94"/>
      <c r="BJ40" s="94"/>
      <c r="BK40" s="94"/>
      <c r="BL40" s="94"/>
      <c r="BM40" s="483"/>
      <c r="BN40" s="94"/>
      <c r="BO40" s="94"/>
      <c r="BP40" s="94"/>
      <c r="BQ40" s="94"/>
      <c r="BR40" s="94"/>
      <c r="BS40" s="94"/>
      <c r="BT40" s="94"/>
      <c r="BU40" s="94"/>
      <c r="BV40" s="94"/>
      <c r="BW40" s="688">
        <f t="shared" si="2"/>
        <v>0</v>
      </c>
      <c r="BX40" s="51"/>
      <c r="BY40" s="51"/>
      <c r="BZ40" s="51"/>
      <c r="CA40" s="51"/>
      <c r="CB40" s="51"/>
      <c r="CC40" s="51"/>
      <c r="CD40" s="97"/>
      <c r="CE40" s="479"/>
      <c r="CF40" s="51"/>
      <c r="CG40" s="51"/>
      <c r="CH40" s="62"/>
      <c r="CI40" s="62"/>
      <c r="CJ40" s="51"/>
      <c r="CK40" s="51"/>
      <c r="CL40" s="95"/>
      <c r="CM40" s="93"/>
      <c r="CN40" s="51"/>
      <c r="CO40" s="51"/>
      <c r="CP40" s="51"/>
      <c r="CQ40" s="51"/>
      <c r="CR40" s="51"/>
      <c r="CS40" s="51"/>
      <c r="CT40" s="51"/>
      <c r="CU40" s="95"/>
      <c r="CV40" s="93"/>
      <c r="CW40" s="51"/>
      <c r="CX40" s="51"/>
      <c r="CY40" s="51"/>
      <c r="CZ40" s="51"/>
      <c r="DA40" s="51"/>
      <c r="DB40" s="51"/>
      <c r="DC40" s="51"/>
      <c r="DD40" s="95"/>
      <c r="DE40" s="93"/>
      <c r="DF40" s="51"/>
      <c r="DG40" s="51"/>
      <c r="DH40" s="51"/>
      <c r="DI40" s="51"/>
      <c r="DJ40" s="51"/>
      <c r="DK40" s="51"/>
      <c r="DL40" s="95"/>
      <c r="DM40" s="891"/>
      <c r="DN40" s="682">
        <f t="shared" si="7"/>
        <v>0</v>
      </c>
      <c r="DO40" s="683"/>
    </row>
    <row r="41" spans="1:119" ht="25.5" customHeight="1" thickTop="1" thickBot="1" x14ac:dyDescent="0.2">
      <c r="A41" s="676">
        <f t="shared" si="3"/>
        <v>26</v>
      </c>
      <c r="B41" s="1052"/>
      <c r="C41" s="1052"/>
      <c r="D41" s="888"/>
      <c r="E41" s="953"/>
      <c r="F41" s="884"/>
      <c r="G41" s="889"/>
      <c r="H41" s="1057"/>
      <c r="I41" s="684" t="str">
        <f t="shared" si="0"/>
        <v/>
      </c>
      <c r="J41" s="685">
        <f t="shared" si="1"/>
        <v>0</v>
      </c>
      <c r="K41" s="1249"/>
      <c r="L41" s="1251"/>
      <c r="M41" s="1257"/>
      <c r="N41" s="719" t="str">
        <f t="shared" si="4"/>
        <v/>
      </c>
      <c r="O41" s="720" t="str">
        <f>IF('Set up ~ Config'!$G$32=6,IF(OR($N41=7,$N41=8,$N41=9),1,IF(OR($N41=10,$N41=11,$N41=12),2,IF(OR($N41=1,$N41=2,$N41=3),3,IF(OR($N41=4,$N41=5,$N41=6),4,"")))),IF(OR($N41=9,$N41=10,$N41=11),1,IF(OR($N41=12,$N41=1,$N41=2),2,IF(OR($N41=3,$N41=4,$N41=5),3,IF(OR($N41=6,$N41=7,$N41=8),4,"")))))</f>
        <v/>
      </c>
      <c r="P41" s="93"/>
      <c r="Q41" s="51"/>
      <c r="R41" s="498"/>
      <c r="S41" s="498"/>
      <c r="T41" s="498"/>
      <c r="U41" s="498"/>
      <c r="V41" s="51"/>
      <c r="W41" s="51"/>
      <c r="X41" s="51"/>
      <c r="Y41" s="51"/>
      <c r="Z41" s="51"/>
      <c r="AA41" s="51"/>
      <c r="AB41" s="51"/>
      <c r="AC41" s="51"/>
      <c r="AD41" s="51"/>
      <c r="AE41" s="51"/>
      <c r="AF41" s="51"/>
      <c r="AG41" s="51"/>
      <c r="AH41" s="94"/>
      <c r="AI41" s="94"/>
      <c r="AJ41" s="94"/>
      <c r="AK41" s="94"/>
      <c r="AL41" s="94"/>
      <c r="AM41" s="94"/>
      <c r="AN41" s="94"/>
      <c r="AO41" s="95"/>
      <c r="AP41" s="686">
        <f t="shared" si="5"/>
        <v>0</v>
      </c>
      <c r="AQ41" s="42"/>
      <c r="AR41" s="42"/>
      <c r="AS41" s="42"/>
      <c r="AT41" s="43"/>
      <c r="AU41" s="687">
        <f t="shared" si="6"/>
        <v>0</v>
      </c>
      <c r="AV41" s="42"/>
      <c r="AW41" s="42"/>
      <c r="AX41" s="42"/>
      <c r="AY41" s="43"/>
      <c r="AZ41" s="486"/>
      <c r="BA41" s="51"/>
      <c r="BB41" s="51"/>
      <c r="BC41" s="51"/>
      <c r="BD41" s="51"/>
      <c r="BE41" s="51"/>
      <c r="BF41" s="51"/>
      <c r="BG41" s="51"/>
      <c r="BH41" s="94"/>
      <c r="BI41" s="94"/>
      <c r="BJ41" s="94"/>
      <c r="BK41" s="94"/>
      <c r="BL41" s="94"/>
      <c r="BM41" s="483"/>
      <c r="BN41" s="94"/>
      <c r="BO41" s="94"/>
      <c r="BP41" s="94"/>
      <c r="BQ41" s="94"/>
      <c r="BR41" s="94"/>
      <c r="BS41" s="94"/>
      <c r="BT41" s="94"/>
      <c r="BU41" s="94"/>
      <c r="BV41" s="94"/>
      <c r="BW41" s="688">
        <f t="shared" si="2"/>
        <v>0</v>
      </c>
      <c r="BX41" s="51"/>
      <c r="BY41" s="51"/>
      <c r="BZ41" s="51"/>
      <c r="CA41" s="51"/>
      <c r="CB41" s="51"/>
      <c r="CC41" s="51"/>
      <c r="CD41" s="97"/>
      <c r="CE41" s="479"/>
      <c r="CF41" s="51"/>
      <c r="CG41" s="51"/>
      <c r="CH41" s="62"/>
      <c r="CI41" s="62"/>
      <c r="CJ41" s="51"/>
      <c r="CK41" s="51"/>
      <c r="CL41" s="95"/>
      <c r="CM41" s="93"/>
      <c r="CN41" s="51"/>
      <c r="CO41" s="51"/>
      <c r="CP41" s="51"/>
      <c r="CQ41" s="51"/>
      <c r="CR41" s="51"/>
      <c r="CS41" s="51"/>
      <c r="CT41" s="51"/>
      <c r="CU41" s="95"/>
      <c r="CV41" s="93"/>
      <c r="CW41" s="51"/>
      <c r="CX41" s="51"/>
      <c r="CY41" s="51"/>
      <c r="CZ41" s="51"/>
      <c r="DA41" s="51"/>
      <c r="DB41" s="51"/>
      <c r="DC41" s="51"/>
      <c r="DD41" s="95"/>
      <c r="DE41" s="93"/>
      <c r="DF41" s="51"/>
      <c r="DG41" s="51"/>
      <c r="DH41" s="51"/>
      <c r="DI41" s="51"/>
      <c r="DJ41" s="51"/>
      <c r="DK41" s="51"/>
      <c r="DL41" s="95"/>
      <c r="DM41" s="891"/>
      <c r="DN41" s="682">
        <f t="shared" si="7"/>
        <v>0</v>
      </c>
      <c r="DO41" s="683"/>
    </row>
    <row r="42" spans="1:119" s="1" customFormat="1" ht="25.5" customHeight="1" thickTop="1" thickBot="1" x14ac:dyDescent="0.2">
      <c r="A42" s="676">
        <f t="shared" si="3"/>
        <v>27</v>
      </c>
      <c r="B42" s="1052"/>
      <c r="C42" s="1052"/>
      <c r="D42" s="888"/>
      <c r="E42" s="953"/>
      <c r="F42" s="884"/>
      <c r="G42" s="889"/>
      <c r="H42" s="1057"/>
      <c r="I42" s="684" t="str">
        <f t="shared" si="0"/>
        <v/>
      </c>
      <c r="J42" s="685">
        <f t="shared" si="1"/>
        <v>0</v>
      </c>
      <c r="K42" s="1249"/>
      <c r="L42" s="1251"/>
      <c r="M42" s="1257"/>
      <c r="N42" s="719" t="str">
        <f t="shared" si="4"/>
        <v/>
      </c>
      <c r="O42" s="720" t="str">
        <f>IF('Set up ~ Config'!$G$32=6,IF(OR($N42=7,$N42=8,$N42=9),1,IF(OR($N42=10,$N42=11,$N42=12),2,IF(OR($N42=1,$N42=2,$N42=3),3,IF(OR($N42=4,$N42=5,$N42=6),4,"")))),IF(OR($N42=9,$N42=10,$N42=11),1,IF(OR($N42=12,$N42=1,$N42=2),2,IF(OR($N42=3,$N42=4,$N42=5),3,IF(OR($N42=6,$N42=7,$N42=8),4,"")))))</f>
        <v/>
      </c>
      <c r="P42" s="99"/>
      <c r="Q42" s="62"/>
      <c r="R42" s="499"/>
      <c r="S42" s="499"/>
      <c r="T42" s="500"/>
      <c r="U42" s="499"/>
      <c r="V42" s="62"/>
      <c r="W42" s="62"/>
      <c r="X42" s="62"/>
      <c r="Y42" s="62"/>
      <c r="Z42" s="62"/>
      <c r="AA42" s="62"/>
      <c r="AB42" s="62"/>
      <c r="AC42" s="62"/>
      <c r="AD42" s="62"/>
      <c r="AE42" s="62"/>
      <c r="AF42" s="62"/>
      <c r="AG42" s="62"/>
      <c r="AH42" s="101"/>
      <c r="AI42" s="101"/>
      <c r="AJ42" s="101"/>
      <c r="AK42" s="101"/>
      <c r="AL42" s="101"/>
      <c r="AM42" s="101"/>
      <c r="AN42" s="101"/>
      <c r="AO42" s="100"/>
      <c r="AP42" s="686">
        <f t="shared" si="5"/>
        <v>0</v>
      </c>
      <c r="AQ42" s="42"/>
      <c r="AR42" s="42"/>
      <c r="AS42" s="42"/>
      <c r="AT42" s="43"/>
      <c r="AU42" s="687">
        <f t="shared" si="6"/>
        <v>0</v>
      </c>
      <c r="AV42" s="42"/>
      <c r="AW42" s="42"/>
      <c r="AX42" s="42"/>
      <c r="AY42" s="43"/>
      <c r="AZ42" s="487"/>
      <c r="BA42" s="62"/>
      <c r="BB42" s="62"/>
      <c r="BC42" s="62"/>
      <c r="BD42" s="62"/>
      <c r="BE42" s="62"/>
      <c r="BF42" s="62"/>
      <c r="BG42" s="62"/>
      <c r="BH42" s="101"/>
      <c r="BI42" s="101"/>
      <c r="BJ42" s="101"/>
      <c r="BK42" s="101"/>
      <c r="BL42" s="101"/>
      <c r="BM42" s="484"/>
      <c r="BN42" s="101"/>
      <c r="BO42" s="101"/>
      <c r="BP42" s="101"/>
      <c r="BQ42" s="101"/>
      <c r="BR42" s="101"/>
      <c r="BS42" s="101"/>
      <c r="BT42" s="101"/>
      <c r="BU42" s="101"/>
      <c r="BV42" s="101"/>
      <c r="BW42" s="688">
        <f t="shared" si="2"/>
        <v>0</v>
      </c>
      <c r="BX42" s="62"/>
      <c r="BY42" s="62"/>
      <c r="BZ42" s="62"/>
      <c r="CA42" s="62"/>
      <c r="CB42" s="62"/>
      <c r="CC42" s="62"/>
      <c r="CD42" s="102"/>
      <c r="CE42" s="480"/>
      <c r="CF42" s="62"/>
      <c r="CG42" s="62"/>
      <c r="CH42" s="62"/>
      <c r="CI42" s="62"/>
      <c r="CJ42" s="62"/>
      <c r="CK42" s="62"/>
      <c r="CL42" s="100"/>
      <c r="CM42" s="99"/>
      <c r="CN42" s="62"/>
      <c r="CO42" s="62"/>
      <c r="CP42" s="62"/>
      <c r="CQ42" s="62"/>
      <c r="CR42" s="62"/>
      <c r="CS42" s="62"/>
      <c r="CT42" s="62"/>
      <c r="CU42" s="100"/>
      <c r="CV42" s="99"/>
      <c r="CW42" s="62"/>
      <c r="CX42" s="62"/>
      <c r="CY42" s="62"/>
      <c r="CZ42" s="62"/>
      <c r="DA42" s="62"/>
      <c r="DB42" s="62"/>
      <c r="DC42" s="62"/>
      <c r="DD42" s="100"/>
      <c r="DE42" s="99"/>
      <c r="DF42" s="62"/>
      <c r="DG42" s="62"/>
      <c r="DH42" s="62"/>
      <c r="DI42" s="62"/>
      <c r="DJ42" s="62"/>
      <c r="DK42" s="62"/>
      <c r="DL42" s="100"/>
      <c r="DM42" s="891"/>
      <c r="DN42" s="682">
        <f t="shared" si="7"/>
        <v>0</v>
      </c>
      <c r="DO42" s="605"/>
    </row>
    <row r="43" spans="1:119" ht="25.5" customHeight="1" thickTop="1" thickBot="1" x14ac:dyDescent="0.2">
      <c r="A43" s="676">
        <f t="shared" si="3"/>
        <v>28</v>
      </c>
      <c r="B43" s="1052"/>
      <c r="C43" s="1052"/>
      <c r="D43" s="888"/>
      <c r="E43" s="953"/>
      <c r="F43" s="884"/>
      <c r="G43" s="889"/>
      <c r="H43" s="1057"/>
      <c r="I43" s="684" t="str">
        <f t="shared" si="0"/>
        <v/>
      </c>
      <c r="J43" s="685">
        <f t="shared" si="1"/>
        <v>0</v>
      </c>
      <c r="K43" s="1249"/>
      <c r="L43" s="1251"/>
      <c r="M43" s="1257"/>
      <c r="N43" s="719" t="str">
        <f t="shared" si="4"/>
        <v/>
      </c>
      <c r="O43" s="720" t="str">
        <f>IF('Set up ~ Config'!$G$32=6,IF(OR($N43=7,$N43=8,$N43=9),1,IF(OR($N43=10,$N43=11,$N43=12),2,IF(OR($N43=1,$N43=2,$N43=3),3,IF(OR($N43=4,$N43=5,$N43=6),4,"")))),IF(OR($N43=9,$N43=10,$N43=11),1,IF(OR($N43=12,$N43=1,$N43=2),2,IF(OR($N43=3,$N43=4,$N43=5),3,IF(OR($N43=6,$N43=7,$N43=8),4,"")))))</f>
        <v/>
      </c>
      <c r="P43" s="93"/>
      <c r="Q43" s="51"/>
      <c r="R43" s="500"/>
      <c r="S43" s="498"/>
      <c r="T43" s="498"/>
      <c r="U43" s="498"/>
      <c r="V43" s="51"/>
      <c r="W43" s="51"/>
      <c r="X43" s="51"/>
      <c r="Y43" s="51"/>
      <c r="Z43" s="51"/>
      <c r="AA43" s="51"/>
      <c r="AB43" s="51"/>
      <c r="AC43" s="51"/>
      <c r="AD43" s="51"/>
      <c r="AE43" s="51"/>
      <c r="AF43" s="51"/>
      <c r="AG43" s="51"/>
      <c r="AH43" s="94"/>
      <c r="AI43" s="94"/>
      <c r="AJ43" s="94"/>
      <c r="AK43" s="94"/>
      <c r="AL43" s="94"/>
      <c r="AM43" s="94"/>
      <c r="AN43" s="94"/>
      <c r="AO43" s="95"/>
      <c r="AP43" s="686">
        <f t="shared" si="5"/>
        <v>0</v>
      </c>
      <c r="AQ43" s="42"/>
      <c r="AR43" s="42"/>
      <c r="AS43" s="42"/>
      <c r="AT43" s="43"/>
      <c r="AU43" s="687">
        <f t="shared" si="6"/>
        <v>0</v>
      </c>
      <c r="AV43" s="42"/>
      <c r="AW43" s="42"/>
      <c r="AX43" s="42"/>
      <c r="AY43" s="43"/>
      <c r="AZ43" s="486"/>
      <c r="BA43" s="51"/>
      <c r="BB43" s="51"/>
      <c r="BC43" s="51"/>
      <c r="BD43" s="51"/>
      <c r="BE43" s="51"/>
      <c r="BF43" s="64"/>
      <c r="BG43" s="51"/>
      <c r="BH43" s="94"/>
      <c r="BI43" s="94"/>
      <c r="BJ43" s="94"/>
      <c r="BK43" s="94"/>
      <c r="BL43" s="94"/>
      <c r="BM43" s="483"/>
      <c r="BN43" s="94"/>
      <c r="BO43" s="94"/>
      <c r="BP43" s="94"/>
      <c r="BQ43" s="94"/>
      <c r="BR43" s="94"/>
      <c r="BS43" s="94"/>
      <c r="BT43" s="94"/>
      <c r="BU43" s="94"/>
      <c r="BV43" s="94"/>
      <c r="BW43" s="688">
        <f t="shared" si="2"/>
        <v>0</v>
      </c>
      <c r="BX43" s="51"/>
      <c r="BY43" s="51"/>
      <c r="BZ43" s="51"/>
      <c r="CA43" s="51"/>
      <c r="CB43" s="51"/>
      <c r="CC43" s="51"/>
      <c r="CD43" s="97"/>
      <c r="CE43" s="479"/>
      <c r="CF43" s="51"/>
      <c r="CG43" s="51"/>
      <c r="CH43" s="62"/>
      <c r="CI43" s="62"/>
      <c r="CJ43" s="51"/>
      <c r="CK43" s="51"/>
      <c r="CL43" s="95"/>
      <c r="CM43" s="93"/>
      <c r="CN43" s="51"/>
      <c r="CO43" s="51"/>
      <c r="CP43" s="51"/>
      <c r="CQ43" s="51"/>
      <c r="CR43" s="51"/>
      <c r="CS43" s="51"/>
      <c r="CT43" s="51"/>
      <c r="CU43" s="95"/>
      <c r="CV43" s="93"/>
      <c r="CW43" s="51"/>
      <c r="CX43" s="51"/>
      <c r="CY43" s="51"/>
      <c r="CZ43" s="51"/>
      <c r="DA43" s="51"/>
      <c r="DB43" s="51"/>
      <c r="DC43" s="51"/>
      <c r="DD43" s="95"/>
      <c r="DE43" s="93"/>
      <c r="DF43" s="51"/>
      <c r="DG43" s="51"/>
      <c r="DH43" s="51"/>
      <c r="DI43" s="51"/>
      <c r="DJ43" s="51"/>
      <c r="DK43" s="51"/>
      <c r="DL43" s="95"/>
      <c r="DM43" s="891"/>
      <c r="DN43" s="682">
        <f t="shared" si="7"/>
        <v>0</v>
      </c>
      <c r="DO43" s="683"/>
    </row>
    <row r="44" spans="1:119" ht="25.5" customHeight="1" thickTop="1" thickBot="1" x14ac:dyDescent="0.2">
      <c r="A44" s="676">
        <f t="shared" si="3"/>
        <v>29</v>
      </c>
      <c r="B44" s="1052"/>
      <c r="C44" s="1052"/>
      <c r="D44" s="888"/>
      <c r="E44" s="953"/>
      <c r="F44" s="884"/>
      <c r="G44" s="889"/>
      <c r="H44" s="1057"/>
      <c r="I44" s="684" t="str">
        <f t="shared" si="0"/>
        <v/>
      </c>
      <c r="J44" s="685">
        <f t="shared" si="1"/>
        <v>0</v>
      </c>
      <c r="K44" s="1249"/>
      <c r="L44" s="1251"/>
      <c r="M44" s="1257"/>
      <c r="N44" s="719" t="str">
        <f t="shared" si="4"/>
        <v/>
      </c>
      <c r="O44" s="720" t="str">
        <f>IF('Set up ~ Config'!$G$32=6,IF(OR($N44=7,$N44=8,$N44=9),1,IF(OR($N44=10,$N44=11,$N44=12),2,IF(OR($N44=1,$N44=2,$N44=3),3,IF(OR($N44=4,$N44=5,$N44=6),4,"")))),IF(OR($N44=9,$N44=10,$N44=11),1,IF(OR($N44=12,$N44=1,$N44=2),2,IF(OR($N44=3,$N44=4,$N44=5),3,IF(OR($N44=6,$N44=7,$N44=8),4,"")))))</f>
        <v/>
      </c>
      <c r="P44" s="93"/>
      <c r="Q44" s="51"/>
      <c r="R44" s="498"/>
      <c r="S44" s="498"/>
      <c r="T44" s="498"/>
      <c r="U44" s="498"/>
      <c r="V44" s="51"/>
      <c r="W44" s="51"/>
      <c r="X44" s="51"/>
      <c r="Y44" s="51"/>
      <c r="Z44" s="51"/>
      <c r="AA44" s="51"/>
      <c r="AB44" s="51"/>
      <c r="AC44" s="51"/>
      <c r="AD44" s="51"/>
      <c r="AE44" s="51"/>
      <c r="AF44" s="51"/>
      <c r="AG44" s="51"/>
      <c r="AH44" s="94"/>
      <c r="AI44" s="94"/>
      <c r="AJ44" s="94"/>
      <c r="AK44" s="94"/>
      <c r="AL44" s="94"/>
      <c r="AM44" s="94"/>
      <c r="AN44" s="94"/>
      <c r="AO44" s="95"/>
      <c r="AP44" s="686">
        <f t="shared" si="5"/>
        <v>0</v>
      </c>
      <c r="AQ44" s="42"/>
      <c r="AR44" s="42"/>
      <c r="AS44" s="42"/>
      <c r="AT44" s="43"/>
      <c r="AU44" s="687">
        <f t="shared" si="6"/>
        <v>0</v>
      </c>
      <c r="AV44" s="42"/>
      <c r="AW44" s="42"/>
      <c r="AX44" s="42"/>
      <c r="AY44" s="43"/>
      <c r="AZ44" s="486"/>
      <c r="BA44" s="51"/>
      <c r="BB44" s="51"/>
      <c r="BC44" s="51"/>
      <c r="BD44" s="51"/>
      <c r="BE44" s="51"/>
      <c r="BF44" s="51"/>
      <c r="BG44" s="51"/>
      <c r="BH44" s="94"/>
      <c r="BI44" s="94"/>
      <c r="BJ44" s="94"/>
      <c r="BK44" s="94"/>
      <c r="BL44" s="94"/>
      <c r="BM44" s="483"/>
      <c r="BN44" s="94"/>
      <c r="BO44" s="94"/>
      <c r="BP44" s="94"/>
      <c r="BQ44" s="94"/>
      <c r="BR44" s="94"/>
      <c r="BS44" s="94"/>
      <c r="BT44" s="94"/>
      <c r="BU44" s="94"/>
      <c r="BV44" s="94"/>
      <c r="BW44" s="688">
        <f t="shared" si="2"/>
        <v>0</v>
      </c>
      <c r="BX44" s="51"/>
      <c r="BY44" s="51"/>
      <c r="BZ44" s="51"/>
      <c r="CA44" s="51"/>
      <c r="CB44" s="51"/>
      <c r="CC44" s="51"/>
      <c r="CD44" s="97"/>
      <c r="CE44" s="479"/>
      <c r="CF44" s="51"/>
      <c r="CG44" s="51"/>
      <c r="CH44" s="62"/>
      <c r="CI44" s="62"/>
      <c r="CJ44" s="51"/>
      <c r="CK44" s="51"/>
      <c r="CL44" s="95"/>
      <c r="CM44" s="93"/>
      <c r="CN44" s="51"/>
      <c r="CO44" s="51"/>
      <c r="CP44" s="51"/>
      <c r="CQ44" s="51"/>
      <c r="CR44" s="51"/>
      <c r="CS44" s="51"/>
      <c r="CT44" s="51"/>
      <c r="CU44" s="95"/>
      <c r="CV44" s="93"/>
      <c r="CW44" s="51"/>
      <c r="CX44" s="51"/>
      <c r="CY44" s="51"/>
      <c r="CZ44" s="51"/>
      <c r="DA44" s="51"/>
      <c r="DB44" s="51"/>
      <c r="DC44" s="51"/>
      <c r="DD44" s="95"/>
      <c r="DE44" s="93"/>
      <c r="DF44" s="51"/>
      <c r="DG44" s="51"/>
      <c r="DH44" s="51"/>
      <c r="DI44" s="51"/>
      <c r="DJ44" s="51"/>
      <c r="DK44" s="51"/>
      <c r="DL44" s="95"/>
      <c r="DM44" s="891"/>
      <c r="DN44" s="682">
        <f t="shared" si="7"/>
        <v>0</v>
      </c>
      <c r="DO44" s="683"/>
    </row>
    <row r="45" spans="1:119" ht="25.5" customHeight="1" thickTop="1" thickBot="1" x14ac:dyDescent="0.2">
      <c r="A45" s="676">
        <f t="shared" si="3"/>
        <v>30</v>
      </c>
      <c r="B45" s="1054"/>
      <c r="C45" s="1054"/>
      <c r="D45" s="83"/>
      <c r="E45" s="954"/>
      <c r="F45" s="52"/>
      <c r="G45" s="103"/>
      <c r="H45" s="1058"/>
      <c r="I45" s="684" t="str">
        <f t="shared" si="0"/>
        <v/>
      </c>
      <c r="J45" s="685">
        <f t="shared" si="1"/>
        <v>0</v>
      </c>
      <c r="K45" s="1249"/>
      <c r="L45" s="1251"/>
      <c r="M45" s="1257"/>
      <c r="N45" s="719" t="str">
        <f t="shared" si="4"/>
        <v/>
      </c>
      <c r="O45" s="720" t="str">
        <f>IF('Set up ~ Config'!$G$32=6,IF(OR($N45=7,$N45=8,$N45=9),1,IF(OR($N45=10,$N45=11,$N45=12),2,IF(OR($N45=1,$N45=2,$N45=3),3,IF(OR($N45=4,$N45=5,$N45=6),4,"")))),IF(OR($N45=9,$N45=10,$N45=11),1,IF(OR($N45=12,$N45=1,$N45=2),2,IF(OR($N45=3,$N45=4,$N45=5),3,IF(OR($N45=6,$N45=7,$N45=8),4,"")))))</f>
        <v/>
      </c>
      <c r="P45" s="93"/>
      <c r="Q45" s="51"/>
      <c r="R45" s="51"/>
      <c r="S45" s="51"/>
      <c r="T45" s="51"/>
      <c r="U45" s="51"/>
      <c r="V45" s="51"/>
      <c r="W45" s="51"/>
      <c r="X45" s="51"/>
      <c r="Y45" s="51"/>
      <c r="Z45" s="51"/>
      <c r="AA45" s="51"/>
      <c r="AB45" s="51"/>
      <c r="AC45" s="51"/>
      <c r="AD45" s="51"/>
      <c r="AE45" s="51"/>
      <c r="AF45" s="51"/>
      <c r="AG45" s="51"/>
      <c r="AH45" s="94"/>
      <c r="AI45" s="94"/>
      <c r="AJ45" s="94"/>
      <c r="AK45" s="94"/>
      <c r="AL45" s="94"/>
      <c r="AM45" s="94"/>
      <c r="AN45" s="94"/>
      <c r="AO45" s="95"/>
      <c r="AP45" s="686">
        <f t="shared" si="5"/>
        <v>0</v>
      </c>
      <c r="AQ45" s="42"/>
      <c r="AR45" s="42"/>
      <c r="AS45" s="42"/>
      <c r="AT45" s="43"/>
      <c r="AU45" s="687">
        <f t="shared" si="6"/>
        <v>0</v>
      </c>
      <c r="AV45" s="42"/>
      <c r="AW45" s="42"/>
      <c r="AX45" s="42"/>
      <c r="AY45" s="43"/>
      <c r="AZ45" s="486"/>
      <c r="BA45" s="51"/>
      <c r="BB45" s="51"/>
      <c r="BC45" s="51"/>
      <c r="BD45" s="51"/>
      <c r="BE45" s="51"/>
      <c r="BF45" s="51"/>
      <c r="BG45" s="51"/>
      <c r="BH45" s="94"/>
      <c r="BI45" s="94"/>
      <c r="BJ45" s="94"/>
      <c r="BK45" s="94"/>
      <c r="BL45" s="94"/>
      <c r="BM45" s="483"/>
      <c r="BN45" s="94"/>
      <c r="BO45" s="94"/>
      <c r="BP45" s="94"/>
      <c r="BQ45" s="94"/>
      <c r="BR45" s="94"/>
      <c r="BS45" s="94"/>
      <c r="BT45" s="94"/>
      <c r="BU45" s="94"/>
      <c r="BV45" s="94"/>
      <c r="BW45" s="688">
        <f t="shared" si="2"/>
        <v>0</v>
      </c>
      <c r="BX45" s="51"/>
      <c r="BY45" s="51"/>
      <c r="BZ45" s="51"/>
      <c r="CA45" s="51"/>
      <c r="CB45" s="51"/>
      <c r="CC45" s="51"/>
      <c r="CD45" s="97"/>
      <c r="CE45" s="479"/>
      <c r="CF45" s="51"/>
      <c r="CG45" s="51"/>
      <c r="CH45" s="62"/>
      <c r="CI45" s="62"/>
      <c r="CJ45" s="51"/>
      <c r="CK45" s="51"/>
      <c r="CL45" s="95"/>
      <c r="CM45" s="93"/>
      <c r="CN45" s="51"/>
      <c r="CO45" s="51"/>
      <c r="CP45" s="51"/>
      <c r="CQ45" s="51"/>
      <c r="CR45" s="51"/>
      <c r="CS45" s="51"/>
      <c r="CT45" s="51"/>
      <c r="CU45" s="95"/>
      <c r="CV45" s="93"/>
      <c r="CW45" s="51"/>
      <c r="CX45" s="51"/>
      <c r="CY45" s="51"/>
      <c r="CZ45" s="51"/>
      <c r="DA45" s="51"/>
      <c r="DB45" s="51"/>
      <c r="DC45" s="51"/>
      <c r="DD45" s="95"/>
      <c r="DE45" s="93"/>
      <c r="DF45" s="51"/>
      <c r="DG45" s="51"/>
      <c r="DH45" s="51"/>
      <c r="DI45" s="51"/>
      <c r="DJ45" s="64"/>
      <c r="DK45" s="51"/>
      <c r="DL45" s="95"/>
      <c r="DM45" s="478"/>
      <c r="DN45" s="682">
        <f t="shared" si="7"/>
        <v>0</v>
      </c>
      <c r="DO45" s="683"/>
    </row>
    <row r="46" spans="1:119" ht="25.5" customHeight="1" thickTop="1" thickBot="1" x14ac:dyDescent="0.2">
      <c r="A46" s="676">
        <f t="shared" si="3"/>
        <v>31</v>
      </c>
      <c r="B46" s="1054"/>
      <c r="C46" s="1054"/>
      <c r="D46" s="83"/>
      <c r="E46" s="954"/>
      <c r="F46" s="52"/>
      <c r="G46" s="103"/>
      <c r="H46" s="1059"/>
      <c r="I46" s="684" t="str">
        <f t="shared" si="0"/>
        <v/>
      </c>
      <c r="J46" s="685">
        <f t="shared" si="1"/>
        <v>0</v>
      </c>
      <c r="K46" s="1252"/>
      <c r="L46" s="1251"/>
      <c r="M46" s="1257"/>
      <c r="N46" s="719" t="str">
        <f t="shared" si="4"/>
        <v/>
      </c>
      <c r="O46" s="720" t="str">
        <f>IF('Set up ~ Config'!$G$32=6,IF(OR($N46=7,$N46=8,$N46=9),1,IF(OR($N46=10,$N46=11,$N46=12),2,IF(OR($N46=1,$N46=2,$N46=3),3,IF(OR($N46=4,$N46=5,$N46=6),4,"")))),IF(OR($N46=9,$N46=10,$N46=11),1,IF(OR($N46=12,$N46=1,$N46=2),2,IF(OR($N46=3,$N46=4,$N46=5),3,IF(OR($N46=6,$N46=7,$N46=8),4,"")))))</f>
        <v/>
      </c>
      <c r="P46" s="93"/>
      <c r="Q46" s="51"/>
      <c r="R46" s="51"/>
      <c r="S46" s="51"/>
      <c r="T46" s="51"/>
      <c r="U46" s="51"/>
      <c r="V46" s="51"/>
      <c r="W46" s="51"/>
      <c r="X46" s="51"/>
      <c r="Y46" s="51"/>
      <c r="Z46" s="51"/>
      <c r="AA46" s="51"/>
      <c r="AB46" s="51"/>
      <c r="AC46" s="51"/>
      <c r="AD46" s="51"/>
      <c r="AE46" s="51"/>
      <c r="AF46" s="51"/>
      <c r="AG46" s="51"/>
      <c r="AH46" s="94"/>
      <c r="AI46" s="94"/>
      <c r="AJ46" s="94"/>
      <c r="AK46" s="94"/>
      <c r="AL46" s="94"/>
      <c r="AM46" s="94"/>
      <c r="AN46" s="94"/>
      <c r="AO46" s="95"/>
      <c r="AP46" s="686">
        <f t="shared" si="5"/>
        <v>0</v>
      </c>
      <c r="AQ46" s="42"/>
      <c r="AR46" s="42"/>
      <c r="AS46" s="42"/>
      <c r="AT46" s="43"/>
      <c r="AU46" s="687">
        <f t="shared" si="6"/>
        <v>0</v>
      </c>
      <c r="AV46" s="42"/>
      <c r="AW46" s="42"/>
      <c r="AX46" s="42"/>
      <c r="AY46" s="43"/>
      <c r="AZ46" s="486"/>
      <c r="BA46" s="51"/>
      <c r="BB46" s="51"/>
      <c r="BC46" s="51"/>
      <c r="BD46" s="51"/>
      <c r="BE46" s="51"/>
      <c r="BF46" s="51"/>
      <c r="BG46" s="51"/>
      <c r="BH46" s="94"/>
      <c r="BI46" s="94"/>
      <c r="BJ46" s="94"/>
      <c r="BK46" s="94"/>
      <c r="BL46" s="94"/>
      <c r="BM46" s="483"/>
      <c r="BN46" s="94"/>
      <c r="BO46" s="94"/>
      <c r="BP46" s="94"/>
      <c r="BQ46" s="94"/>
      <c r="BR46" s="94"/>
      <c r="BS46" s="94"/>
      <c r="BT46" s="94"/>
      <c r="BU46" s="94"/>
      <c r="BV46" s="94"/>
      <c r="BW46" s="688">
        <f t="shared" si="2"/>
        <v>0</v>
      </c>
      <c r="BX46" s="51"/>
      <c r="BY46" s="51"/>
      <c r="BZ46" s="51"/>
      <c r="CA46" s="51"/>
      <c r="CB46" s="51"/>
      <c r="CC46" s="51"/>
      <c r="CD46" s="97"/>
      <c r="CE46" s="479"/>
      <c r="CF46" s="51"/>
      <c r="CG46" s="51"/>
      <c r="CH46" s="62"/>
      <c r="CI46" s="62"/>
      <c r="CJ46" s="51"/>
      <c r="CK46" s="51"/>
      <c r="CL46" s="95"/>
      <c r="CM46" s="93"/>
      <c r="CN46" s="51"/>
      <c r="CO46" s="51"/>
      <c r="CP46" s="51"/>
      <c r="CQ46" s="51"/>
      <c r="CR46" s="51"/>
      <c r="CS46" s="51"/>
      <c r="CT46" s="51"/>
      <c r="CU46" s="95"/>
      <c r="CV46" s="93"/>
      <c r="CW46" s="51"/>
      <c r="CX46" s="51"/>
      <c r="CY46" s="51"/>
      <c r="CZ46" s="51"/>
      <c r="DA46" s="51"/>
      <c r="DB46" s="51"/>
      <c r="DC46" s="51"/>
      <c r="DD46" s="95"/>
      <c r="DE46" s="93"/>
      <c r="DF46" s="51"/>
      <c r="DG46" s="51"/>
      <c r="DH46" s="51"/>
      <c r="DI46" s="51"/>
      <c r="DJ46" s="64"/>
      <c r="DK46" s="51"/>
      <c r="DL46" s="95"/>
      <c r="DM46" s="478"/>
      <c r="DN46" s="682">
        <f t="shared" si="7"/>
        <v>0</v>
      </c>
      <c r="DO46" s="683"/>
    </row>
    <row r="47" spans="1:119" ht="25.5" customHeight="1" thickTop="1" thickBot="1" x14ac:dyDescent="0.2">
      <c r="A47" s="676">
        <f t="shared" si="3"/>
        <v>32</v>
      </c>
      <c r="B47" s="1054"/>
      <c r="C47" s="1054"/>
      <c r="D47" s="83"/>
      <c r="E47" s="954"/>
      <c r="F47" s="52"/>
      <c r="G47" s="103"/>
      <c r="H47" s="1059"/>
      <c r="I47" s="684" t="str">
        <f t="shared" si="0"/>
        <v/>
      </c>
      <c r="J47" s="685">
        <f t="shared" si="1"/>
        <v>0</v>
      </c>
      <c r="K47" s="1252"/>
      <c r="L47" s="1251"/>
      <c r="M47" s="1257"/>
      <c r="N47" s="719" t="str">
        <f t="shared" si="4"/>
        <v/>
      </c>
      <c r="O47" s="720" t="str">
        <f>IF('Set up ~ Config'!$G$32=6,IF(OR($N47=7,$N47=8,$N47=9),1,IF(OR($N47=10,$N47=11,$N47=12),2,IF(OR($N47=1,$N47=2,$N47=3),3,IF(OR($N47=4,$N47=5,$N47=6),4,"")))),IF(OR($N47=9,$N47=10,$N47=11),1,IF(OR($N47=12,$N47=1,$N47=2),2,IF(OR($N47=3,$N47=4,$N47=5),3,IF(OR($N47=6,$N47=7,$N47=8),4,"")))))</f>
        <v/>
      </c>
      <c r="P47" s="93"/>
      <c r="Q47" s="51"/>
      <c r="R47" s="51"/>
      <c r="S47" s="51"/>
      <c r="T47" s="51"/>
      <c r="U47" s="51"/>
      <c r="V47" s="51"/>
      <c r="W47" s="51"/>
      <c r="X47" s="51"/>
      <c r="Y47" s="51"/>
      <c r="Z47" s="51"/>
      <c r="AA47" s="51"/>
      <c r="AB47" s="51"/>
      <c r="AC47" s="51"/>
      <c r="AD47" s="51"/>
      <c r="AE47" s="51"/>
      <c r="AF47" s="51"/>
      <c r="AG47" s="51"/>
      <c r="AH47" s="94"/>
      <c r="AI47" s="94"/>
      <c r="AJ47" s="94"/>
      <c r="AK47" s="94"/>
      <c r="AL47" s="94"/>
      <c r="AM47" s="94"/>
      <c r="AN47" s="94"/>
      <c r="AO47" s="95"/>
      <c r="AP47" s="686">
        <f t="shared" si="5"/>
        <v>0</v>
      </c>
      <c r="AQ47" s="42"/>
      <c r="AR47" s="42"/>
      <c r="AS47" s="42"/>
      <c r="AT47" s="43"/>
      <c r="AU47" s="687">
        <f t="shared" si="6"/>
        <v>0</v>
      </c>
      <c r="AV47" s="42"/>
      <c r="AW47" s="42"/>
      <c r="AX47" s="42"/>
      <c r="AY47" s="43"/>
      <c r="AZ47" s="486"/>
      <c r="BA47" s="51"/>
      <c r="BB47" s="51"/>
      <c r="BC47" s="51"/>
      <c r="BD47" s="51"/>
      <c r="BE47" s="51"/>
      <c r="BF47" s="51"/>
      <c r="BG47" s="51"/>
      <c r="BH47" s="94"/>
      <c r="BI47" s="94"/>
      <c r="BJ47" s="94"/>
      <c r="BK47" s="94"/>
      <c r="BL47" s="94"/>
      <c r="BM47" s="483"/>
      <c r="BN47" s="94"/>
      <c r="BO47" s="94"/>
      <c r="BP47" s="94"/>
      <c r="BQ47" s="94"/>
      <c r="BR47" s="94"/>
      <c r="BS47" s="94"/>
      <c r="BT47" s="94"/>
      <c r="BU47" s="94"/>
      <c r="BV47" s="94"/>
      <c r="BW47" s="688">
        <f t="shared" si="2"/>
        <v>0</v>
      </c>
      <c r="BX47" s="51"/>
      <c r="BY47" s="51"/>
      <c r="BZ47" s="51"/>
      <c r="CA47" s="51"/>
      <c r="CB47" s="51"/>
      <c r="CC47" s="51"/>
      <c r="CD47" s="97"/>
      <c r="CE47" s="479"/>
      <c r="CF47" s="51"/>
      <c r="CG47" s="51"/>
      <c r="CH47" s="62"/>
      <c r="CI47" s="62"/>
      <c r="CJ47" s="51"/>
      <c r="CK47" s="51"/>
      <c r="CL47" s="95"/>
      <c r="CM47" s="93"/>
      <c r="CN47" s="51"/>
      <c r="CO47" s="51"/>
      <c r="CP47" s="51"/>
      <c r="CQ47" s="51"/>
      <c r="CR47" s="51"/>
      <c r="CS47" s="51"/>
      <c r="CT47" s="51"/>
      <c r="CU47" s="95"/>
      <c r="CV47" s="93"/>
      <c r="CW47" s="51"/>
      <c r="CX47" s="51"/>
      <c r="CY47" s="51"/>
      <c r="CZ47" s="51"/>
      <c r="DA47" s="51"/>
      <c r="DB47" s="51"/>
      <c r="DC47" s="51"/>
      <c r="DD47" s="95"/>
      <c r="DE47" s="93"/>
      <c r="DF47" s="51"/>
      <c r="DG47" s="51"/>
      <c r="DH47" s="51"/>
      <c r="DI47" s="51"/>
      <c r="DJ47" s="51"/>
      <c r="DK47" s="51"/>
      <c r="DL47" s="95"/>
      <c r="DM47" s="478"/>
      <c r="DN47" s="682">
        <f t="shared" si="7"/>
        <v>0</v>
      </c>
      <c r="DO47" s="683"/>
    </row>
    <row r="48" spans="1:119" ht="25.5" customHeight="1" thickTop="1" thickBot="1" x14ac:dyDescent="0.2">
      <c r="A48" s="676">
        <f t="shared" si="3"/>
        <v>33</v>
      </c>
      <c r="B48" s="1054"/>
      <c r="C48" s="1054"/>
      <c r="D48" s="83"/>
      <c r="E48" s="954"/>
      <c r="F48" s="52"/>
      <c r="G48" s="103"/>
      <c r="H48" s="1059"/>
      <c r="I48" s="684" t="str">
        <f t="shared" si="0"/>
        <v/>
      </c>
      <c r="J48" s="685">
        <f t="shared" si="1"/>
        <v>0</v>
      </c>
      <c r="K48" s="1252"/>
      <c r="L48" s="1251"/>
      <c r="M48" s="1257"/>
      <c r="N48" s="719" t="str">
        <f t="shared" si="4"/>
        <v/>
      </c>
      <c r="O48" s="720" t="str">
        <f>IF('Set up ~ Config'!$G$32=6,IF(OR($N48=7,$N48=8,$N48=9),1,IF(OR($N48=10,$N48=11,$N48=12),2,IF(OR($N48=1,$N48=2,$N48=3),3,IF(OR($N48=4,$N48=5,$N48=6),4,"")))),IF(OR($N48=9,$N48=10,$N48=11),1,IF(OR($N48=12,$N48=1,$N48=2),2,IF(OR($N48=3,$N48=4,$N48=5),3,IF(OR($N48=6,$N48=7,$N48=8),4,"")))))</f>
        <v/>
      </c>
      <c r="P48" s="93"/>
      <c r="Q48" s="51"/>
      <c r="R48" s="51"/>
      <c r="S48" s="51"/>
      <c r="T48" s="51"/>
      <c r="U48" s="51"/>
      <c r="V48" s="51"/>
      <c r="W48" s="51"/>
      <c r="X48" s="51"/>
      <c r="Y48" s="51"/>
      <c r="Z48" s="51"/>
      <c r="AA48" s="51"/>
      <c r="AB48" s="51"/>
      <c r="AC48" s="51"/>
      <c r="AD48" s="51"/>
      <c r="AE48" s="51"/>
      <c r="AF48" s="51"/>
      <c r="AG48" s="51"/>
      <c r="AH48" s="94"/>
      <c r="AI48" s="94"/>
      <c r="AJ48" s="94"/>
      <c r="AK48" s="94"/>
      <c r="AL48" s="94"/>
      <c r="AM48" s="94"/>
      <c r="AN48" s="94"/>
      <c r="AO48" s="95"/>
      <c r="AP48" s="686">
        <f t="shared" si="5"/>
        <v>0</v>
      </c>
      <c r="AQ48" s="42"/>
      <c r="AR48" s="42"/>
      <c r="AS48" s="42"/>
      <c r="AT48" s="43"/>
      <c r="AU48" s="687">
        <f t="shared" si="6"/>
        <v>0</v>
      </c>
      <c r="AV48" s="42"/>
      <c r="AW48" s="42"/>
      <c r="AX48" s="42"/>
      <c r="AY48" s="43"/>
      <c r="AZ48" s="486"/>
      <c r="BA48" s="51"/>
      <c r="BB48" s="51"/>
      <c r="BC48" s="51"/>
      <c r="BD48" s="51"/>
      <c r="BE48" s="51"/>
      <c r="BF48" s="51"/>
      <c r="BG48" s="51"/>
      <c r="BH48" s="94"/>
      <c r="BI48" s="94"/>
      <c r="BJ48" s="94"/>
      <c r="BK48" s="94"/>
      <c r="BL48" s="94"/>
      <c r="BM48" s="483"/>
      <c r="BN48" s="94"/>
      <c r="BO48" s="94"/>
      <c r="BP48" s="94"/>
      <c r="BQ48" s="94"/>
      <c r="BR48" s="94"/>
      <c r="BS48" s="94"/>
      <c r="BT48" s="94"/>
      <c r="BU48" s="94"/>
      <c r="BV48" s="94"/>
      <c r="BW48" s="688">
        <f t="shared" si="2"/>
        <v>0</v>
      </c>
      <c r="BX48" s="51"/>
      <c r="BY48" s="51"/>
      <c r="BZ48" s="51"/>
      <c r="CA48" s="51"/>
      <c r="CB48" s="51"/>
      <c r="CC48" s="51"/>
      <c r="CD48" s="97"/>
      <c r="CE48" s="479"/>
      <c r="CF48" s="51"/>
      <c r="CG48" s="51"/>
      <c r="CH48" s="62"/>
      <c r="CI48" s="62"/>
      <c r="CJ48" s="51"/>
      <c r="CK48" s="51"/>
      <c r="CL48" s="95"/>
      <c r="CM48" s="93"/>
      <c r="CN48" s="51"/>
      <c r="CO48" s="51"/>
      <c r="CP48" s="51"/>
      <c r="CQ48" s="51"/>
      <c r="CR48" s="51"/>
      <c r="CS48" s="51"/>
      <c r="CT48" s="51"/>
      <c r="CU48" s="95"/>
      <c r="CV48" s="93"/>
      <c r="CW48" s="51"/>
      <c r="CX48" s="51"/>
      <c r="CY48" s="51"/>
      <c r="CZ48" s="51"/>
      <c r="DA48" s="51"/>
      <c r="DB48" s="51"/>
      <c r="DC48" s="51"/>
      <c r="DD48" s="95"/>
      <c r="DE48" s="93"/>
      <c r="DF48" s="51"/>
      <c r="DG48" s="51"/>
      <c r="DH48" s="51"/>
      <c r="DI48" s="51"/>
      <c r="DJ48" s="51"/>
      <c r="DK48" s="51"/>
      <c r="DL48" s="95"/>
      <c r="DM48" s="478"/>
      <c r="DN48" s="682">
        <f t="shared" si="7"/>
        <v>0</v>
      </c>
      <c r="DO48" s="683"/>
    </row>
    <row r="49" spans="1:119" ht="25.5" customHeight="1" thickTop="1" thickBot="1" x14ac:dyDescent="0.2">
      <c r="A49" s="676">
        <f t="shared" si="3"/>
        <v>34</v>
      </c>
      <c r="B49" s="1054"/>
      <c r="C49" s="1054"/>
      <c r="D49" s="83"/>
      <c r="E49" s="954"/>
      <c r="F49" s="52"/>
      <c r="G49" s="103"/>
      <c r="H49" s="1059"/>
      <c r="I49" s="684" t="str">
        <f t="shared" si="0"/>
        <v/>
      </c>
      <c r="J49" s="685">
        <f t="shared" si="1"/>
        <v>0</v>
      </c>
      <c r="K49" s="1252"/>
      <c r="L49" s="1251"/>
      <c r="M49" s="1257"/>
      <c r="N49" s="719" t="str">
        <f t="shared" si="4"/>
        <v/>
      </c>
      <c r="O49" s="720" t="str">
        <f>IF('Set up ~ Config'!$G$32=6,IF(OR($N49=7,$N49=8,$N49=9),1,IF(OR($N49=10,$N49=11,$N49=12),2,IF(OR($N49=1,$N49=2,$N49=3),3,IF(OR($N49=4,$N49=5,$N49=6),4,"")))),IF(OR($N49=9,$N49=10,$N49=11),1,IF(OR($N49=12,$N49=1,$N49=2),2,IF(OR($N49=3,$N49=4,$N49=5),3,IF(OR($N49=6,$N49=7,$N49=8),4,"")))))</f>
        <v/>
      </c>
      <c r="P49" s="93"/>
      <c r="Q49" s="51"/>
      <c r="R49" s="51"/>
      <c r="S49" s="51"/>
      <c r="T49" s="51"/>
      <c r="U49" s="51"/>
      <c r="V49" s="51"/>
      <c r="W49" s="64"/>
      <c r="X49" s="51"/>
      <c r="Y49" s="51"/>
      <c r="Z49" s="51"/>
      <c r="AA49" s="51"/>
      <c r="AB49" s="51"/>
      <c r="AC49" s="51"/>
      <c r="AD49" s="51"/>
      <c r="AE49" s="51"/>
      <c r="AF49" s="51"/>
      <c r="AG49" s="51"/>
      <c r="AH49" s="94"/>
      <c r="AI49" s="94"/>
      <c r="AJ49" s="94"/>
      <c r="AK49" s="94"/>
      <c r="AL49" s="94"/>
      <c r="AM49" s="94"/>
      <c r="AN49" s="94"/>
      <c r="AO49" s="95"/>
      <c r="AP49" s="686">
        <f t="shared" si="5"/>
        <v>0</v>
      </c>
      <c r="AQ49" s="42"/>
      <c r="AR49" s="42"/>
      <c r="AS49" s="42"/>
      <c r="AT49" s="43"/>
      <c r="AU49" s="687">
        <f t="shared" si="6"/>
        <v>0</v>
      </c>
      <c r="AV49" s="42"/>
      <c r="AW49" s="42"/>
      <c r="AX49" s="42"/>
      <c r="AY49" s="43"/>
      <c r="AZ49" s="486"/>
      <c r="BA49" s="51"/>
      <c r="BB49" s="51"/>
      <c r="BC49" s="51"/>
      <c r="BD49" s="51"/>
      <c r="BE49" s="51"/>
      <c r="BF49" s="51"/>
      <c r="BG49" s="51"/>
      <c r="BH49" s="94"/>
      <c r="BI49" s="94"/>
      <c r="BJ49" s="94"/>
      <c r="BK49" s="94"/>
      <c r="BL49" s="94"/>
      <c r="BM49" s="483"/>
      <c r="BN49" s="94"/>
      <c r="BO49" s="94"/>
      <c r="BP49" s="94"/>
      <c r="BQ49" s="94"/>
      <c r="BR49" s="94"/>
      <c r="BS49" s="94"/>
      <c r="BT49" s="94"/>
      <c r="BU49" s="94"/>
      <c r="BV49" s="94"/>
      <c r="BW49" s="688">
        <f t="shared" si="2"/>
        <v>0</v>
      </c>
      <c r="BX49" s="51"/>
      <c r="BY49" s="51"/>
      <c r="BZ49" s="51"/>
      <c r="CA49" s="51"/>
      <c r="CB49" s="51"/>
      <c r="CC49" s="51"/>
      <c r="CD49" s="97"/>
      <c r="CE49" s="479"/>
      <c r="CF49" s="51"/>
      <c r="CG49" s="51"/>
      <c r="CH49" s="62"/>
      <c r="CI49" s="62"/>
      <c r="CJ49" s="51"/>
      <c r="CK49" s="51"/>
      <c r="CL49" s="95"/>
      <c r="CM49" s="93"/>
      <c r="CN49" s="51"/>
      <c r="CO49" s="51"/>
      <c r="CP49" s="51"/>
      <c r="CQ49" s="51"/>
      <c r="CR49" s="51"/>
      <c r="CS49" s="51"/>
      <c r="CT49" s="51"/>
      <c r="CU49" s="95"/>
      <c r="CV49" s="93"/>
      <c r="CW49" s="51"/>
      <c r="CX49" s="51"/>
      <c r="CY49" s="51"/>
      <c r="CZ49" s="51"/>
      <c r="DA49" s="51"/>
      <c r="DB49" s="51"/>
      <c r="DC49" s="51"/>
      <c r="DD49" s="95"/>
      <c r="DE49" s="93"/>
      <c r="DF49" s="51"/>
      <c r="DG49" s="51"/>
      <c r="DH49" s="51"/>
      <c r="DI49" s="51"/>
      <c r="DJ49" s="51"/>
      <c r="DK49" s="51"/>
      <c r="DL49" s="95"/>
      <c r="DM49" s="478"/>
      <c r="DN49" s="682">
        <f t="shared" si="7"/>
        <v>0</v>
      </c>
      <c r="DO49" s="683"/>
    </row>
    <row r="50" spans="1:119" ht="25.5" customHeight="1" thickTop="1" thickBot="1" x14ac:dyDescent="0.2">
      <c r="A50" s="676">
        <f t="shared" si="3"/>
        <v>35</v>
      </c>
      <c r="B50" s="1054"/>
      <c r="C50" s="1054"/>
      <c r="D50" s="83"/>
      <c r="E50" s="954"/>
      <c r="F50" s="52"/>
      <c r="G50" s="103"/>
      <c r="H50" s="1059"/>
      <c r="I50" s="684" t="str">
        <f t="shared" si="0"/>
        <v/>
      </c>
      <c r="J50" s="685">
        <f t="shared" si="1"/>
        <v>0</v>
      </c>
      <c r="K50" s="1252"/>
      <c r="L50" s="1251"/>
      <c r="M50" s="1257"/>
      <c r="N50" s="719" t="str">
        <f t="shared" si="4"/>
        <v/>
      </c>
      <c r="O50" s="720" t="str">
        <f>IF('Set up ~ Config'!$G$32=6,IF(OR($N50=7,$N50=8,$N50=9),1,IF(OR($N50=10,$N50=11,$N50=12),2,IF(OR($N50=1,$N50=2,$N50=3),3,IF(OR($N50=4,$N50=5,$N50=6),4,"")))),IF(OR($N50=9,$N50=10,$N50=11),1,IF(OR($N50=12,$N50=1,$N50=2),2,IF(OR($N50=3,$N50=4,$N50=5),3,IF(OR($N50=6,$N50=7,$N50=8),4,"")))))</f>
        <v/>
      </c>
      <c r="P50" s="48"/>
      <c r="Q50" s="51"/>
      <c r="R50" s="51"/>
      <c r="S50" s="51"/>
      <c r="T50" s="51"/>
      <c r="U50" s="51"/>
      <c r="V50" s="51"/>
      <c r="W50" s="51"/>
      <c r="X50" s="51"/>
      <c r="Y50" s="51"/>
      <c r="Z50" s="51"/>
      <c r="AA50" s="51"/>
      <c r="AB50" s="51"/>
      <c r="AC50" s="51"/>
      <c r="AD50" s="51"/>
      <c r="AE50" s="51"/>
      <c r="AF50" s="51"/>
      <c r="AG50" s="51"/>
      <c r="AH50" s="94"/>
      <c r="AI50" s="94"/>
      <c r="AJ50" s="94"/>
      <c r="AK50" s="94"/>
      <c r="AL50" s="94"/>
      <c r="AM50" s="94"/>
      <c r="AN50" s="94"/>
      <c r="AO50" s="95"/>
      <c r="AP50" s="686">
        <f t="shared" si="5"/>
        <v>0</v>
      </c>
      <c r="AQ50" s="42"/>
      <c r="AR50" s="42"/>
      <c r="AS50" s="42"/>
      <c r="AT50" s="43"/>
      <c r="AU50" s="687">
        <f t="shared" si="6"/>
        <v>0</v>
      </c>
      <c r="AV50" s="42"/>
      <c r="AW50" s="42"/>
      <c r="AX50" s="42"/>
      <c r="AY50" s="43"/>
      <c r="AZ50" s="486"/>
      <c r="BA50" s="51"/>
      <c r="BB50" s="51"/>
      <c r="BC50" s="51"/>
      <c r="BD50" s="51"/>
      <c r="BE50" s="51"/>
      <c r="BF50" s="51"/>
      <c r="BG50" s="51"/>
      <c r="BH50" s="94"/>
      <c r="BI50" s="94"/>
      <c r="BJ50" s="94"/>
      <c r="BK50" s="94"/>
      <c r="BL50" s="94"/>
      <c r="BM50" s="483"/>
      <c r="BN50" s="94"/>
      <c r="BO50" s="94"/>
      <c r="BP50" s="94"/>
      <c r="BQ50" s="94"/>
      <c r="BR50" s="94"/>
      <c r="BS50" s="94"/>
      <c r="BT50" s="94"/>
      <c r="BU50" s="94"/>
      <c r="BV50" s="94"/>
      <c r="BW50" s="688">
        <f t="shared" si="2"/>
        <v>0</v>
      </c>
      <c r="BX50" s="51"/>
      <c r="BY50" s="51"/>
      <c r="BZ50" s="51"/>
      <c r="CA50" s="51"/>
      <c r="CB50" s="51"/>
      <c r="CC50" s="51"/>
      <c r="CD50" s="97"/>
      <c r="CE50" s="479"/>
      <c r="CF50" s="51"/>
      <c r="CG50" s="51"/>
      <c r="CH50" s="62"/>
      <c r="CI50" s="62"/>
      <c r="CJ50" s="51"/>
      <c r="CK50" s="51"/>
      <c r="CL50" s="95"/>
      <c r="CM50" s="93"/>
      <c r="CN50" s="51"/>
      <c r="CO50" s="51"/>
      <c r="CP50" s="51"/>
      <c r="CQ50" s="51"/>
      <c r="CR50" s="51"/>
      <c r="CS50" s="51"/>
      <c r="CT50" s="51"/>
      <c r="CU50" s="95"/>
      <c r="CV50" s="93"/>
      <c r="CW50" s="51"/>
      <c r="CX50" s="51"/>
      <c r="CY50" s="51"/>
      <c r="CZ50" s="51"/>
      <c r="DA50" s="51"/>
      <c r="DB50" s="51"/>
      <c r="DC50" s="51"/>
      <c r="DD50" s="95"/>
      <c r="DE50" s="93"/>
      <c r="DF50" s="64"/>
      <c r="DG50" s="51"/>
      <c r="DH50" s="51"/>
      <c r="DI50" s="51"/>
      <c r="DJ50" s="51"/>
      <c r="DK50" s="51"/>
      <c r="DL50" s="95"/>
      <c r="DM50" s="478"/>
      <c r="DN50" s="682">
        <f t="shared" si="7"/>
        <v>0</v>
      </c>
      <c r="DO50" s="683"/>
    </row>
    <row r="51" spans="1:119" s="1" customFormat="1" ht="25.5" customHeight="1" thickTop="1" thickBot="1" x14ac:dyDescent="0.2">
      <c r="A51" s="676">
        <f t="shared" si="3"/>
        <v>36</v>
      </c>
      <c r="B51" s="1054"/>
      <c r="C51" s="1054"/>
      <c r="D51" s="83"/>
      <c r="E51" s="954"/>
      <c r="F51" s="52"/>
      <c r="G51" s="103"/>
      <c r="H51" s="1059"/>
      <c r="I51" s="684" t="str">
        <f t="shared" si="0"/>
        <v/>
      </c>
      <c r="J51" s="685">
        <f t="shared" si="1"/>
        <v>0</v>
      </c>
      <c r="K51" s="1252"/>
      <c r="L51" s="1251"/>
      <c r="M51" s="1257"/>
      <c r="N51" s="719" t="str">
        <f t="shared" si="4"/>
        <v/>
      </c>
      <c r="O51" s="720" t="str">
        <f>IF('Set up ~ Config'!$G$32=6,IF(OR($N51=7,$N51=8,$N51=9),1,IF(OR($N51=10,$N51=11,$N51=12),2,IF(OR($N51=1,$N51=2,$N51=3),3,IF(OR($N51=4,$N51=5,$N51=6),4,"")))),IF(OR($N51=9,$N51=10,$N51=11),1,IF(OR($N51=12,$N51=1,$N51=2),2,IF(OR($N51=3,$N51=4,$N51=5),3,IF(OR($N51=6,$N51=7,$N51=8),4,"")))))</f>
        <v/>
      </c>
      <c r="P51" s="99"/>
      <c r="Q51" s="62"/>
      <c r="R51" s="62"/>
      <c r="S51" s="62"/>
      <c r="T51" s="62"/>
      <c r="U51" s="62"/>
      <c r="V51" s="62"/>
      <c r="W51" s="62"/>
      <c r="X51" s="62"/>
      <c r="Y51" s="62"/>
      <c r="Z51" s="62"/>
      <c r="AA51" s="62"/>
      <c r="AB51" s="62"/>
      <c r="AC51" s="62"/>
      <c r="AD51" s="62"/>
      <c r="AE51" s="62"/>
      <c r="AF51" s="62"/>
      <c r="AG51" s="62"/>
      <c r="AH51" s="101"/>
      <c r="AI51" s="101"/>
      <c r="AJ51" s="101"/>
      <c r="AK51" s="101"/>
      <c r="AL51" s="101"/>
      <c r="AM51" s="101"/>
      <c r="AN51" s="101"/>
      <c r="AO51" s="100"/>
      <c r="AP51" s="686">
        <f t="shared" si="5"/>
        <v>0</v>
      </c>
      <c r="AQ51" s="42"/>
      <c r="AR51" s="42"/>
      <c r="AS51" s="42"/>
      <c r="AT51" s="43"/>
      <c r="AU51" s="687">
        <f t="shared" si="6"/>
        <v>0</v>
      </c>
      <c r="AV51" s="42"/>
      <c r="AW51" s="42"/>
      <c r="AX51" s="42"/>
      <c r="AY51" s="43"/>
      <c r="AZ51" s="487"/>
      <c r="BA51" s="62"/>
      <c r="BB51" s="62"/>
      <c r="BC51" s="62"/>
      <c r="BD51" s="62"/>
      <c r="BE51" s="62"/>
      <c r="BF51" s="62"/>
      <c r="BG51" s="62"/>
      <c r="BH51" s="101"/>
      <c r="BI51" s="101"/>
      <c r="BJ51" s="101"/>
      <c r="BK51" s="101"/>
      <c r="BL51" s="101"/>
      <c r="BM51" s="484"/>
      <c r="BN51" s="101"/>
      <c r="BO51" s="101"/>
      <c r="BP51" s="101"/>
      <c r="BQ51" s="101"/>
      <c r="BR51" s="101"/>
      <c r="BS51" s="101"/>
      <c r="BT51" s="101"/>
      <c r="BU51" s="101"/>
      <c r="BV51" s="101"/>
      <c r="BW51" s="688">
        <f t="shared" si="2"/>
        <v>0</v>
      </c>
      <c r="BX51" s="62"/>
      <c r="BY51" s="62"/>
      <c r="BZ51" s="62"/>
      <c r="CA51" s="62"/>
      <c r="CB51" s="62"/>
      <c r="CC51" s="62"/>
      <c r="CD51" s="102"/>
      <c r="CE51" s="480"/>
      <c r="CF51" s="62"/>
      <c r="CG51" s="62"/>
      <c r="CH51" s="62"/>
      <c r="CI51" s="62"/>
      <c r="CJ51" s="62"/>
      <c r="CK51" s="62"/>
      <c r="CL51" s="100"/>
      <c r="CM51" s="99"/>
      <c r="CN51" s="62"/>
      <c r="CO51" s="62"/>
      <c r="CP51" s="62"/>
      <c r="CQ51" s="62"/>
      <c r="CR51" s="62"/>
      <c r="CS51" s="62"/>
      <c r="CT51" s="62"/>
      <c r="CU51" s="100"/>
      <c r="CV51" s="99"/>
      <c r="CW51" s="62"/>
      <c r="CX51" s="62"/>
      <c r="CY51" s="62"/>
      <c r="CZ51" s="62"/>
      <c r="DA51" s="62"/>
      <c r="DB51" s="62"/>
      <c r="DC51" s="62"/>
      <c r="DD51" s="100"/>
      <c r="DE51" s="99"/>
      <c r="DF51" s="62"/>
      <c r="DG51" s="62"/>
      <c r="DH51" s="62"/>
      <c r="DI51" s="62"/>
      <c r="DJ51" s="62"/>
      <c r="DK51" s="62"/>
      <c r="DL51" s="100"/>
      <c r="DM51" s="478"/>
      <c r="DN51" s="682">
        <f t="shared" si="7"/>
        <v>0</v>
      </c>
      <c r="DO51" s="605"/>
    </row>
    <row r="52" spans="1:119" ht="25.5" customHeight="1" thickTop="1" thickBot="1" x14ac:dyDescent="0.2">
      <c r="A52" s="676">
        <f t="shared" si="3"/>
        <v>37</v>
      </c>
      <c r="B52" s="1054"/>
      <c r="C52" s="1054"/>
      <c r="D52" s="83"/>
      <c r="E52" s="954"/>
      <c r="F52" s="52"/>
      <c r="G52" s="103"/>
      <c r="H52" s="1059"/>
      <c r="I52" s="684" t="str">
        <f t="shared" si="0"/>
        <v/>
      </c>
      <c r="J52" s="685">
        <f t="shared" si="1"/>
        <v>0</v>
      </c>
      <c r="K52" s="1252"/>
      <c r="L52" s="1251"/>
      <c r="M52" s="1257"/>
      <c r="N52" s="719" t="str">
        <f t="shared" si="4"/>
        <v/>
      </c>
      <c r="O52" s="720" t="str">
        <f>IF('Set up ~ Config'!$G$32=6,IF(OR($N52=7,$N52=8,$N52=9),1,IF(OR($N52=10,$N52=11,$N52=12),2,IF(OR($N52=1,$N52=2,$N52=3),3,IF(OR($N52=4,$N52=5,$N52=6),4,"")))),IF(OR($N52=9,$N52=10,$N52=11),1,IF(OR($N52=12,$N52=1,$N52=2),2,IF(OR($N52=3,$N52=4,$N52=5),3,IF(OR($N52=6,$N52=7,$N52=8),4,"")))))</f>
        <v/>
      </c>
      <c r="P52" s="99"/>
      <c r="Q52" s="62"/>
      <c r="R52" s="62"/>
      <c r="S52" s="51"/>
      <c r="T52" s="51"/>
      <c r="U52" s="51"/>
      <c r="V52" s="51"/>
      <c r="W52" s="51"/>
      <c r="X52" s="51"/>
      <c r="Y52" s="51"/>
      <c r="Z52" s="51"/>
      <c r="AA52" s="51"/>
      <c r="AB52" s="51"/>
      <c r="AC52" s="51"/>
      <c r="AD52" s="51"/>
      <c r="AE52" s="51"/>
      <c r="AF52" s="51"/>
      <c r="AG52" s="51"/>
      <c r="AH52" s="94"/>
      <c r="AI52" s="94"/>
      <c r="AJ52" s="94"/>
      <c r="AK52" s="94"/>
      <c r="AL52" s="94"/>
      <c r="AM52" s="94"/>
      <c r="AN52" s="94"/>
      <c r="AO52" s="95"/>
      <c r="AP52" s="686">
        <f t="shared" si="5"/>
        <v>0</v>
      </c>
      <c r="AQ52" s="42"/>
      <c r="AR52" s="42"/>
      <c r="AS52" s="42"/>
      <c r="AT52" s="43"/>
      <c r="AU52" s="687">
        <f t="shared" si="6"/>
        <v>0</v>
      </c>
      <c r="AV52" s="42"/>
      <c r="AW52" s="42"/>
      <c r="AX52" s="42"/>
      <c r="AY52" s="43"/>
      <c r="AZ52" s="486"/>
      <c r="BA52" s="51"/>
      <c r="BB52" s="51"/>
      <c r="BC52" s="51"/>
      <c r="BD52" s="51"/>
      <c r="BE52" s="51"/>
      <c r="BF52" s="51"/>
      <c r="BG52" s="51"/>
      <c r="BH52" s="94"/>
      <c r="BI52" s="94"/>
      <c r="BJ52" s="94"/>
      <c r="BK52" s="94"/>
      <c r="BL52" s="94"/>
      <c r="BM52" s="483"/>
      <c r="BN52" s="94"/>
      <c r="BO52" s="94"/>
      <c r="BP52" s="94"/>
      <c r="BQ52" s="94"/>
      <c r="BR52" s="94"/>
      <c r="BS52" s="94"/>
      <c r="BT52" s="94"/>
      <c r="BU52" s="94"/>
      <c r="BV52" s="94"/>
      <c r="BW52" s="688">
        <f t="shared" si="2"/>
        <v>0</v>
      </c>
      <c r="BX52" s="51"/>
      <c r="BY52" s="51"/>
      <c r="BZ52" s="51"/>
      <c r="CA52" s="51"/>
      <c r="CB52" s="51"/>
      <c r="CC52" s="51"/>
      <c r="CD52" s="97"/>
      <c r="CE52" s="479"/>
      <c r="CF52" s="51"/>
      <c r="CG52" s="51"/>
      <c r="CH52" s="62"/>
      <c r="CI52" s="62"/>
      <c r="CJ52" s="51"/>
      <c r="CK52" s="51"/>
      <c r="CL52" s="95"/>
      <c r="CM52" s="93"/>
      <c r="CN52" s="51"/>
      <c r="CO52" s="51"/>
      <c r="CP52" s="51"/>
      <c r="CQ52" s="51"/>
      <c r="CR52" s="51"/>
      <c r="CS52" s="51"/>
      <c r="CT52" s="51"/>
      <c r="CU52" s="95"/>
      <c r="CV52" s="93"/>
      <c r="CW52" s="51"/>
      <c r="CX52" s="51"/>
      <c r="CY52" s="51"/>
      <c r="CZ52" s="51"/>
      <c r="DA52" s="51"/>
      <c r="DB52" s="51"/>
      <c r="DC52" s="51"/>
      <c r="DD52" s="95"/>
      <c r="DE52" s="93"/>
      <c r="DF52" s="51"/>
      <c r="DG52" s="51"/>
      <c r="DH52" s="51"/>
      <c r="DI52" s="51"/>
      <c r="DJ52" s="51"/>
      <c r="DK52" s="51"/>
      <c r="DL52" s="95"/>
      <c r="DM52" s="478"/>
      <c r="DN52" s="682">
        <f t="shared" si="7"/>
        <v>0</v>
      </c>
      <c r="DO52" s="683"/>
    </row>
    <row r="53" spans="1:119" ht="25.5" customHeight="1" thickTop="1" thickBot="1" x14ac:dyDescent="0.2">
      <c r="A53" s="676">
        <f t="shared" si="3"/>
        <v>38</v>
      </c>
      <c r="B53" s="1054"/>
      <c r="C53" s="1054"/>
      <c r="D53" s="83"/>
      <c r="E53" s="954"/>
      <c r="F53" s="52"/>
      <c r="G53" s="103"/>
      <c r="H53" s="1059"/>
      <c r="I53" s="684" t="str">
        <f t="shared" si="0"/>
        <v/>
      </c>
      <c r="J53" s="685">
        <f t="shared" si="1"/>
        <v>0</v>
      </c>
      <c r="K53" s="1252"/>
      <c r="L53" s="1251"/>
      <c r="M53" s="1257"/>
      <c r="N53" s="719" t="str">
        <f t="shared" si="4"/>
        <v/>
      </c>
      <c r="O53" s="720" t="str">
        <f>IF('Set up ~ Config'!$G$32=6,IF(OR($N53=7,$N53=8,$N53=9),1,IF(OR($N53=10,$N53=11,$N53=12),2,IF(OR($N53=1,$N53=2,$N53=3),3,IF(OR($N53=4,$N53=5,$N53=6),4,"")))),IF(OR($N53=9,$N53=10,$N53=11),1,IF(OR($N53=12,$N53=1,$N53=2),2,IF(OR($N53=3,$N53=4,$N53=5),3,IF(OR($N53=6,$N53=7,$N53=8),4,"")))))</f>
        <v/>
      </c>
      <c r="P53" s="99"/>
      <c r="Q53" s="62"/>
      <c r="R53" s="62"/>
      <c r="S53" s="51"/>
      <c r="T53" s="51"/>
      <c r="U53" s="51"/>
      <c r="V53" s="51"/>
      <c r="W53" s="51"/>
      <c r="X53" s="51"/>
      <c r="Y53" s="51"/>
      <c r="Z53" s="51"/>
      <c r="AA53" s="51"/>
      <c r="AB53" s="51"/>
      <c r="AC53" s="51"/>
      <c r="AD53" s="51"/>
      <c r="AE53" s="51"/>
      <c r="AF53" s="51"/>
      <c r="AG53" s="51"/>
      <c r="AH53" s="94"/>
      <c r="AI53" s="94"/>
      <c r="AJ53" s="94"/>
      <c r="AK53" s="94"/>
      <c r="AL53" s="94"/>
      <c r="AM53" s="94"/>
      <c r="AN53" s="94"/>
      <c r="AO53" s="95"/>
      <c r="AP53" s="686">
        <f t="shared" si="5"/>
        <v>0</v>
      </c>
      <c r="AQ53" s="42"/>
      <c r="AR53" s="42"/>
      <c r="AS53" s="42"/>
      <c r="AT53" s="43"/>
      <c r="AU53" s="687">
        <f t="shared" si="6"/>
        <v>0</v>
      </c>
      <c r="AV53" s="42"/>
      <c r="AW53" s="42"/>
      <c r="AX53" s="42"/>
      <c r="AY53" s="43"/>
      <c r="AZ53" s="486"/>
      <c r="BA53" s="51"/>
      <c r="BB53" s="51"/>
      <c r="BC53" s="51"/>
      <c r="BD53" s="51"/>
      <c r="BE53" s="51"/>
      <c r="BF53" s="51"/>
      <c r="BG53" s="51"/>
      <c r="BH53" s="94"/>
      <c r="BI53" s="94"/>
      <c r="BJ53" s="94"/>
      <c r="BK53" s="94"/>
      <c r="BL53" s="94"/>
      <c r="BM53" s="483"/>
      <c r="BN53" s="94"/>
      <c r="BO53" s="94"/>
      <c r="BP53" s="94"/>
      <c r="BQ53" s="94"/>
      <c r="BR53" s="94"/>
      <c r="BS53" s="94"/>
      <c r="BT53" s="94"/>
      <c r="BU53" s="94"/>
      <c r="BV53" s="94"/>
      <c r="BW53" s="688">
        <f t="shared" si="2"/>
        <v>0</v>
      </c>
      <c r="BX53" s="51"/>
      <c r="BY53" s="51"/>
      <c r="BZ53" s="51"/>
      <c r="CA53" s="51"/>
      <c r="CB53" s="51"/>
      <c r="CC53" s="51"/>
      <c r="CD53" s="97"/>
      <c r="CE53" s="479"/>
      <c r="CF53" s="51"/>
      <c r="CG53" s="51"/>
      <c r="CH53" s="62"/>
      <c r="CI53" s="62"/>
      <c r="CJ53" s="51"/>
      <c r="CK53" s="51"/>
      <c r="CL53" s="95"/>
      <c r="CM53" s="93"/>
      <c r="CN53" s="51"/>
      <c r="CO53" s="51"/>
      <c r="CP53" s="51"/>
      <c r="CQ53" s="51"/>
      <c r="CR53" s="51"/>
      <c r="CS53" s="51"/>
      <c r="CT53" s="51"/>
      <c r="CU53" s="95"/>
      <c r="CV53" s="93"/>
      <c r="CW53" s="51"/>
      <c r="CX53" s="51"/>
      <c r="CY53" s="51"/>
      <c r="CZ53" s="51"/>
      <c r="DA53" s="51"/>
      <c r="DB53" s="51"/>
      <c r="DC53" s="51"/>
      <c r="DD53" s="95"/>
      <c r="DE53" s="93"/>
      <c r="DF53" s="51"/>
      <c r="DG53" s="51"/>
      <c r="DH53" s="51"/>
      <c r="DI53" s="51"/>
      <c r="DJ53" s="51"/>
      <c r="DK53" s="51"/>
      <c r="DL53" s="95"/>
      <c r="DM53" s="478"/>
      <c r="DN53" s="682">
        <f t="shared" si="7"/>
        <v>0</v>
      </c>
      <c r="DO53" s="683"/>
    </row>
    <row r="54" spans="1:119" ht="25.5" customHeight="1" thickTop="1" thickBot="1" x14ac:dyDescent="0.2">
      <c r="A54" s="676">
        <f t="shared" si="3"/>
        <v>39</v>
      </c>
      <c r="B54" s="1054"/>
      <c r="C54" s="1054"/>
      <c r="D54" s="83"/>
      <c r="E54" s="954"/>
      <c r="F54" s="52"/>
      <c r="G54" s="103"/>
      <c r="H54" s="1059"/>
      <c r="I54" s="684" t="str">
        <f t="shared" si="0"/>
        <v/>
      </c>
      <c r="J54" s="685">
        <f t="shared" si="1"/>
        <v>0</v>
      </c>
      <c r="K54" s="1252"/>
      <c r="L54" s="1251"/>
      <c r="M54" s="1257"/>
      <c r="N54" s="719" t="str">
        <f t="shared" si="4"/>
        <v/>
      </c>
      <c r="O54" s="720" t="str">
        <f>IF('Set up ~ Config'!$G$32=6,IF(OR($N54=7,$N54=8,$N54=9),1,IF(OR($N54=10,$N54=11,$N54=12),2,IF(OR($N54=1,$N54=2,$N54=3),3,IF(OR($N54=4,$N54=5,$N54=6),4,"")))),IF(OR($N54=9,$N54=10,$N54=11),1,IF(OR($N54=12,$N54=1,$N54=2),2,IF(OR($N54=3,$N54=4,$N54=5),3,IF(OR($N54=6,$N54=7,$N54=8),4,"")))))</f>
        <v/>
      </c>
      <c r="P54" s="99"/>
      <c r="Q54" s="62"/>
      <c r="R54" s="62"/>
      <c r="S54" s="51"/>
      <c r="T54" s="51"/>
      <c r="U54" s="51"/>
      <c r="V54" s="51"/>
      <c r="W54" s="51"/>
      <c r="X54" s="51"/>
      <c r="Y54" s="51"/>
      <c r="Z54" s="51"/>
      <c r="AA54" s="51"/>
      <c r="AB54" s="51"/>
      <c r="AC54" s="51"/>
      <c r="AD54" s="51"/>
      <c r="AE54" s="51"/>
      <c r="AF54" s="51"/>
      <c r="AG54" s="51"/>
      <c r="AH54" s="94"/>
      <c r="AI54" s="94"/>
      <c r="AJ54" s="94"/>
      <c r="AK54" s="94"/>
      <c r="AL54" s="94"/>
      <c r="AM54" s="94"/>
      <c r="AN54" s="94"/>
      <c r="AO54" s="95"/>
      <c r="AP54" s="686">
        <f t="shared" si="5"/>
        <v>0</v>
      </c>
      <c r="AQ54" s="42"/>
      <c r="AR54" s="42"/>
      <c r="AS54" s="42"/>
      <c r="AT54" s="43"/>
      <c r="AU54" s="687">
        <f t="shared" si="6"/>
        <v>0</v>
      </c>
      <c r="AV54" s="42"/>
      <c r="AW54" s="42"/>
      <c r="AX54" s="42"/>
      <c r="AY54" s="43"/>
      <c r="AZ54" s="486"/>
      <c r="BA54" s="51"/>
      <c r="BB54" s="51"/>
      <c r="BC54" s="51"/>
      <c r="BD54" s="51"/>
      <c r="BE54" s="51"/>
      <c r="BF54" s="51"/>
      <c r="BG54" s="51"/>
      <c r="BH54" s="94"/>
      <c r="BI54" s="94"/>
      <c r="BJ54" s="94"/>
      <c r="BK54" s="94"/>
      <c r="BL54" s="94"/>
      <c r="BM54" s="483"/>
      <c r="BN54" s="94"/>
      <c r="BO54" s="94"/>
      <c r="BP54" s="94"/>
      <c r="BQ54" s="94"/>
      <c r="BR54" s="94"/>
      <c r="BS54" s="94"/>
      <c r="BT54" s="94"/>
      <c r="BU54" s="94"/>
      <c r="BV54" s="94"/>
      <c r="BW54" s="688">
        <f t="shared" si="2"/>
        <v>0</v>
      </c>
      <c r="BX54" s="51"/>
      <c r="BY54" s="51"/>
      <c r="BZ54" s="51"/>
      <c r="CA54" s="51"/>
      <c r="CB54" s="51"/>
      <c r="CC54" s="51"/>
      <c r="CD54" s="97"/>
      <c r="CE54" s="479"/>
      <c r="CF54" s="51"/>
      <c r="CG54" s="51"/>
      <c r="CH54" s="62"/>
      <c r="CI54" s="62"/>
      <c r="CJ54" s="51"/>
      <c r="CK54" s="51"/>
      <c r="CL54" s="95"/>
      <c r="CM54" s="93"/>
      <c r="CN54" s="51"/>
      <c r="CO54" s="51"/>
      <c r="CP54" s="51"/>
      <c r="CQ54" s="51"/>
      <c r="CR54" s="51"/>
      <c r="CS54" s="51"/>
      <c r="CT54" s="51"/>
      <c r="CU54" s="95"/>
      <c r="CV54" s="93"/>
      <c r="CW54" s="51"/>
      <c r="CX54" s="51"/>
      <c r="CY54" s="51"/>
      <c r="CZ54" s="51"/>
      <c r="DA54" s="51"/>
      <c r="DB54" s="51"/>
      <c r="DC54" s="51"/>
      <c r="DD54" s="95"/>
      <c r="DE54" s="93"/>
      <c r="DF54" s="51"/>
      <c r="DG54" s="51"/>
      <c r="DH54" s="51"/>
      <c r="DI54" s="51"/>
      <c r="DJ54" s="51"/>
      <c r="DK54" s="51"/>
      <c r="DL54" s="95"/>
      <c r="DM54" s="478"/>
      <c r="DN54" s="682">
        <f t="shared" si="7"/>
        <v>0</v>
      </c>
      <c r="DO54" s="683"/>
    </row>
    <row r="55" spans="1:119" ht="25.5" customHeight="1" thickTop="1" thickBot="1" x14ac:dyDescent="0.2">
      <c r="A55" s="676">
        <f t="shared" si="3"/>
        <v>40</v>
      </c>
      <c r="B55" s="1054"/>
      <c r="C55" s="1054"/>
      <c r="D55" s="83"/>
      <c r="E55" s="954"/>
      <c r="F55" s="52"/>
      <c r="G55" s="103"/>
      <c r="H55" s="1059"/>
      <c r="I55" s="684" t="str">
        <f t="shared" si="0"/>
        <v/>
      </c>
      <c r="J55" s="685">
        <f t="shared" si="1"/>
        <v>0</v>
      </c>
      <c r="K55" s="1252"/>
      <c r="L55" s="1251"/>
      <c r="M55" s="1257"/>
      <c r="N55" s="719" t="str">
        <f t="shared" si="4"/>
        <v/>
      </c>
      <c r="O55" s="720" t="str">
        <f>IF('Set up ~ Config'!$G$32=6,IF(OR($N55=7,$N55=8,$N55=9),1,IF(OR($N55=10,$N55=11,$N55=12),2,IF(OR($N55=1,$N55=2,$N55=3),3,IF(OR($N55=4,$N55=5,$N55=6),4,"")))),IF(OR($N55=9,$N55=10,$N55=11),1,IF(OR($N55=12,$N55=1,$N55=2),2,IF(OR($N55=3,$N55=4,$N55=5),3,IF(OR($N55=6,$N55=7,$N55=8),4,"")))))</f>
        <v/>
      </c>
      <c r="P55" s="99"/>
      <c r="Q55" s="62"/>
      <c r="R55" s="62"/>
      <c r="S55" s="51"/>
      <c r="T55" s="51"/>
      <c r="U55" s="51"/>
      <c r="V55" s="51"/>
      <c r="W55" s="51"/>
      <c r="X55" s="51"/>
      <c r="Y55" s="51"/>
      <c r="Z55" s="51"/>
      <c r="AA55" s="51"/>
      <c r="AB55" s="51"/>
      <c r="AC55" s="51"/>
      <c r="AD55" s="51"/>
      <c r="AE55" s="51"/>
      <c r="AF55" s="51"/>
      <c r="AG55" s="51"/>
      <c r="AH55" s="94"/>
      <c r="AI55" s="94"/>
      <c r="AJ55" s="94"/>
      <c r="AK55" s="94"/>
      <c r="AL55" s="94"/>
      <c r="AM55" s="94"/>
      <c r="AN55" s="94"/>
      <c r="AO55" s="95"/>
      <c r="AP55" s="686">
        <f t="shared" si="5"/>
        <v>0</v>
      </c>
      <c r="AQ55" s="42"/>
      <c r="AR55" s="42"/>
      <c r="AS55" s="42"/>
      <c r="AT55" s="43"/>
      <c r="AU55" s="687">
        <f t="shared" si="6"/>
        <v>0</v>
      </c>
      <c r="AV55" s="42"/>
      <c r="AW55" s="42"/>
      <c r="AX55" s="42"/>
      <c r="AY55" s="43"/>
      <c r="AZ55" s="486"/>
      <c r="BA55" s="51"/>
      <c r="BB55" s="51"/>
      <c r="BC55" s="51"/>
      <c r="BD55" s="51"/>
      <c r="BE55" s="51"/>
      <c r="BF55" s="51"/>
      <c r="BG55" s="51"/>
      <c r="BH55" s="94"/>
      <c r="BI55" s="94"/>
      <c r="BJ55" s="94"/>
      <c r="BK55" s="94"/>
      <c r="BL55" s="94"/>
      <c r="BM55" s="483"/>
      <c r="BN55" s="94"/>
      <c r="BO55" s="94"/>
      <c r="BP55" s="94"/>
      <c r="BQ55" s="94"/>
      <c r="BR55" s="94"/>
      <c r="BS55" s="94"/>
      <c r="BT55" s="94"/>
      <c r="BU55" s="94"/>
      <c r="BV55" s="94"/>
      <c r="BW55" s="688">
        <f t="shared" si="2"/>
        <v>0</v>
      </c>
      <c r="BX55" s="51"/>
      <c r="BY55" s="51"/>
      <c r="BZ55" s="51"/>
      <c r="CA55" s="51"/>
      <c r="CB55" s="51"/>
      <c r="CC55" s="51"/>
      <c r="CD55" s="97"/>
      <c r="CE55" s="479"/>
      <c r="CF55" s="51"/>
      <c r="CG55" s="51"/>
      <c r="CH55" s="62"/>
      <c r="CI55" s="62"/>
      <c r="CJ55" s="51"/>
      <c r="CK55" s="51"/>
      <c r="CL55" s="95"/>
      <c r="CM55" s="93"/>
      <c r="CN55" s="51"/>
      <c r="CO55" s="51"/>
      <c r="CP55" s="51"/>
      <c r="CQ55" s="51"/>
      <c r="CR55" s="51"/>
      <c r="CS55" s="51"/>
      <c r="CT55" s="51"/>
      <c r="CU55" s="95"/>
      <c r="CV55" s="93"/>
      <c r="CW55" s="51"/>
      <c r="CX55" s="51"/>
      <c r="CY55" s="51"/>
      <c r="CZ55" s="51"/>
      <c r="DA55" s="51"/>
      <c r="DB55" s="51"/>
      <c r="DC55" s="51"/>
      <c r="DD55" s="95"/>
      <c r="DE55" s="93"/>
      <c r="DF55" s="51"/>
      <c r="DG55" s="51"/>
      <c r="DH55" s="51"/>
      <c r="DI55" s="51"/>
      <c r="DJ55" s="51"/>
      <c r="DK55" s="51"/>
      <c r="DL55" s="95"/>
      <c r="DM55" s="478"/>
      <c r="DN55" s="682">
        <f t="shared" si="7"/>
        <v>0</v>
      </c>
      <c r="DO55" s="683"/>
    </row>
    <row r="56" spans="1:119" ht="25.5" customHeight="1" thickTop="1" thickBot="1" x14ac:dyDescent="0.2">
      <c r="A56" s="676">
        <f t="shared" si="3"/>
        <v>41</v>
      </c>
      <c r="B56" s="1054"/>
      <c r="C56" s="1054"/>
      <c r="D56" s="83"/>
      <c r="E56" s="954"/>
      <c r="F56" s="52"/>
      <c r="G56" s="103"/>
      <c r="H56" s="1059"/>
      <c r="I56" s="684" t="str">
        <f t="shared" si="0"/>
        <v/>
      </c>
      <c r="J56" s="685">
        <f t="shared" si="1"/>
        <v>0</v>
      </c>
      <c r="K56" s="1252"/>
      <c r="L56" s="1251"/>
      <c r="M56" s="1257"/>
      <c r="N56" s="719" t="str">
        <f t="shared" si="4"/>
        <v/>
      </c>
      <c r="O56" s="720" t="str">
        <f>IF('Set up ~ Config'!$G$32=6,IF(OR($N56=7,$N56=8,$N56=9),1,IF(OR($N56=10,$N56=11,$N56=12),2,IF(OR($N56=1,$N56=2,$N56=3),3,IF(OR($N56=4,$N56=5,$N56=6),4,"")))),IF(OR($N56=9,$N56=10,$N56=11),1,IF(OR($N56=12,$N56=1,$N56=2),2,IF(OR($N56=3,$N56=4,$N56=5),3,IF(OR($N56=6,$N56=7,$N56=8),4,"")))))</f>
        <v/>
      </c>
      <c r="P56" s="99"/>
      <c r="Q56" s="62"/>
      <c r="R56" s="62"/>
      <c r="S56" s="51"/>
      <c r="T56" s="51"/>
      <c r="U56" s="51"/>
      <c r="V56" s="51"/>
      <c r="W56" s="51"/>
      <c r="X56" s="51"/>
      <c r="Y56" s="51"/>
      <c r="Z56" s="51"/>
      <c r="AA56" s="51"/>
      <c r="AB56" s="51"/>
      <c r="AC56" s="51"/>
      <c r="AD56" s="51"/>
      <c r="AE56" s="51"/>
      <c r="AF56" s="51"/>
      <c r="AG56" s="51"/>
      <c r="AH56" s="94"/>
      <c r="AI56" s="94"/>
      <c r="AJ56" s="94"/>
      <c r="AK56" s="94"/>
      <c r="AL56" s="94"/>
      <c r="AM56" s="94"/>
      <c r="AN56" s="94"/>
      <c r="AO56" s="95"/>
      <c r="AP56" s="686">
        <f t="shared" si="5"/>
        <v>0</v>
      </c>
      <c r="AQ56" s="42"/>
      <c r="AR56" s="42"/>
      <c r="AS56" s="42"/>
      <c r="AT56" s="43"/>
      <c r="AU56" s="687">
        <f t="shared" si="6"/>
        <v>0</v>
      </c>
      <c r="AV56" s="42"/>
      <c r="AW56" s="42"/>
      <c r="AX56" s="42"/>
      <c r="AY56" s="43"/>
      <c r="AZ56" s="486"/>
      <c r="BA56" s="51"/>
      <c r="BB56" s="51"/>
      <c r="BC56" s="51"/>
      <c r="BD56" s="51"/>
      <c r="BE56" s="51"/>
      <c r="BF56" s="51"/>
      <c r="BG56" s="51"/>
      <c r="BH56" s="94"/>
      <c r="BI56" s="94"/>
      <c r="BJ56" s="94"/>
      <c r="BK56" s="94"/>
      <c r="BL56" s="94"/>
      <c r="BM56" s="483"/>
      <c r="BN56" s="94"/>
      <c r="BO56" s="94"/>
      <c r="BP56" s="94"/>
      <c r="BQ56" s="94"/>
      <c r="BR56" s="94"/>
      <c r="BS56" s="94"/>
      <c r="BT56" s="94"/>
      <c r="BU56" s="94"/>
      <c r="BV56" s="94"/>
      <c r="BW56" s="688">
        <f t="shared" si="2"/>
        <v>0</v>
      </c>
      <c r="BX56" s="51"/>
      <c r="BY56" s="51"/>
      <c r="BZ56" s="51"/>
      <c r="CA56" s="51"/>
      <c r="CB56" s="51"/>
      <c r="CC56" s="51"/>
      <c r="CD56" s="97"/>
      <c r="CE56" s="479"/>
      <c r="CF56" s="51"/>
      <c r="CG56" s="51"/>
      <c r="CH56" s="62"/>
      <c r="CI56" s="62"/>
      <c r="CJ56" s="51"/>
      <c r="CK56" s="51"/>
      <c r="CL56" s="95"/>
      <c r="CM56" s="93"/>
      <c r="CN56" s="51"/>
      <c r="CO56" s="51"/>
      <c r="CP56" s="51"/>
      <c r="CQ56" s="51"/>
      <c r="CR56" s="51"/>
      <c r="CS56" s="51"/>
      <c r="CT56" s="51"/>
      <c r="CU56" s="95"/>
      <c r="CV56" s="93"/>
      <c r="CW56" s="51"/>
      <c r="CX56" s="51"/>
      <c r="CY56" s="51"/>
      <c r="CZ56" s="51"/>
      <c r="DA56" s="51"/>
      <c r="DB56" s="51"/>
      <c r="DC56" s="51"/>
      <c r="DD56" s="95"/>
      <c r="DE56" s="93"/>
      <c r="DF56" s="51"/>
      <c r="DG56" s="51"/>
      <c r="DH56" s="51"/>
      <c r="DI56" s="51"/>
      <c r="DJ56" s="51"/>
      <c r="DK56" s="51"/>
      <c r="DL56" s="95"/>
      <c r="DM56" s="478"/>
      <c r="DN56" s="682">
        <f t="shared" si="7"/>
        <v>0</v>
      </c>
      <c r="DO56" s="683"/>
    </row>
    <row r="57" spans="1:119" ht="25.5" customHeight="1" thickTop="1" thickBot="1" x14ac:dyDescent="0.2">
      <c r="A57" s="676">
        <f t="shared" si="3"/>
        <v>42</v>
      </c>
      <c r="B57" s="1054"/>
      <c r="C57" s="1054"/>
      <c r="D57" s="83"/>
      <c r="E57" s="954"/>
      <c r="F57" s="52"/>
      <c r="G57" s="103"/>
      <c r="H57" s="1059"/>
      <c r="I57" s="684" t="str">
        <f t="shared" si="0"/>
        <v/>
      </c>
      <c r="J57" s="685">
        <f t="shared" si="1"/>
        <v>0</v>
      </c>
      <c r="K57" s="1252"/>
      <c r="L57" s="1251"/>
      <c r="M57" s="1257"/>
      <c r="N57" s="719" t="str">
        <f t="shared" si="4"/>
        <v/>
      </c>
      <c r="O57" s="720" t="str">
        <f>IF('Set up ~ Config'!$G$32=6,IF(OR($N57=7,$N57=8,$N57=9),1,IF(OR($N57=10,$N57=11,$N57=12),2,IF(OR($N57=1,$N57=2,$N57=3),3,IF(OR($N57=4,$N57=5,$N57=6),4,"")))),IF(OR($N57=9,$N57=10,$N57=11),1,IF(OR($N57=12,$N57=1,$N57=2),2,IF(OR($N57=3,$N57=4,$N57=5),3,IF(OR($N57=6,$N57=7,$N57=8),4,"")))))</f>
        <v/>
      </c>
      <c r="P57" s="99"/>
      <c r="Q57" s="62"/>
      <c r="R57" s="62"/>
      <c r="S57" s="51"/>
      <c r="T57" s="51"/>
      <c r="U57" s="51"/>
      <c r="V57" s="51"/>
      <c r="W57" s="51"/>
      <c r="X57" s="51"/>
      <c r="Y57" s="51"/>
      <c r="Z57" s="51"/>
      <c r="AA57" s="51"/>
      <c r="AB57" s="51"/>
      <c r="AC57" s="51"/>
      <c r="AD57" s="51"/>
      <c r="AE57" s="51"/>
      <c r="AF57" s="51"/>
      <c r="AG57" s="51"/>
      <c r="AH57" s="94"/>
      <c r="AI57" s="94"/>
      <c r="AJ57" s="94"/>
      <c r="AK57" s="94"/>
      <c r="AL57" s="94"/>
      <c r="AM57" s="94"/>
      <c r="AN57" s="94"/>
      <c r="AO57" s="95"/>
      <c r="AP57" s="686">
        <f t="shared" si="5"/>
        <v>0</v>
      </c>
      <c r="AQ57" s="42"/>
      <c r="AR57" s="42"/>
      <c r="AS57" s="42"/>
      <c r="AT57" s="43"/>
      <c r="AU57" s="687">
        <f t="shared" si="6"/>
        <v>0</v>
      </c>
      <c r="AV57" s="42"/>
      <c r="AW57" s="42"/>
      <c r="AX57" s="42"/>
      <c r="AY57" s="43"/>
      <c r="AZ57" s="486"/>
      <c r="BA57" s="51"/>
      <c r="BB57" s="51"/>
      <c r="BC57" s="51"/>
      <c r="BD57" s="51"/>
      <c r="BE57" s="51"/>
      <c r="BF57" s="51"/>
      <c r="BG57" s="51"/>
      <c r="BH57" s="94"/>
      <c r="BI57" s="94"/>
      <c r="BJ57" s="94"/>
      <c r="BK57" s="94"/>
      <c r="BL57" s="94"/>
      <c r="BM57" s="483"/>
      <c r="BN57" s="94"/>
      <c r="BO57" s="94"/>
      <c r="BP57" s="94"/>
      <c r="BQ57" s="94"/>
      <c r="BR57" s="94"/>
      <c r="BS57" s="94"/>
      <c r="BT57" s="94"/>
      <c r="BU57" s="94"/>
      <c r="BV57" s="94"/>
      <c r="BW57" s="688">
        <f t="shared" si="2"/>
        <v>0</v>
      </c>
      <c r="BX57" s="51"/>
      <c r="BY57" s="51"/>
      <c r="BZ57" s="51"/>
      <c r="CA57" s="51"/>
      <c r="CB57" s="51"/>
      <c r="CC57" s="51"/>
      <c r="CD57" s="97"/>
      <c r="CE57" s="479"/>
      <c r="CF57" s="51"/>
      <c r="CG57" s="51"/>
      <c r="CH57" s="62"/>
      <c r="CI57" s="62"/>
      <c r="CJ57" s="51"/>
      <c r="CK57" s="51"/>
      <c r="CL57" s="95"/>
      <c r="CM57" s="93"/>
      <c r="CN57" s="51"/>
      <c r="CO57" s="51"/>
      <c r="CP57" s="51"/>
      <c r="CQ57" s="51"/>
      <c r="CR57" s="51"/>
      <c r="CS57" s="51"/>
      <c r="CT57" s="51"/>
      <c r="CU57" s="95"/>
      <c r="CV57" s="93"/>
      <c r="CW57" s="51"/>
      <c r="CX57" s="51"/>
      <c r="CY57" s="51"/>
      <c r="CZ57" s="51"/>
      <c r="DA57" s="51"/>
      <c r="DB57" s="51"/>
      <c r="DC57" s="51"/>
      <c r="DD57" s="95"/>
      <c r="DE57" s="93"/>
      <c r="DF57" s="51"/>
      <c r="DG57" s="51"/>
      <c r="DH57" s="51"/>
      <c r="DI57" s="51"/>
      <c r="DJ57" s="51"/>
      <c r="DK57" s="51"/>
      <c r="DL57" s="95"/>
      <c r="DM57" s="478"/>
      <c r="DN57" s="682">
        <f t="shared" si="7"/>
        <v>0</v>
      </c>
      <c r="DO57" s="683"/>
    </row>
    <row r="58" spans="1:119" ht="25.5" customHeight="1" thickTop="1" thickBot="1" x14ac:dyDescent="0.2">
      <c r="A58" s="676">
        <f t="shared" si="3"/>
        <v>43</v>
      </c>
      <c r="B58" s="1054"/>
      <c r="C58" s="1054"/>
      <c r="D58" s="83"/>
      <c r="E58" s="954"/>
      <c r="F58" s="52"/>
      <c r="G58" s="103"/>
      <c r="H58" s="1059"/>
      <c r="I58" s="684" t="str">
        <f t="shared" si="0"/>
        <v/>
      </c>
      <c r="J58" s="685">
        <f t="shared" si="1"/>
        <v>0</v>
      </c>
      <c r="K58" s="1252"/>
      <c r="L58" s="1251"/>
      <c r="M58" s="1257"/>
      <c r="N58" s="719" t="str">
        <f t="shared" si="4"/>
        <v/>
      </c>
      <c r="O58" s="720" t="str">
        <f>IF('Set up ~ Config'!$G$32=6,IF(OR($N58=7,$N58=8,$N58=9),1,IF(OR($N58=10,$N58=11,$N58=12),2,IF(OR($N58=1,$N58=2,$N58=3),3,IF(OR($N58=4,$N58=5,$N58=6),4,"")))),IF(OR($N58=9,$N58=10,$N58=11),1,IF(OR($N58=12,$N58=1,$N58=2),2,IF(OR($N58=3,$N58=4,$N58=5),3,IF(OR($N58=6,$N58=7,$N58=8),4,"")))))</f>
        <v/>
      </c>
      <c r="P58" s="99"/>
      <c r="Q58" s="62"/>
      <c r="R58" s="62"/>
      <c r="S58" s="51"/>
      <c r="T58" s="51"/>
      <c r="U58" s="51"/>
      <c r="V58" s="51"/>
      <c r="W58" s="51"/>
      <c r="X58" s="51"/>
      <c r="Y58" s="51"/>
      <c r="Z58" s="51"/>
      <c r="AA58" s="51"/>
      <c r="AB58" s="51"/>
      <c r="AC58" s="51"/>
      <c r="AD58" s="51"/>
      <c r="AE58" s="51"/>
      <c r="AF58" s="51"/>
      <c r="AG58" s="51"/>
      <c r="AH58" s="94"/>
      <c r="AI58" s="94"/>
      <c r="AJ58" s="94"/>
      <c r="AK58" s="94"/>
      <c r="AL58" s="94"/>
      <c r="AM58" s="94"/>
      <c r="AN58" s="94"/>
      <c r="AO58" s="95"/>
      <c r="AP58" s="686">
        <f t="shared" si="5"/>
        <v>0</v>
      </c>
      <c r="AQ58" s="42"/>
      <c r="AR58" s="42"/>
      <c r="AS58" s="42"/>
      <c r="AT58" s="43"/>
      <c r="AU58" s="687">
        <f t="shared" si="6"/>
        <v>0</v>
      </c>
      <c r="AV58" s="42"/>
      <c r="AW58" s="42"/>
      <c r="AX58" s="42"/>
      <c r="AY58" s="43"/>
      <c r="AZ58" s="486"/>
      <c r="BA58" s="51"/>
      <c r="BB58" s="51"/>
      <c r="BC58" s="51"/>
      <c r="BD58" s="51"/>
      <c r="BE58" s="51"/>
      <c r="BF58" s="51"/>
      <c r="BG58" s="51"/>
      <c r="BH58" s="94"/>
      <c r="BI58" s="94"/>
      <c r="BJ58" s="94"/>
      <c r="BK58" s="94"/>
      <c r="BL58" s="94"/>
      <c r="BM58" s="483"/>
      <c r="BN58" s="94"/>
      <c r="BO58" s="94"/>
      <c r="BP58" s="94"/>
      <c r="BQ58" s="94"/>
      <c r="BR58" s="94"/>
      <c r="BS58" s="94"/>
      <c r="BT58" s="94"/>
      <c r="BU58" s="94"/>
      <c r="BV58" s="94"/>
      <c r="BW58" s="688">
        <f t="shared" si="2"/>
        <v>0</v>
      </c>
      <c r="BX58" s="51"/>
      <c r="BY58" s="51"/>
      <c r="BZ58" s="51"/>
      <c r="CA58" s="51"/>
      <c r="CB58" s="51"/>
      <c r="CC58" s="51"/>
      <c r="CD58" s="97"/>
      <c r="CE58" s="479"/>
      <c r="CF58" s="51"/>
      <c r="CG58" s="51"/>
      <c r="CH58" s="62"/>
      <c r="CI58" s="62"/>
      <c r="CJ58" s="51"/>
      <c r="CK58" s="51"/>
      <c r="CL58" s="95"/>
      <c r="CM58" s="93"/>
      <c r="CN58" s="51"/>
      <c r="CO58" s="51"/>
      <c r="CP58" s="51"/>
      <c r="CQ58" s="51"/>
      <c r="CR58" s="51"/>
      <c r="CS58" s="51"/>
      <c r="CT58" s="51"/>
      <c r="CU58" s="95"/>
      <c r="CV58" s="93"/>
      <c r="CW58" s="51"/>
      <c r="CX58" s="51"/>
      <c r="CY58" s="51"/>
      <c r="CZ58" s="51"/>
      <c r="DA58" s="51"/>
      <c r="DB58" s="51"/>
      <c r="DC58" s="51"/>
      <c r="DD58" s="95"/>
      <c r="DE58" s="93"/>
      <c r="DF58" s="51"/>
      <c r="DG58" s="51"/>
      <c r="DH58" s="51"/>
      <c r="DI58" s="51"/>
      <c r="DJ58" s="51"/>
      <c r="DK58" s="51"/>
      <c r="DL58" s="95"/>
      <c r="DM58" s="478"/>
      <c r="DN58" s="682">
        <f t="shared" si="7"/>
        <v>0</v>
      </c>
      <c r="DO58" s="683"/>
    </row>
    <row r="59" spans="1:119" ht="25.5" customHeight="1" thickTop="1" thickBot="1" x14ac:dyDescent="0.2">
      <c r="A59" s="676">
        <f t="shared" si="3"/>
        <v>44</v>
      </c>
      <c r="B59" s="1054"/>
      <c r="C59" s="1054"/>
      <c r="D59" s="83"/>
      <c r="E59" s="954"/>
      <c r="F59" s="52"/>
      <c r="G59" s="103"/>
      <c r="H59" s="1059"/>
      <c r="I59" s="684" t="str">
        <f t="shared" si="0"/>
        <v/>
      </c>
      <c r="J59" s="685">
        <f t="shared" si="1"/>
        <v>0</v>
      </c>
      <c r="K59" s="1252"/>
      <c r="L59" s="1251"/>
      <c r="M59" s="1257"/>
      <c r="N59" s="719" t="str">
        <f t="shared" si="4"/>
        <v/>
      </c>
      <c r="O59" s="720" t="str">
        <f>IF('Set up ~ Config'!$G$32=6,IF(OR($N59=7,$N59=8,$N59=9),1,IF(OR($N59=10,$N59=11,$N59=12),2,IF(OR($N59=1,$N59=2,$N59=3),3,IF(OR($N59=4,$N59=5,$N59=6),4,"")))),IF(OR($N59=9,$N59=10,$N59=11),1,IF(OR($N59=12,$N59=1,$N59=2),2,IF(OR($N59=3,$N59=4,$N59=5),3,IF(OR($N59=6,$N59=7,$N59=8),4,"")))))</f>
        <v/>
      </c>
      <c r="P59" s="99"/>
      <c r="Q59" s="62"/>
      <c r="R59" s="62"/>
      <c r="S59" s="51"/>
      <c r="T59" s="51"/>
      <c r="U59" s="51"/>
      <c r="V59" s="51"/>
      <c r="W59" s="51"/>
      <c r="X59" s="51"/>
      <c r="Y59" s="51"/>
      <c r="Z59" s="51"/>
      <c r="AA59" s="51"/>
      <c r="AB59" s="51"/>
      <c r="AC59" s="51"/>
      <c r="AD59" s="51"/>
      <c r="AE59" s="51"/>
      <c r="AF59" s="51"/>
      <c r="AG59" s="51"/>
      <c r="AH59" s="94"/>
      <c r="AI59" s="94"/>
      <c r="AJ59" s="94"/>
      <c r="AK59" s="94"/>
      <c r="AL59" s="94"/>
      <c r="AM59" s="94"/>
      <c r="AN59" s="94"/>
      <c r="AO59" s="95"/>
      <c r="AP59" s="686">
        <f t="shared" si="5"/>
        <v>0</v>
      </c>
      <c r="AQ59" s="42"/>
      <c r="AR59" s="42"/>
      <c r="AS59" s="42"/>
      <c r="AT59" s="43"/>
      <c r="AU59" s="687">
        <f t="shared" si="6"/>
        <v>0</v>
      </c>
      <c r="AV59" s="42"/>
      <c r="AW59" s="42"/>
      <c r="AX59" s="42"/>
      <c r="AY59" s="43"/>
      <c r="AZ59" s="486"/>
      <c r="BA59" s="51"/>
      <c r="BB59" s="51"/>
      <c r="BC59" s="51"/>
      <c r="BD59" s="51"/>
      <c r="BE59" s="51"/>
      <c r="BF59" s="51"/>
      <c r="BG59" s="51"/>
      <c r="BH59" s="94"/>
      <c r="BI59" s="94"/>
      <c r="BJ59" s="94"/>
      <c r="BK59" s="94"/>
      <c r="BL59" s="94"/>
      <c r="BM59" s="483"/>
      <c r="BN59" s="94"/>
      <c r="BO59" s="94"/>
      <c r="BP59" s="94"/>
      <c r="BQ59" s="94"/>
      <c r="BR59" s="94"/>
      <c r="BS59" s="94"/>
      <c r="BT59" s="94"/>
      <c r="BU59" s="94"/>
      <c r="BV59" s="94"/>
      <c r="BW59" s="688">
        <f t="shared" si="2"/>
        <v>0</v>
      </c>
      <c r="BX59" s="51"/>
      <c r="BY59" s="51"/>
      <c r="BZ59" s="51"/>
      <c r="CA59" s="51"/>
      <c r="CB59" s="51"/>
      <c r="CC59" s="51"/>
      <c r="CD59" s="97"/>
      <c r="CE59" s="479"/>
      <c r="CF59" s="51"/>
      <c r="CG59" s="51"/>
      <c r="CH59" s="62"/>
      <c r="CI59" s="62"/>
      <c r="CJ59" s="51"/>
      <c r="CK59" s="51"/>
      <c r="CL59" s="95"/>
      <c r="CM59" s="93"/>
      <c r="CN59" s="51"/>
      <c r="CO59" s="51"/>
      <c r="CP59" s="51"/>
      <c r="CQ59" s="51"/>
      <c r="CR59" s="51"/>
      <c r="CS59" s="51"/>
      <c r="CT59" s="51"/>
      <c r="CU59" s="95"/>
      <c r="CV59" s="93"/>
      <c r="CW59" s="51"/>
      <c r="CX59" s="51"/>
      <c r="CY59" s="51"/>
      <c r="CZ59" s="51"/>
      <c r="DA59" s="51"/>
      <c r="DB59" s="51"/>
      <c r="DC59" s="51"/>
      <c r="DD59" s="95"/>
      <c r="DE59" s="93"/>
      <c r="DF59" s="51"/>
      <c r="DG59" s="51"/>
      <c r="DH59" s="51"/>
      <c r="DI59" s="51"/>
      <c r="DJ59" s="51"/>
      <c r="DK59" s="51"/>
      <c r="DL59" s="95"/>
      <c r="DM59" s="478"/>
      <c r="DN59" s="682">
        <f t="shared" si="7"/>
        <v>0</v>
      </c>
      <c r="DO59" s="683"/>
    </row>
    <row r="60" spans="1:119" ht="25.5" customHeight="1" thickTop="1" thickBot="1" x14ac:dyDescent="0.2">
      <c r="A60" s="676">
        <f t="shared" si="3"/>
        <v>45</v>
      </c>
      <c r="B60" s="1054"/>
      <c r="C60" s="1054"/>
      <c r="D60" s="83"/>
      <c r="E60" s="954"/>
      <c r="F60" s="52"/>
      <c r="G60" s="103"/>
      <c r="H60" s="1059"/>
      <c r="I60" s="684" t="str">
        <f t="shared" si="0"/>
        <v/>
      </c>
      <c r="J60" s="685">
        <f t="shared" si="1"/>
        <v>0</v>
      </c>
      <c r="K60" s="1252"/>
      <c r="L60" s="1251"/>
      <c r="M60" s="1257"/>
      <c r="N60" s="719" t="str">
        <f t="shared" si="4"/>
        <v/>
      </c>
      <c r="O60" s="720" t="str">
        <f>IF('Set up ~ Config'!$G$32=6,IF(OR($N60=7,$N60=8,$N60=9),1,IF(OR($N60=10,$N60=11,$N60=12),2,IF(OR($N60=1,$N60=2,$N60=3),3,IF(OR($N60=4,$N60=5,$N60=6),4,"")))),IF(OR($N60=9,$N60=10,$N60=11),1,IF(OR($N60=12,$N60=1,$N60=2),2,IF(OR($N60=3,$N60=4,$N60=5),3,IF(OR($N60=6,$N60=7,$N60=8),4,"")))))</f>
        <v/>
      </c>
      <c r="P60" s="93"/>
      <c r="Q60" s="51"/>
      <c r="R60" s="51"/>
      <c r="S60" s="51"/>
      <c r="T60" s="51"/>
      <c r="U60" s="51"/>
      <c r="V60" s="51"/>
      <c r="W60" s="51"/>
      <c r="X60" s="51"/>
      <c r="Y60" s="51"/>
      <c r="Z60" s="51"/>
      <c r="AA60" s="51"/>
      <c r="AB60" s="51"/>
      <c r="AC60" s="51"/>
      <c r="AD60" s="51"/>
      <c r="AE60" s="51"/>
      <c r="AF60" s="51"/>
      <c r="AG60" s="51"/>
      <c r="AH60" s="94"/>
      <c r="AI60" s="94"/>
      <c r="AJ60" s="94"/>
      <c r="AK60" s="94"/>
      <c r="AL60" s="94"/>
      <c r="AM60" s="94"/>
      <c r="AN60" s="94"/>
      <c r="AO60" s="95"/>
      <c r="AP60" s="686">
        <f t="shared" si="5"/>
        <v>0</v>
      </c>
      <c r="AQ60" s="42"/>
      <c r="AR60" s="42"/>
      <c r="AS60" s="42"/>
      <c r="AT60" s="43"/>
      <c r="AU60" s="687">
        <f t="shared" si="6"/>
        <v>0</v>
      </c>
      <c r="AV60" s="42"/>
      <c r="AW60" s="42"/>
      <c r="AX60" s="42"/>
      <c r="AY60" s="43"/>
      <c r="AZ60" s="486"/>
      <c r="BA60" s="51"/>
      <c r="BB60" s="51"/>
      <c r="BC60" s="51"/>
      <c r="BD60" s="51"/>
      <c r="BE60" s="51"/>
      <c r="BF60" s="51"/>
      <c r="BG60" s="51"/>
      <c r="BH60" s="94"/>
      <c r="BI60" s="94"/>
      <c r="BJ60" s="94"/>
      <c r="BK60" s="94"/>
      <c r="BL60" s="94"/>
      <c r="BM60" s="483"/>
      <c r="BN60" s="94"/>
      <c r="BO60" s="94"/>
      <c r="BP60" s="94"/>
      <c r="BQ60" s="94"/>
      <c r="BR60" s="94"/>
      <c r="BS60" s="94"/>
      <c r="BT60" s="94"/>
      <c r="BU60" s="94"/>
      <c r="BV60" s="94"/>
      <c r="BW60" s="688">
        <f t="shared" si="2"/>
        <v>0</v>
      </c>
      <c r="BX60" s="51"/>
      <c r="BY60" s="51"/>
      <c r="BZ60" s="51"/>
      <c r="CA60" s="51"/>
      <c r="CB60" s="51"/>
      <c r="CC60" s="51"/>
      <c r="CD60" s="97"/>
      <c r="CE60" s="479"/>
      <c r="CF60" s="51"/>
      <c r="CG60" s="51"/>
      <c r="CH60" s="62"/>
      <c r="CI60" s="62"/>
      <c r="CJ60" s="51"/>
      <c r="CK60" s="51"/>
      <c r="CL60" s="95"/>
      <c r="CM60" s="93"/>
      <c r="CN60" s="51"/>
      <c r="CO60" s="51"/>
      <c r="CP60" s="51"/>
      <c r="CQ60" s="51"/>
      <c r="CR60" s="51"/>
      <c r="CS60" s="51"/>
      <c r="CT60" s="51"/>
      <c r="CU60" s="95"/>
      <c r="CV60" s="93"/>
      <c r="CW60" s="51"/>
      <c r="CX60" s="51"/>
      <c r="CY60" s="51"/>
      <c r="CZ60" s="51"/>
      <c r="DA60" s="51"/>
      <c r="DB60" s="51"/>
      <c r="DC60" s="51"/>
      <c r="DD60" s="95"/>
      <c r="DE60" s="93"/>
      <c r="DF60" s="51"/>
      <c r="DG60" s="51"/>
      <c r="DH60" s="51"/>
      <c r="DI60" s="51"/>
      <c r="DJ60" s="51"/>
      <c r="DK60" s="51"/>
      <c r="DL60" s="95"/>
      <c r="DM60" s="478"/>
      <c r="DN60" s="682">
        <f t="shared" si="7"/>
        <v>0</v>
      </c>
      <c r="DO60" s="683"/>
    </row>
    <row r="61" spans="1:119" ht="25.5" customHeight="1" thickTop="1" thickBot="1" x14ac:dyDescent="0.2">
      <c r="A61" s="676">
        <f t="shared" si="3"/>
        <v>46</v>
      </c>
      <c r="B61" s="1054"/>
      <c r="C61" s="1054"/>
      <c r="D61" s="83"/>
      <c r="E61" s="954"/>
      <c r="F61" s="52"/>
      <c r="G61" s="103"/>
      <c r="H61" s="1059"/>
      <c r="I61" s="684" t="str">
        <f t="shared" si="0"/>
        <v/>
      </c>
      <c r="J61" s="685">
        <f t="shared" si="1"/>
        <v>0</v>
      </c>
      <c r="K61" s="1252"/>
      <c r="L61" s="1251"/>
      <c r="M61" s="1257"/>
      <c r="N61" s="719" t="str">
        <f t="shared" si="4"/>
        <v/>
      </c>
      <c r="O61" s="720" t="str">
        <f>IF('Set up ~ Config'!$G$32=6,IF(OR($N61=7,$N61=8,$N61=9),1,IF(OR($N61=10,$N61=11,$N61=12),2,IF(OR($N61=1,$N61=2,$N61=3),3,IF(OR($N61=4,$N61=5,$N61=6),4,"")))),IF(OR($N61=9,$N61=10,$N61=11),1,IF(OR($N61=12,$N61=1,$N61=2),2,IF(OR($N61=3,$N61=4,$N61=5),3,IF(OR($N61=6,$N61=7,$N61=8),4,"")))))</f>
        <v/>
      </c>
      <c r="P61" s="93"/>
      <c r="Q61" s="51"/>
      <c r="R61" s="51"/>
      <c r="S61" s="51"/>
      <c r="T61" s="51"/>
      <c r="U61" s="51"/>
      <c r="V61" s="51"/>
      <c r="W61" s="51"/>
      <c r="X61" s="51"/>
      <c r="Y61" s="51"/>
      <c r="Z61" s="51"/>
      <c r="AA61" s="51"/>
      <c r="AB61" s="51"/>
      <c r="AC61" s="51"/>
      <c r="AD61" s="51"/>
      <c r="AE61" s="51"/>
      <c r="AF61" s="51"/>
      <c r="AG61" s="51"/>
      <c r="AH61" s="94"/>
      <c r="AI61" s="94"/>
      <c r="AJ61" s="94"/>
      <c r="AK61" s="94"/>
      <c r="AL61" s="94"/>
      <c r="AM61" s="94"/>
      <c r="AN61" s="94"/>
      <c r="AO61" s="95"/>
      <c r="AP61" s="686">
        <f t="shared" si="5"/>
        <v>0</v>
      </c>
      <c r="AQ61" s="42"/>
      <c r="AR61" s="42"/>
      <c r="AS61" s="42"/>
      <c r="AT61" s="43"/>
      <c r="AU61" s="687">
        <f t="shared" si="6"/>
        <v>0</v>
      </c>
      <c r="AV61" s="42"/>
      <c r="AW61" s="42"/>
      <c r="AX61" s="42"/>
      <c r="AY61" s="43"/>
      <c r="AZ61" s="486"/>
      <c r="BA61" s="51"/>
      <c r="BB61" s="51"/>
      <c r="BC61" s="51"/>
      <c r="BD61" s="51"/>
      <c r="BE61" s="51"/>
      <c r="BF61" s="51"/>
      <c r="BG61" s="51"/>
      <c r="BH61" s="94"/>
      <c r="BI61" s="94"/>
      <c r="BJ61" s="94"/>
      <c r="BK61" s="94"/>
      <c r="BL61" s="94"/>
      <c r="BM61" s="483"/>
      <c r="BN61" s="94"/>
      <c r="BO61" s="94"/>
      <c r="BP61" s="94"/>
      <c r="BQ61" s="94"/>
      <c r="BR61" s="94"/>
      <c r="BS61" s="94"/>
      <c r="BT61" s="94"/>
      <c r="BU61" s="94"/>
      <c r="BV61" s="94"/>
      <c r="BW61" s="688">
        <f t="shared" si="2"/>
        <v>0</v>
      </c>
      <c r="BX61" s="51"/>
      <c r="BY61" s="51"/>
      <c r="BZ61" s="51"/>
      <c r="CA61" s="51"/>
      <c r="CB61" s="51"/>
      <c r="CC61" s="51"/>
      <c r="CD61" s="97"/>
      <c r="CE61" s="479"/>
      <c r="CF61" s="51"/>
      <c r="CG61" s="51"/>
      <c r="CH61" s="62"/>
      <c r="CI61" s="62"/>
      <c r="CJ61" s="51"/>
      <c r="CK61" s="51"/>
      <c r="CL61" s="95"/>
      <c r="CM61" s="93"/>
      <c r="CN61" s="51"/>
      <c r="CO61" s="51"/>
      <c r="CP61" s="51"/>
      <c r="CQ61" s="51"/>
      <c r="CR61" s="51"/>
      <c r="CS61" s="51"/>
      <c r="CT61" s="51"/>
      <c r="CU61" s="95"/>
      <c r="CV61" s="93"/>
      <c r="CW61" s="51"/>
      <c r="CX61" s="51"/>
      <c r="CY61" s="51"/>
      <c r="CZ61" s="51"/>
      <c r="DA61" s="51"/>
      <c r="DB61" s="51"/>
      <c r="DC61" s="51"/>
      <c r="DD61" s="95"/>
      <c r="DE61" s="93"/>
      <c r="DF61" s="51"/>
      <c r="DG61" s="51"/>
      <c r="DH61" s="51"/>
      <c r="DI61" s="51"/>
      <c r="DJ61" s="51"/>
      <c r="DK61" s="51"/>
      <c r="DL61" s="95"/>
      <c r="DM61" s="478"/>
      <c r="DN61" s="682">
        <f t="shared" si="7"/>
        <v>0</v>
      </c>
      <c r="DO61" s="683"/>
    </row>
    <row r="62" spans="1:119" ht="25.5" customHeight="1" thickTop="1" thickBot="1" x14ac:dyDescent="0.2">
      <c r="A62" s="676">
        <f t="shared" si="3"/>
        <v>47</v>
      </c>
      <c r="B62" s="1054"/>
      <c r="C62" s="1054"/>
      <c r="D62" s="83"/>
      <c r="E62" s="954"/>
      <c r="F62" s="52"/>
      <c r="G62" s="103"/>
      <c r="H62" s="1059"/>
      <c r="I62" s="684" t="str">
        <f t="shared" si="0"/>
        <v/>
      </c>
      <c r="J62" s="685">
        <f t="shared" si="1"/>
        <v>0</v>
      </c>
      <c r="K62" s="1252"/>
      <c r="L62" s="1251"/>
      <c r="M62" s="1257"/>
      <c r="N62" s="719" t="str">
        <f t="shared" si="4"/>
        <v/>
      </c>
      <c r="O62" s="720" t="str">
        <f>IF('Set up ~ Config'!$G$32=6,IF(OR($N62=7,$N62=8,$N62=9),1,IF(OR($N62=10,$N62=11,$N62=12),2,IF(OR($N62=1,$N62=2,$N62=3),3,IF(OR($N62=4,$N62=5,$N62=6),4,"")))),IF(OR($N62=9,$N62=10,$N62=11),1,IF(OR($N62=12,$N62=1,$N62=2),2,IF(OR($N62=3,$N62=4,$N62=5),3,IF(OR($N62=6,$N62=7,$N62=8),4,"")))))</f>
        <v/>
      </c>
      <c r="P62" s="93"/>
      <c r="Q62" s="51"/>
      <c r="R62" s="51"/>
      <c r="S62" s="51"/>
      <c r="T62" s="51"/>
      <c r="U62" s="51"/>
      <c r="V62" s="51"/>
      <c r="W62" s="51"/>
      <c r="X62" s="51"/>
      <c r="Y62" s="51"/>
      <c r="Z62" s="51"/>
      <c r="AA62" s="51"/>
      <c r="AB62" s="51"/>
      <c r="AC62" s="51"/>
      <c r="AD62" s="51"/>
      <c r="AE62" s="51"/>
      <c r="AF62" s="51"/>
      <c r="AG62" s="51"/>
      <c r="AH62" s="94"/>
      <c r="AI62" s="94"/>
      <c r="AJ62" s="94"/>
      <c r="AK62" s="94"/>
      <c r="AL62" s="94"/>
      <c r="AM62" s="94"/>
      <c r="AN62" s="94"/>
      <c r="AO62" s="95"/>
      <c r="AP62" s="686">
        <f t="shared" si="5"/>
        <v>0</v>
      </c>
      <c r="AQ62" s="42"/>
      <c r="AR62" s="42"/>
      <c r="AS62" s="42"/>
      <c r="AT62" s="43"/>
      <c r="AU62" s="687">
        <f t="shared" si="6"/>
        <v>0</v>
      </c>
      <c r="AV62" s="42"/>
      <c r="AW62" s="42"/>
      <c r="AX62" s="42"/>
      <c r="AY62" s="43"/>
      <c r="AZ62" s="486"/>
      <c r="BA62" s="51"/>
      <c r="BB62" s="51"/>
      <c r="BC62" s="51"/>
      <c r="BD62" s="51"/>
      <c r="BE62" s="51"/>
      <c r="BF62" s="51"/>
      <c r="BG62" s="51"/>
      <c r="BH62" s="94"/>
      <c r="BI62" s="94"/>
      <c r="BJ62" s="94"/>
      <c r="BK62" s="94"/>
      <c r="BL62" s="94"/>
      <c r="BM62" s="483"/>
      <c r="BN62" s="94"/>
      <c r="BO62" s="94"/>
      <c r="BP62" s="94"/>
      <c r="BQ62" s="94"/>
      <c r="BR62" s="94"/>
      <c r="BS62" s="94"/>
      <c r="BT62" s="94"/>
      <c r="BU62" s="94"/>
      <c r="BV62" s="94"/>
      <c r="BW62" s="688">
        <f t="shared" si="2"/>
        <v>0</v>
      </c>
      <c r="BX62" s="51"/>
      <c r="BY62" s="51"/>
      <c r="BZ62" s="51"/>
      <c r="CA62" s="51"/>
      <c r="CB62" s="51"/>
      <c r="CC62" s="51"/>
      <c r="CD62" s="97"/>
      <c r="CE62" s="479"/>
      <c r="CF62" s="51"/>
      <c r="CG62" s="51"/>
      <c r="CH62" s="62"/>
      <c r="CI62" s="62"/>
      <c r="CJ62" s="51"/>
      <c r="CK62" s="51"/>
      <c r="CL62" s="95"/>
      <c r="CM62" s="93"/>
      <c r="CN62" s="51"/>
      <c r="CO62" s="51"/>
      <c r="CP62" s="51"/>
      <c r="CQ62" s="51"/>
      <c r="CR62" s="51"/>
      <c r="CS62" s="51"/>
      <c r="CT62" s="51"/>
      <c r="CU62" s="95"/>
      <c r="CV62" s="93"/>
      <c r="CW62" s="51"/>
      <c r="CX62" s="51"/>
      <c r="CY62" s="51"/>
      <c r="CZ62" s="51"/>
      <c r="DA62" s="51"/>
      <c r="DB62" s="51"/>
      <c r="DC62" s="51"/>
      <c r="DD62" s="95"/>
      <c r="DE62" s="93"/>
      <c r="DF62" s="51"/>
      <c r="DG62" s="51"/>
      <c r="DH62" s="51"/>
      <c r="DI62" s="51"/>
      <c r="DJ62" s="51"/>
      <c r="DK62" s="51"/>
      <c r="DL62" s="95"/>
      <c r="DM62" s="478"/>
      <c r="DN62" s="682">
        <f t="shared" si="7"/>
        <v>0</v>
      </c>
      <c r="DO62" s="683"/>
    </row>
    <row r="63" spans="1:119" ht="25.5" customHeight="1" thickTop="1" thickBot="1" x14ac:dyDescent="0.2">
      <c r="A63" s="676">
        <f t="shared" si="3"/>
        <v>48</v>
      </c>
      <c r="B63" s="1054"/>
      <c r="C63" s="1054"/>
      <c r="D63" s="83"/>
      <c r="E63" s="954"/>
      <c r="F63" s="52"/>
      <c r="G63" s="103"/>
      <c r="H63" s="1059"/>
      <c r="I63" s="684" t="str">
        <f t="shared" si="0"/>
        <v/>
      </c>
      <c r="J63" s="685">
        <f t="shared" si="1"/>
        <v>0</v>
      </c>
      <c r="K63" s="1252"/>
      <c r="L63" s="1251"/>
      <c r="M63" s="1257"/>
      <c r="N63" s="719" t="str">
        <f t="shared" si="4"/>
        <v/>
      </c>
      <c r="O63" s="720" t="str">
        <f>IF('Set up ~ Config'!$G$32=6,IF(OR($N63=7,$N63=8,$N63=9),1,IF(OR($N63=10,$N63=11,$N63=12),2,IF(OR($N63=1,$N63=2,$N63=3),3,IF(OR($N63=4,$N63=5,$N63=6),4,"")))),IF(OR($N63=9,$N63=10,$N63=11),1,IF(OR($N63=12,$N63=1,$N63=2),2,IF(OR($N63=3,$N63=4,$N63=5),3,IF(OR($N63=6,$N63=7,$N63=8),4,"")))))</f>
        <v/>
      </c>
      <c r="P63" s="93"/>
      <c r="Q63" s="51"/>
      <c r="R63" s="51"/>
      <c r="S63" s="51"/>
      <c r="T63" s="51"/>
      <c r="U63" s="51"/>
      <c r="V63" s="51"/>
      <c r="W63" s="51"/>
      <c r="X63" s="51"/>
      <c r="Y63" s="51"/>
      <c r="Z63" s="51"/>
      <c r="AA63" s="51"/>
      <c r="AB63" s="51"/>
      <c r="AC63" s="51"/>
      <c r="AD63" s="51"/>
      <c r="AE63" s="51"/>
      <c r="AF63" s="51"/>
      <c r="AG63" s="51"/>
      <c r="AH63" s="94"/>
      <c r="AI63" s="94"/>
      <c r="AJ63" s="94"/>
      <c r="AK63" s="94"/>
      <c r="AL63" s="94"/>
      <c r="AM63" s="94"/>
      <c r="AN63" s="94"/>
      <c r="AO63" s="95"/>
      <c r="AP63" s="686">
        <f t="shared" si="5"/>
        <v>0</v>
      </c>
      <c r="AQ63" s="42"/>
      <c r="AR63" s="42"/>
      <c r="AS63" s="42"/>
      <c r="AT63" s="43"/>
      <c r="AU63" s="687">
        <f t="shared" si="6"/>
        <v>0</v>
      </c>
      <c r="AV63" s="42"/>
      <c r="AW63" s="42"/>
      <c r="AX63" s="42"/>
      <c r="AY63" s="43"/>
      <c r="AZ63" s="486"/>
      <c r="BA63" s="51"/>
      <c r="BB63" s="51"/>
      <c r="BC63" s="51"/>
      <c r="BD63" s="51"/>
      <c r="BE63" s="51"/>
      <c r="BF63" s="51"/>
      <c r="BG63" s="51"/>
      <c r="BH63" s="94"/>
      <c r="BI63" s="94"/>
      <c r="BJ63" s="94"/>
      <c r="BK63" s="94"/>
      <c r="BL63" s="94"/>
      <c r="BM63" s="483"/>
      <c r="BN63" s="94"/>
      <c r="BO63" s="94"/>
      <c r="BP63" s="94"/>
      <c r="BQ63" s="94"/>
      <c r="BR63" s="94"/>
      <c r="BS63" s="94"/>
      <c r="BT63" s="94"/>
      <c r="BU63" s="94"/>
      <c r="BV63" s="94"/>
      <c r="BW63" s="688">
        <f t="shared" si="2"/>
        <v>0</v>
      </c>
      <c r="BX63" s="51"/>
      <c r="BY63" s="51"/>
      <c r="BZ63" s="51"/>
      <c r="CA63" s="51"/>
      <c r="CB63" s="51"/>
      <c r="CC63" s="51"/>
      <c r="CD63" s="97"/>
      <c r="CE63" s="479"/>
      <c r="CF63" s="51"/>
      <c r="CG63" s="51"/>
      <c r="CH63" s="62"/>
      <c r="CI63" s="62"/>
      <c r="CJ63" s="51"/>
      <c r="CK63" s="51"/>
      <c r="CL63" s="95"/>
      <c r="CM63" s="93"/>
      <c r="CN63" s="51"/>
      <c r="CO63" s="51"/>
      <c r="CP63" s="51"/>
      <c r="CQ63" s="51"/>
      <c r="CR63" s="51"/>
      <c r="CS63" s="51"/>
      <c r="CT63" s="51"/>
      <c r="CU63" s="95"/>
      <c r="CV63" s="93"/>
      <c r="CW63" s="51"/>
      <c r="CX63" s="51"/>
      <c r="CY63" s="51"/>
      <c r="CZ63" s="51"/>
      <c r="DA63" s="51"/>
      <c r="DB63" s="51"/>
      <c r="DC63" s="51"/>
      <c r="DD63" s="95"/>
      <c r="DE63" s="93"/>
      <c r="DF63" s="51"/>
      <c r="DG63" s="51"/>
      <c r="DH63" s="51"/>
      <c r="DI63" s="51"/>
      <c r="DJ63" s="51"/>
      <c r="DK63" s="51"/>
      <c r="DL63" s="95"/>
      <c r="DM63" s="478"/>
      <c r="DN63" s="682">
        <f t="shared" si="7"/>
        <v>0</v>
      </c>
      <c r="DO63" s="683"/>
    </row>
    <row r="64" spans="1:119" ht="25.5" customHeight="1" thickTop="1" thickBot="1" x14ac:dyDescent="0.2">
      <c r="A64" s="676">
        <f t="shared" si="3"/>
        <v>49</v>
      </c>
      <c r="B64" s="1054"/>
      <c r="C64" s="1054"/>
      <c r="D64" s="83"/>
      <c r="E64" s="954"/>
      <c r="F64" s="52"/>
      <c r="G64" s="103"/>
      <c r="H64" s="1059"/>
      <c r="I64" s="684" t="str">
        <f t="shared" si="0"/>
        <v/>
      </c>
      <c r="J64" s="685">
        <f t="shared" si="1"/>
        <v>0</v>
      </c>
      <c r="K64" s="1252"/>
      <c r="L64" s="1251"/>
      <c r="M64" s="1257"/>
      <c r="N64" s="719" t="str">
        <f t="shared" si="4"/>
        <v/>
      </c>
      <c r="O64" s="720" t="str">
        <f>IF('Set up ~ Config'!$G$32=6,IF(OR($N64=7,$N64=8,$N64=9),1,IF(OR($N64=10,$N64=11,$N64=12),2,IF(OR($N64=1,$N64=2,$N64=3),3,IF(OR($N64=4,$N64=5,$N64=6),4,"")))),IF(OR($N64=9,$N64=10,$N64=11),1,IF(OR($N64=12,$N64=1,$N64=2),2,IF(OR($N64=3,$N64=4,$N64=5),3,IF(OR($N64=6,$N64=7,$N64=8),4,"")))))</f>
        <v/>
      </c>
      <c r="P64" s="93"/>
      <c r="Q64" s="51"/>
      <c r="R64" s="51"/>
      <c r="S64" s="51"/>
      <c r="T64" s="51"/>
      <c r="U64" s="51"/>
      <c r="V64" s="51"/>
      <c r="W64" s="51"/>
      <c r="X64" s="51"/>
      <c r="Y64" s="51"/>
      <c r="Z64" s="51"/>
      <c r="AA64" s="51"/>
      <c r="AB64" s="51"/>
      <c r="AC64" s="51"/>
      <c r="AD64" s="51"/>
      <c r="AE64" s="51"/>
      <c r="AF64" s="51"/>
      <c r="AG64" s="51"/>
      <c r="AH64" s="94"/>
      <c r="AI64" s="94"/>
      <c r="AJ64" s="94"/>
      <c r="AK64" s="94"/>
      <c r="AL64" s="94"/>
      <c r="AM64" s="94"/>
      <c r="AN64" s="94"/>
      <c r="AO64" s="95"/>
      <c r="AP64" s="686">
        <f t="shared" si="5"/>
        <v>0</v>
      </c>
      <c r="AQ64" s="42"/>
      <c r="AR64" s="42"/>
      <c r="AS64" s="42"/>
      <c r="AT64" s="43"/>
      <c r="AU64" s="687">
        <f t="shared" si="6"/>
        <v>0</v>
      </c>
      <c r="AV64" s="42"/>
      <c r="AW64" s="42"/>
      <c r="AX64" s="42"/>
      <c r="AY64" s="43"/>
      <c r="AZ64" s="486"/>
      <c r="BA64" s="51"/>
      <c r="BB64" s="51"/>
      <c r="BC64" s="51"/>
      <c r="BD64" s="51"/>
      <c r="BE64" s="51"/>
      <c r="BF64" s="51"/>
      <c r="BG64" s="51"/>
      <c r="BH64" s="94"/>
      <c r="BI64" s="94"/>
      <c r="BJ64" s="94"/>
      <c r="BK64" s="94"/>
      <c r="BL64" s="94"/>
      <c r="BM64" s="483"/>
      <c r="BN64" s="94"/>
      <c r="BO64" s="94"/>
      <c r="BP64" s="94"/>
      <c r="BQ64" s="94"/>
      <c r="BR64" s="94"/>
      <c r="BS64" s="94"/>
      <c r="BT64" s="94"/>
      <c r="BU64" s="94"/>
      <c r="BV64" s="94"/>
      <c r="BW64" s="688">
        <f t="shared" si="2"/>
        <v>0</v>
      </c>
      <c r="BX64" s="51"/>
      <c r="BY64" s="51"/>
      <c r="BZ64" s="51"/>
      <c r="CA64" s="51"/>
      <c r="CB64" s="51"/>
      <c r="CC64" s="51"/>
      <c r="CD64" s="97"/>
      <c r="CE64" s="479"/>
      <c r="CF64" s="51"/>
      <c r="CG64" s="51"/>
      <c r="CH64" s="62"/>
      <c r="CI64" s="62"/>
      <c r="CJ64" s="51"/>
      <c r="CK64" s="51"/>
      <c r="CL64" s="95"/>
      <c r="CM64" s="93"/>
      <c r="CN64" s="51"/>
      <c r="CO64" s="51"/>
      <c r="CP64" s="51"/>
      <c r="CQ64" s="51"/>
      <c r="CR64" s="51"/>
      <c r="CS64" s="51"/>
      <c r="CT64" s="51"/>
      <c r="CU64" s="95"/>
      <c r="CV64" s="93"/>
      <c r="CW64" s="51"/>
      <c r="CX64" s="51"/>
      <c r="CY64" s="51"/>
      <c r="CZ64" s="51"/>
      <c r="DA64" s="51"/>
      <c r="DB64" s="51"/>
      <c r="DC64" s="51"/>
      <c r="DD64" s="95"/>
      <c r="DE64" s="93"/>
      <c r="DF64" s="51"/>
      <c r="DG64" s="51"/>
      <c r="DH64" s="51"/>
      <c r="DI64" s="51"/>
      <c r="DJ64" s="51"/>
      <c r="DK64" s="51"/>
      <c r="DL64" s="95"/>
      <c r="DM64" s="478"/>
      <c r="DN64" s="682">
        <f t="shared" si="7"/>
        <v>0</v>
      </c>
      <c r="DO64" s="683"/>
    </row>
    <row r="65" spans="1:119" ht="25.5" customHeight="1" thickTop="1" thickBot="1" x14ac:dyDescent="0.2">
      <c r="A65" s="676">
        <f t="shared" si="3"/>
        <v>50</v>
      </c>
      <c r="B65" s="1054"/>
      <c r="C65" s="1054"/>
      <c r="D65" s="83"/>
      <c r="E65" s="954"/>
      <c r="F65" s="52"/>
      <c r="G65" s="103"/>
      <c r="H65" s="1059"/>
      <c r="I65" s="684" t="str">
        <f t="shared" si="0"/>
        <v/>
      </c>
      <c r="J65" s="685">
        <f t="shared" si="1"/>
        <v>0</v>
      </c>
      <c r="K65" s="1252"/>
      <c r="L65" s="1251"/>
      <c r="M65" s="1257"/>
      <c r="N65" s="719" t="str">
        <f t="shared" si="4"/>
        <v/>
      </c>
      <c r="O65" s="720" t="str">
        <f>IF('Set up ~ Config'!$G$32=6,IF(OR($N65=7,$N65=8,$N65=9),1,IF(OR($N65=10,$N65=11,$N65=12),2,IF(OR($N65=1,$N65=2,$N65=3),3,IF(OR($N65=4,$N65=5,$N65=6),4,"")))),IF(OR($N65=9,$N65=10,$N65=11),1,IF(OR($N65=12,$N65=1,$N65=2),2,IF(OR($N65=3,$N65=4,$N65=5),3,IF(OR($N65=6,$N65=7,$N65=8),4,"")))))</f>
        <v/>
      </c>
      <c r="P65" s="93"/>
      <c r="Q65" s="51"/>
      <c r="R65" s="51"/>
      <c r="S65" s="51"/>
      <c r="T65" s="51"/>
      <c r="U65" s="51"/>
      <c r="V65" s="51"/>
      <c r="W65" s="51"/>
      <c r="X65" s="51"/>
      <c r="Y65" s="51"/>
      <c r="Z65" s="51"/>
      <c r="AA65" s="51"/>
      <c r="AB65" s="51"/>
      <c r="AC65" s="51"/>
      <c r="AD65" s="51"/>
      <c r="AE65" s="51"/>
      <c r="AF65" s="51"/>
      <c r="AG65" s="51"/>
      <c r="AH65" s="94"/>
      <c r="AI65" s="94"/>
      <c r="AJ65" s="94"/>
      <c r="AK65" s="94"/>
      <c r="AL65" s="94"/>
      <c r="AM65" s="94"/>
      <c r="AN65" s="94"/>
      <c r="AO65" s="95"/>
      <c r="AP65" s="686">
        <f t="shared" si="5"/>
        <v>0</v>
      </c>
      <c r="AQ65" s="42"/>
      <c r="AR65" s="42"/>
      <c r="AS65" s="42"/>
      <c r="AT65" s="43"/>
      <c r="AU65" s="687">
        <f t="shared" si="6"/>
        <v>0</v>
      </c>
      <c r="AV65" s="42"/>
      <c r="AW65" s="42"/>
      <c r="AX65" s="42"/>
      <c r="AY65" s="43"/>
      <c r="AZ65" s="486"/>
      <c r="BA65" s="51"/>
      <c r="BB65" s="51"/>
      <c r="BC65" s="51"/>
      <c r="BD65" s="51"/>
      <c r="BE65" s="51"/>
      <c r="BF65" s="51"/>
      <c r="BG65" s="51"/>
      <c r="BH65" s="94"/>
      <c r="BI65" s="94"/>
      <c r="BJ65" s="94"/>
      <c r="BK65" s="94"/>
      <c r="BL65" s="94"/>
      <c r="BM65" s="483"/>
      <c r="BN65" s="94"/>
      <c r="BO65" s="94"/>
      <c r="BP65" s="94"/>
      <c r="BQ65" s="94"/>
      <c r="BR65" s="94"/>
      <c r="BS65" s="94"/>
      <c r="BT65" s="94"/>
      <c r="BU65" s="94"/>
      <c r="BV65" s="94"/>
      <c r="BW65" s="688">
        <f t="shared" si="2"/>
        <v>0</v>
      </c>
      <c r="BX65" s="51"/>
      <c r="BY65" s="51"/>
      <c r="BZ65" s="51"/>
      <c r="CA65" s="51"/>
      <c r="CB65" s="51"/>
      <c r="CC65" s="51"/>
      <c r="CD65" s="97"/>
      <c r="CE65" s="479"/>
      <c r="CF65" s="51"/>
      <c r="CG65" s="51"/>
      <c r="CH65" s="62"/>
      <c r="CI65" s="62"/>
      <c r="CJ65" s="51"/>
      <c r="CK65" s="51"/>
      <c r="CL65" s="95"/>
      <c r="CM65" s="93"/>
      <c r="CN65" s="51"/>
      <c r="CO65" s="51"/>
      <c r="CP65" s="51"/>
      <c r="CQ65" s="51"/>
      <c r="CR65" s="51"/>
      <c r="CS65" s="51"/>
      <c r="CT65" s="51"/>
      <c r="CU65" s="95"/>
      <c r="CV65" s="93"/>
      <c r="CW65" s="51"/>
      <c r="CX65" s="51"/>
      <c r="CY65" s="51"/>
      <c r="CZ65" s="51"/>
      <c r="DA65" s="51"/>
      <c r="DB65" s="51"/>
      <c r="DC65" s="51"/>
      <c r="DD65" s="95"/>
      <c r="DE65" s="93"/>
      <c r="DF65" s="51"/>
      <c r="DG65" s="51"/>
      <c r="DH65" s="51"/>
      <c r="DI65" s="51"/>
      <c r="DJ65" s="51"/>
      <c r="DK65" s="51"/>
      <c r="DL65" s="95"/>
      <c r="DM65" s="478"/>
      <c r="DN65" s="682">
        <f t="shared" si="7"/>
        <v>0</v>
      </c>
      <c r="DO65" s="683"/>
    </row>
    <row r="66" spans="1:119" ht="25.5" customHeight="1" thickTop="1" thickBot="1" x14ac:dyDescent="0.2">
      <c r="A66" s="676">
        <f t="shared" si="3"/>
        <v>51</v>
      </c>
      <c r="B66" s="1054"/>
      <c r="C66" s="1054"/>
      <c r="D66" s="83"/>
      <c r="E66" s="954"/>
      <c r="F66" s="52"/>
      <c r="G66" s="103"/>
      <c r="H66" s="1059"/>
      <c r="I66" s="684" t="str">
        <f t="shared" si="0"/>
        <v/>
      </c>
      <c r="J66" s="685">
        <f t="shared" si="1"/>
        <v>0</v>
      </c>
      <c r="K66" s="1252"/>
      <c r="L66" s="1251"/>
      <c r="M66" s="1257"/>
      <c r="N66" s="719" t="str">
        <f t="shared" si="4"/>
        <v/>
      </c>
      <c r="O66" s="720" t="str">
        <f>IF('Set up ~ Config'!$G$32=6,IF(OR($N66=7,$N66=8,$N66=9),1,IF(OR($N66=10,$N66=11,$N66=12),2,IF(OR($N66=1,$N66=2,$N66=3),3,IF(OR($N66=4,$N66=5,$N66=6),4,"")))),IF(OR($N66=9,$N66=10,$N66=11),1,IF(OR($N66=12,$N66=1,$N66=2),2,IF(OR($N66=3,$N66=4,$N66=5),3,IF(OR($N66=6,$N66=7,$N66=8),4,"")))))</f>
        <v/>
      </c>
      <c r="P66" s="93"/>
      <c r="Q66" s="51"/>
      <c r="R66" s="51"/>
      <c r="S66" s="51"/>
      <c r="T66" s="51"/>
      <c r="U66" s="51"/>
      <c r="V66" s="51"/>
      <c r="W66" s="51"/>
      <c r="X66" s="51"/>
      <c r="Y66" s="51"/>
      <c r="Z66" s="51"/>
      <c r="AA66" s="51"/>
      <c r="AB66" s="51"/>
      <c r="AC66" s="51"/>
      <c r="AD66" s="51"/>
      <c r="AE66" s="51"/>
      <c r="AF66" s="51"/>
      <c r="AG66" s="51"/>
      <c r="AH66" s="94"/>
      <c r="AI66" s="94"/>
      <c r="AJ66" s="94"/>
      <c r="AK66" s="94"/>
      <c r="AL66" s="94"/>
      <c r="AM66" s="94"/>
      <c r="AN66" s="94"/>
      <c r="AO66" s="95"/>
      <c r="AP66" s="686">
        <f t="shared" si="5"/>
        <v>0</v>
      </c>
      <c r="AQ66" s="42"/>
      <c r="AR66" s="42"/>
      <c r="AS66" s="42"/>
      <c r="AT66" s="43"/>
      <c r="AU66" s="687">
        <f t="shared" si="6"/>
        <v>0</v>
      </c>
      <c r="AV66" s="42"/>
      <c r="AW66" s="42"/>
      <c r="AX66" s="42"/>
      <c r="AY66" s="43"/>
      <c r="AZ66" s="486"/>
      <c r="BA66" s="51"/>
      <c r="BB66" s="51"/>
      <c r="BC66" s="51"/>
      <c r="BD66" s="51"/>
      <c r="BE66" s="51"/>
      <c r="BF66" s="51"/>
      <c r="BG66" s="51"/>
      <c r="BH66" s="94"/>
      <c r="BI66" s="94"/>
      <c r="BJ66" s="94"/>
      <c r="BK66" s="94"/>
      <c r="BL66" s="94"/>
      <c r="BM66" s="483"/>
      <c r="BN66" s="94"/>
      <c r="BO66" s="94"/>
      <c r="BP66" s="94"/>
      <c r="BQ66" s="94"/>
      <c r="BR66" s="94"/>
      <c r="BS66" s="94"/>
      <c r="BT66" s="94"/>
      <c r="BU66" s="94"/>
      <c r="BV66" s="94"/>
      <c r="BW66" s="688">
        <f t="shared" si="2"/>
        <v>0</v>
      </c>
      <c r="BX66" s="51"/>
      <c r="BY66" s="51"/>
      <c r="BZ66" s="51"/>
      <c r="CA66" s="51"/>
      <c r="CB66" s="51"/>
      <c r="CC66" s="51"/>
      <c r="CD66" s="97"/>
      <c r="CE66" s="479"/>
      <c r="CF66" s="51"/>
      <c r="CG66" s="51"/>
      <c r="CH66" s="62"/>
      <c r="CI66" s="62"/>
      <c r="CJ66" s="51"/>
      <c r="CK66" s="51"/>
      <c r="CL66" s="95"/>
      <c r="CM66" s="93"/>
      <c r="CN66" s="51"/>
      <c r="CO66" s="51"/>
      <c r="CP66" s="51"/>
      <c r="CQ66" s="51"/>
      <c r="CR66" s="51"/>
      <c r="CS66" s="51"/>
      <c r="CT66" s="51"/>
      <c r="CU66" s="95"/>
      <c r="CV66" s="93"/>
      <c r="CW66" s="51"/>
      <c r="CX66" s="51"/>
      <c r="CY66" s="51"/>
      <c r="CZ66" s="51"/>
      <c r="DA66" s="51"/>
      <c r="DB66" s="51"/>
      <c r="DC66" s="51"/>
      <c r="DD66" s="95"/>
      <c r="DE66" s="93"/>
      <c r="DF66" s="51"/>
      <c r="DG66" s="51"/>
      <c r="DH66" s="51"/>
      <c r="DI66" s="51"/>
      <c r="DJ66" s="51"/>
      <c r="DK66" s="51"/>
      <c r="DL66" s="95"/>
      <c r="DM66" s="478"/>
      <c r="DN66" s="682">
        <f t="shared" si="7"/>
        <v>0</v>
      </c>
      <c r="DO66" s="683"/>
    </row>
    <row r="67" spans="1:119" ht="25.5" customHeight="1" thickTop="1" thickBot="1" x14ac:dyDescent="0.2">
      <c r="A67" s="676">
        <f t="shared" si="3"/>
        <v>52</v>
      </c>
      <c r="B67" s="1054"/>
      <c r="C67" s="1054"/>
      <c r="D67" s="83"/>
      <c r="E67" s="954"/>
      <c r="F67" s="52"/>
      <c r="G67" s="103"/>
      <c r="H67" s="1059"/>
      <c r="I67" s="684" t="str">
        <f t="shared" si="0"/>
        <v/>
      </c>
      <c r="J67" s="685">
        <f t="shared" si="1"/>
        <v>0</v>
      </c>
      <c r="K67" s="1252"/>
      <c r="L67" s="1251"/>
      <c r="M67" s="1257"/>
      <c r="N67" s="719" t="str">
        <f t="shared" si="4"/>
        <v/>
      </c>
      <c r="O67" s="720" t="str">
        <f>IF('Set up ~ Config'!$G$32=6,IF(OR($N67=7,$N67=8,$N67=9),1,IF(OR($N67=10,$N67=11,$N67=12),2,IF(OR($N67=1,$N67=2,$N67=3),3,IF(OR($N67=4,$N67=5,$N67=6),4,"")))),IF(OR($N67=9,$N67=10,$N67=11),1,IF(OR($N67=12,$N67=1,$N67=2),2,IF(OR($N67=3,$N67=4,$N67=5),3,IF(OR($N67=6,$N67=7,$N67=8),4,"")))))</f>
        <v/>
      </c>
      <c r="P67" s="99"/>
      <c r="Q67" s="62"/>
      <c r="R67" s="62"/>
      <c r="S67" s="51"/>
      <c r="T67" s="51"/>
      <c r="U67" s="51"/>
      <c r="V67" s="51"/>
      <c r="W67" s="51"/>
      <c r="X67" s="51"/>
      <c r="Y67" s="51"/>
      <c r="Z67" s="51"/>
      <c r="AA67" s="51"/>
      <c r="AB67" s="51"/>
      <c r="AC67" s="51"/>
      <c r="AD67" s="51"/>
      <c r="AE67" s="51"/>
      <c r="AF67" s="51"/>
      <c r="AG67" s="51"/>
      <c r="AH67" s="94"/>
      <c r="AI67" s="94"/>
      <c r="AJ67" s="94"/>
      <c r="AK67" s="94"/>
      <c r="AL67" s="94"/>
      <c r="AM67" s="94"/>
      <c r="AN67" s="94"/>
      <c r="AO67" s="95"/>
      <c r="AP67" s="686">
        <f t="shared" si="5"/>
        <v>0</v>
      </c>
      <c r="AQ67" s="42"/>
      <c r="AR67" s="42"/>
      <c r="AS67" s="42"/>
      <c r="AT67" s="43"/>
      <c r="AU67" s="687">
        <f t="shared" si="6"/>
        <v>0</v>
      </c>
      <c r="AV67" s="42"/>
      <c r="AW67" s="42"/>
      <c r="AX67" s="42"/>
      <c r="AY67" s="43"/>
      <c r="AZ67" s="486"/>
      <c r="BA67" s="51"/>
      <c r="BB67" s="51"/>
      <c r="BC67" s="51"/>
      <c r="BD67" s="51"/>
      <c r="BE67" s="51"/>
      <c r="BF67" s="51"/>
      <c r="BG67" s="51"/>
      <c r="BH67" s="94"/>
      <c r="BI67" s="94"/>
      <c r="BJ67" s="94"/>
      <c r="BK67" s="94"/>
      <c r="BL67" s="94"/>
      <c r="BM67" s="483"/>
      <c r="BN67" s="94"/>
      <c r="BO67" s="94"/>
      <c r="BP67" s="94"/>
      <c r="BQ67" s="94"/>
      <c r="BR67" s="94"/>
      <c r="BS67" s="94"/>
      <c r="BT67" s="94"/>
      <c r="BU67" s="94"/>
      <c r="BV67" s="94"/>
      <c r="BW67" s="688">
        <f t="shared" si="2"/>
        <v>0</v>
      </c>
      <c r="BX67" s="51"/>
      <c r="BY67" s="51"/>
      <c r="BZ67" s="51"/>
      <c r="CA67" s="51"/>
      <c r="CB67" s="51"/>
      <c r="CC67" s="51"/>
      <c r="CD67" s="97"/>
      <c r="CE67" s="479"/>
      <c r="CF67" s="51"/>
      <c r="CG67" s="51"/>
      <c r="CH67" s="62"/>
      <c r="CI67" s="62"/>
      <c r="CJ67" s="51"/>
      <c r="CK67" s="51"/>
      <c r="CL67" s="95"/>
      <c r="CM67" s="93"/>
      <c r="CN67" s="51"/>
      <c r="CO67" s="51"/>
      <c r="CP67" s="51"/>
      <c r="CQ67" s="51"/>
      <c r="CR67" s="51"/>
      <c r="CS67" s="51"/>
      <c r="CT67" s="51"/>
      <c r="CU67" s="95"/>
      <c r="CV67" s="93"/>
      <c r="CW67" s="51"/>
      <c r="CX67" s="51"/>
      <c r="CY67" s="51"/>
      <c r="CZ67" s="51"/>
      <c r="DA67" s="51"/>
      <c r="DB67" s="51"/>
      <c r="DC67" s="51"/>
      <c r="DD67" s="95"/>
      <c r="DE67" s="93"/>
      <c r="DF67" s="51"/>
      <c r="DG67" s="51"/>
      <c r="DH67" s="51"/>
      <c r="DI67" s="51"/>
      <c r="DJ67" s="51"/>
      <c r="DK67" s="51"/>
      <c r="DL67" s="95"/>
      <c r="DM67" s="478"/>
      <c r="DN67" s="682">
        <f t="shared" si="7"/>
        <v>0</v>
      </c>
      <c r="DO67" s="683"/>
    </row>
    <row r="68" spans="1:119" ht="25.5" customHeight="1" thickTop="1" thickBot="1" x14ac:dyDescent="0.2">
      <c r="A68" s="676">
        <f t="shared" si="3"/>
        <v>53</v>
      </c>
      <c r="B68" s="1054"/>
      <c r="C68" s="1054"/>
      <c r="D68" s="83"/>
      <c r="E68" s="954"/>
      <c r="F68" s="52"/>
      <c r="G68" s="103"/>
      <c r="H68" s="1059"/>
      <c r="I68" s="684" t="str">
        <f t="shared" si="0"/>
        <v/>
      </c>
      <c r="J68" s="685">
        <f t="shared" si="1"/>
        <v>0</v>
      </c>
      <c r="K68" s="1252"/>
      <c r="L68" s="1251"/>
      <c r="M68" s="1257"/>
      <c r="N68" s="719" t="str">
        <f t="shared" si="4"/>
        <v/>
      </c>
      <c r="O68" s="720" t="str">
        <f>IF('Set up ~ Config'!$G$32=6,IF(OR($N68=7,$N68=8,$N68=9),1,IF(OR($N68=10,$N68=11,$N68=12),2,IF(OR($N68=1,$N68=2,$N68=3),3,IF(OR($N68=4,$N68=5,$N68=6),4,"")))),IF(OR($N68=9,$N68=10,$N68=11),1,IF(OR($N68=12,$N68=1,$N68=2),2,IF(OR($N68=3,$N68=4,$N68=5),3,IF(OR($N68=6,$N68=7,$N68=8),4,"")))))</f>
        <v/>
      </c>
      <c r="P68" s="99"/>
      <c r="Q68" s="62"/>
      <c r="R68" s="62"/>
      <c r="S68" s="51"/>
      <c r="T68" s="51"/>
      <c r="U68" s="51"/>
      <c r="V68" s="51"/>
      <c r="W68" s="51"/>
      <c r="X68" s="51"/>
      <c r="Y68" s="51"/>
      <c r="Z68" s="51"/>
      <c r="AA68" s="51"/>
      <c r="AB68" s="51"/>
      <c r="AC68" s="51"/>
      <c r="AD68" s="51"/>
      <c r="AE68" s="51"/>
      <c r="AF68" s="51"/>
      <c r="AG68" s="51"/>
      <c r="AH68" s="94"/>
      <c r="AI68" s="94"/>
      <c r="AJ68" s="94"/>
      <c r="AK68" s="94"/>
      <c r="AL68" s="94"/>
      <c r="AM68" s="94"/>
      <c r="AN68" s="94"/>
      <c r="AO68" s="95"/>
      <c r="AP68" s="686">
        <f t="shared" si="5"/>
        <v>0</v>
      </c>
      <c r="AQ68" s="42"/>
      <c r="AR68" s="42"/>
      <c r="AS68" s="42"/>
      <c r="AT68" s="43"/>
      <c r="AU68" s="687">
        <f t="shared" si="6"/>
        <v>0</v>
      </c>
      <c r="AV68" s="42"/>
      <c r="AW68" s="42"/>
      <c r="AX68" s="42"/>
      <c r="AY68" s="43"/>
      <c r="AZ68" s="486"/>
      <c r="BA68" s="51"/>
      <c r="BB68" s="51"/>
      <c r="BC68" s="51"/>
      <c r="BD68" s="51"/>
      <c r="BE68" s="51"/>
      <c r="BF68" s="51"/>
      <c r="BG68" s="51"/>
      <c r="BH68" s="94"/>
      <c r="BI68" s="94"/>
      <c r="BJ68" s="94"/>
      <c r="BK68" s="94"/>
      <c r="BL68" s="94"/>
      <c r="BM68" s="483"/>
      <c r="BN68" s="94"/>
      <c r="BO68" s="94"/>
      <c r="BP68" s="94"/>
      <c r="BQ68" s="94"/>
      <c r="BR68" s="94"/>
      <c r="BS68" s="94"/>
      <c r="BT68" s="94"/>
      <c r="BU68" s="94"/>
      <c r="BV68" s="94"/>
      <c r="BW68" s="688">
        <f t="shared" si="2"/>
        <v>0</v>
      </c>
      <c r="BX68" s="51"/>
      <c r="BY68" s="51"/>
      <c r="BZ68" s="51"/>
      <c r="CA68" s="51"/>
      <c r="CB68" s="51"/>
      <c r="CC68" s="51"/>
      <c r="CD68" s="97"/>
      <c r="CE68" s="479"/>
      <c r="CF68" s="51"/>
      <c r="CG68" s="51"/>
      <c r="CH68" s="62"/>
      <c r="CI68" s="62"/>
      <c r="CJ68" s="51"/>
      <c r="CK68" s="51"/>
      <c r="CL68" s="95"/>
      <c r="CM68" s="93"/>
      <c r="CN68" s="51"/>
      <c r="CO68" s="51"/>
      <c r="CP68" s="51"/>
      <c r="CQ68" s="51"/>
      <c r="CR68" s="51"/>
      <c r="CS68" s="51"/>
      <c r="CT68" s="51"/>
      <c r="CU68" s="95"/>
      <c r="CV68" s="93"/>
      <c r="CW68" s="51"/>
      <c r="CX68" s="51"/>
      <c r="CY68" s="51"/>
      <c r="CZ68" s="51"/>
      <c r="DA68" s="51"/>
      <c r="DB68" s="51"/>
      <c r="DC68" s="51"/>
      <c r="DD68" s="95"/>
      <c r="DE68" s="93"/>
      <c r="DF68" s="51"/>
      <c r="DG68" s="51"/>
      <c r="DH68" s="51"/>
      <c r="DI68" s="51"/>
      <c r="DJ68" s="51"/>
      <c r="DK68" s="51"/>
      <c r="DL68" s="95"/>
      <c r="DM68" s="478"/>
      <c r="DN68" s="682">
        <f t="shared" si="7"/>
        <v>0</v>
      </c>
      <c r="DO68" s="683"/>
    </row>
    <row r="69" spans="1:119" ht="25.5" customHeight="1" thickTop="1" thickBot="1" x14ac:dyDescent="0.2">
      <c r="A69" s="676">
        <f t="shared" si="3"/>
        <v>54</v>
      </c>
      <c r="B69" s="1054"/>
      <c r="C69" s="1054"/>
      <c r="D69" s="83"/>
      <c r="E69" s="954"/>
      <c r="F69" s="52"/>
      <c r="G69" s="103"/>
      <c r="H69" s="1058"/>
      <c r="I69" s="684" t="str">
        <f t="shared" si="0"/>
        <v/>
      </c>
      <c r="J69" s="685">
        <f t="shared" si="1"/>
        <v>0</v>
      </c>
      <c r="K69" s="1252"/>
      <c r="L69" s="1251"/>
      <c r="M69" s="1257"/>
      <c r="N69" s="719" t="str">
        <f t="shared" si="4"/>
        <v/>
      </c>
      <c r="O69" s="720" t="str">
        <f>IF('Set up ~ Config'!$G$32=6,IF(OR($N69=7,$N69=8,$N69=9),1,IF(OR($N69=10,$N69=11,$N69=12),2,IF(OR($N69=1,$N69=2,$N69=3),3,IF(OR($N69=4,$N69=5,$N69=6),4,"")))),IF(OR($N69=9,$N69=10,$N69=11),1,IF(OR($N69=12,$N69=1,$N69=2),2,IF(OR($N69=3,$N69=4,$N69=5),3,IF(OR($N69=6,$N69=7,$N69=8),4,"")))))</f>
        <v/>
      </c>
      <c r="P69" s="99"/>
      <c r="Q69" s="62"/>
      <c r="R69" s="62"/>
      <c r="S69" s="51"/>
      <c r="T69" s="51"/>
      <c r="U69" s="51"/>
      <c r="V69" s="51"/>
      <c r="W69" s="51"/>
      <c r="X69" s="51"/>
      <c r="Y69" s="51"/>
      <c r="Z69" s="51"/>
      <c r="AA69" s="51"/>
      <c r="AB69" s="51"/>
      <c r="AC69" s="51"/>
      <c r="AD69" s="51"/>
      <c r="AE69" s="51"/>
      <c r="AF69" s="51"/>
      <c r="AG69" s="51"/>
      <c r="AH69" s="94"/>
      <c r="AI69" s="94"/>
      <c r="AJ69" s="94"/>
      <c r="AK69" s="94"/>
      <c r="AL69" s="94"/>
      <c r="AM69" s="94"/>
      <c r="AN69" s="94"/>
      <c r="AO69" s="95"/>
      <c r="AP69" s="686">
        <f t="shared" si="5"/>
        <v>0</v>
      </c>
      <c r="AQ69" s="42"/>
      <c r="AR69" s="42"/>
      <c r="AS69" s="42"/>
      <c r="AT69" s="43"/>
      <c r="AU69" s="687">
        <f t="shared" si="6"/>
        <v>0</v>
      </c>
      <c r="AV69" s="42"/>
      <c r="AW69" s="42"/>
      <c r="AX69" s="42"/>
      <c r="AY69" s="43"/>
      <c r="AZ69" s="486"/>
      <c r="BA69" s="51"/>
      <c r="BB69" s="51"/>
      <c r="BC69" s="51"/>
      <c r="BD69" s="51"/>
      <c r="BE69" s="51"/>
      <c r="BF69" s="51"/>
      <c r="BG69" s="51"/>
      <c r="BH69" s="94"/>
      <c r="BI69" s="94"/>
      <c r="BJ69" s="94"/>
      <c r="BK69" s="94"/>
      <c r="BL69" s="94"/>
      <c r="BM69" s="483"/>
      <c r="BN69" s="94"/>
      <c r="BO69" s="94"/>
      <c r="BP69" s="94"/>
      <c r="BQ69" s="94"/>
      <c r="BR69" s="94"/>
      <c r="BS69" s="94"/>
      <c r="BT69" s="94"/>
      <c r="BU69" s="94"/>
      <c r="BV69" s="94"/>
      <c r="BW69" s="688">
        <f t="shared" si="2"/>
        <v>0</v>
      </c>
      <c r="BX69" s="51"/>
      <c r="BY69" s="51"/>
      <c r="BZ69" s="51"/>
      <c r="CA69" s="51"/>
      <c r="CB69" s="51"/>
      <c r="CC69" s="51"/>
      <c r="CD69" s="97"/>
      <c r="CE69" s="479"/>
      <c r="CF69" s="51"/>
      <c r="CG69" s="51"/>
      <c r="CH69" s="62"/>
      <c r="CI69" s="62"/>
      <c r="CJ69" s="51"/>
      <c r="CK69" s="51"/>
      <c r="CL69" s="95"/>
      <c r="CM69" s="93"/>
      <c r="CN69" s="51"/>
      <c r="CO69" s="51"/>
      <c r="CP69" s="51"/>
      <c r="CQ69" s="51"/>
      <c r="CR69" s="51"/>
      <c r="CS69" s="51"/>
      <c r="CT69" s="51"/>
      <c r="CU69" s="95"/>
      <c r="CV69" s="93"/>
      <c r="CW69" s="51"/>
      <c r="CX69" s="51"/>
      <c r="CY69" s="51"/>
      <c r="CZ69" s="51"/>
      <c r="DA69" s="51"/>
      <c r="DB69" s="51"/>
      <c r="DC69" s="51"/>
      <c r="DD69" s="95"/>
      <c r="DE69" s="93"/>
      <c r="DF69" s="51"/>
      <c r="DG69" s="51"/>
      <c r="DH69" s="51"/>
      <c r="DI69" s="51"/>
      <c r="DJ69" s="51"/>
      <c r="DK69" s="51"/>
      <c r="DL69" s="95"/>
      <c r="DM69" s="478"/>
      <c r="DN69" s="682">
        <f t="shared" si="7"/>
        <v>0</v>
      </c>
      <c r="DO69" s="683"/>
    </row>
    <row r="70" spans="1:119" ht="25.5" customHeight="1" thickTop="1" thickBot="1" x14ac:dyDescent="0.2">
      <c r="A70" s="676">
        <f t="shared" si="3"/>
        <v>55</v>
      </c>
      <c r="B70" s="1054"/>
      <c r="C70" s="1054"/>
      <c r="D70" s="83"/>
      <c r="E70" s="954"/>
      <c r="F70" s="52"/>
      <c r="G70" s="103"/>
      <c r="H70" s="1058"/>
      <c r="I70" s="684" t="str">
        <f t="shared" si="0"/>
        <v/>
      </c>
      <c r="J70" s="685">
        <f t="shared" si="1"/>
        <v>0</v>
      </c>
      <c r="K70" s="1252"/>
      <c r="L70" s="1251"/>
      <c r="M70" s="1257"/>
      <c r="N70" s="719" t="str">
        <f t="shared" si="4"/>
        <v/>
      </c>
      <c r="O70" s="720" t="str">
        <f>IF('Set up ~ Config'!$G$32=6,IF(OR($N70=7,$N70=8,$N70=9),1,IF(OR($N70=10,$N70=11,$N70=12),2,IF(OR($N70=1,$N70=2,$N70=3),3,IF(OR($N70=4,$N70=5,$N70=6),4,"")))),IF(OR($N70=9,$N70=10,$N70=11),1,IF(OR($N70=12,$N70=1,$N70=2),2,IF(OR($N70=3,$N70=4,$N70=5),3,IF(OR($N70=6,$N70=7,$N70=8),4,"")))))</f>
        <v/>
      </c>
      <c r="P70" s="99"/>
      <c r="Q70" s="62"/>
      <c r="R70" s="62"/>
      <c r="S70" s="51"/>
      <c r="T70" s="51"/>
      <c r="U70" s="51"/>
      <c r="V70" s="51"/>
      <c r="W70" s="51"/>
      <c r="X70" s="51"/>
      <c r="Y70" s="51"/>
      <c r="Z70" s="51"/>
      <c r="AA70" s="51"/>
      <c r="AB70" s="51"/>
      <c r="AC70" s="51"/>
      <c r="AD70" s="51"/>
      <c r="AE70" s="51"/>
      <c r="AF70" s="51"/>
      <c r="AG70" s="51"/>
      <c r="AH70" s="94"/>
      <c r="AI70" s="94"/>
      <c r="AJ70" s="94"/>
      <c r="AK70" s="94"/>
      <c r="AL70" s="94"/>
      <c r="AM70" s="94"/>
      <c r="AN70" s="94"/>
      <c r="AO70" s="95"/>
      <c r="AP70" s="686">
        <f t="shared" si="5"/>
        <v>0</v>
      </c>
      <c r="AQ70" s="42"/>
      <c r="AR70" s="42"/>
      <c r="AS70" s="42"/>
      <c r="AT70" s="43"/>
      <c r="AU70" s="687">
        <f t="shared" si="6"/>
        <v>0</v>
      </c>
      <c r="AV70" s="42"/>
      <c r="AW70" s="42"/>
      <c r="AX70" s="42"/>
      <c r="AY70" s="43"/>
      <c r="AZ70" s="486"/>
      <c r="BA70" s="51"/>
      <c r="BB70" s="51"/>
      <c r="BC70" s="51"/>
      <c r="BD70" s="51"/>
      <c r="BE70" s="51"/>
      <c r="BF70" s="51"/>
      <c r="BG70" s="51"/>
      <c r="BH70" s="94"/>
      <c r="BI70" s="94"/>
      <c r="BJ70" s="94"/>
      <c r="BK70" s="94"/>
      <c r="BL70" s="94"/>
      <c r="BM70" s="483"/>
      <c r="BN70" s="94"/>
      <c r="BO70" s="94"/>
      <c r="BP70" s="94"/>
      <c r="BQ70" s="94"/>
      <c r="BR70" s="94"/>
      <c r="BS70" s="94"/>
      <c r="BT70" s="94"/>
      <c r="BU70" s="94"/>
      <c r="BV70" s="94"/>
      <c r="BW70" s="688">
        <f t="shared" si="2"/>
        <v>0</v>
      </c>
      <c r="BX70" s="51"/>
      <c r="BY70" s="51"/>
      <c r="BZ70" s="51"/>
      <c r="CA70" s="51"/>
      <c r="CB70" s="51"/>
      <c r="CC70" s="51"/>
      <c r="CD70" s="97"/>
      <c r="CE70" s="479"/>
      <c r="CF70" s="51"/>
      <c r="CG70" s="51"/>
      <c r="CH70" s="62"/>
      <c r="CI70" s="62"/>
      <c r="CJ70" s="51"/>
      <c r="CK70" s="51"/>
      <c r="CL70" s="95"/>
      <c r="CM70" s="93"/>
      <c r="CN70" s="51"/>
      <c r="CO70" s="51"/>
      <c r="CP70" s="51"/>
      <c r="CQ70" s="51"/>
      <c r="CR70" s="51"/>
      <c r="CS70" s="51"/>
      <c r="CT70" s="51"/>
      <c r="CU70" s="95"/>
      <c r="CV70" s="93"/>
      <c r="CW70" s="51"/>
      <c r="CX70" s="51"/>
      <c r="CY70" s="51"/>
      <c r="CZ70" s="51"/>
      <c r="DA70" s="51"/>
      <c r="DB70" s="51"/>
      <c r="DC70" s="51"/>
      <c r="DD70" s="95"/>
      <c r="DE70" s="93"/>
      <c r="DF70" s="51"/>
      <c r="DG70" s="51"/>
      <c r="DH70" s="51"/>
      <c r="DI70" s="51"/>
      <c r="DJ70" s="51"/>
      <c r="DK70" s="51"/>
      <c r="DL70" s="95"/>
      <c r="DM70" s="478"/>
      <c r="DN70" s="682">
        <f t="shared" si="7"/>
        <v>0</v>
      </c>
      <c r="DO70" s="683"/>
    </row>
    <row r="71" spans="1:119" ht="25.5" customHeight="1" thickTop="1" thickBot="1" x14ac:dyDescent="0.2">
      <c r="A71" s="676">
        <f t="shared" si="3"/>
        <v>56</v>
      </c>
      <c r="B71" s="1054"/>
      <c r="C71" s="1054"/>
      <c r="D71" s="83"/>
      <c r="E71" s="954"/>
      <c r="F71" s="52"/>
      <c r="G71" s="103"/>
      <c r="H71" s="1058"/>
      <c r="I71" s="684" t="str">
        <f t="shared" si="0"/>
        <v/>
      </c>
      <c r="J71" s="685">
        <f t="shared" si="1"/>
        <v>0</v>
      </c>
      <c r="K71" s="1252"/>
      <c r="L71" s="1251"/>
      <c r="M71" s="1257"/>
      <c r="N71" s="719" t="str">
        <f t="shared" si="4"/>
        <v/>
      </c>
      <c r="O71" s="720" t="str">
        <f>IF('Set up ~ Config'!$G$32=6,IF(OR($N71=7,$N71=8,$N71=9),1,IF(OR($N71=10,$N71=11,$N71=12),2,IF(OR($N71=1,$N71=2,$N71=3),3,IF(OR($N71=4,$N71=5,$N71=6),4,"")))),IF(OR($N71=9,$N71=10,$N71=11),1,IF(OR($N71=12,$N71=1,$N71=2),2,IF(OR($N71=3,$N71=4,$N71=5),3,IF(OR($N71=6,$N71=7,$N71=8),4,"")))))</f>
        <v/>
      </c>
      <c r="P71" s="99"/>
      <c r="Q71" s="62"/>
      <c r="R71" s="62"/>
      <c r="S71" s="51"/>
      <c r="T71" s="51"/>
      <c r="U71" s="51"/>
      <c r="V71" s="51"/>
      <c r="W71" s="51"/>
      <c r="X71" s="51"/>
      <c r="Y71" s="51"/>
      <c r="Z71" s="51"/>
      <c r="AA71" s="51"/>
      <c r="AB71" s="51"/>
      <c r="AC71" s="51"/>
      <c r="AD71" s="51"/>
      <c r="AE71" s="51"/>
      <c r="AF71" s="51"/>
      <c r="AG71" s="51"/>
      <c r="AH71" s="94"/>
      <c r="AI71" s="94"/>
      <c r="AJ71" s="94"/>
      <c r="AK71" s="94"/>
      <c r="AL71" s="94"/>
      <c r="AM71" s="94"/>
      <c r="AN71" s="94"/>
      <c r="AO71" s="95"/>
      <c r="AP71" s="686">
        <f t="shared" si="5"/>
        <v>0</v>
      </c>
      <c r="AQ71" s="42"/>
      <c r="AR71" s="42"/>
      <c r="AS71" s="42"/>
      <c r="AT71" s="43"/>
      <c r="AU71" s="687">
        <f t="shared" si="6"/>
        <v>0</v>
      </c>
      <c r="AV71" s="42"/>
      <c r="AW71" s="42"/>
      <c r="AX71" s="42"/>
      <c r="AY71" s="43"/>
      <c r="AZ71" s="486"/>
      <c r="BA71" s="51"/>
      <c r="BB71" s="51"/>
      <c r="BC71" s="51"/>
      <c r="BD71" s="51"/>
      <c r="BE71" s="51"/>
      <c r="BF71" s="51"/>
      <c r="BG71" s="51"/>
      <c r="BH71" s="94"/>
      <c r="BI71" s="94"/>
      <c r="BJ71" s="94"/>
      <c r="BK71" s="94"/>
      <c r="BL71" s="94"/>
      <c r="BM71" s="483"/>
      <c r="BN71" s="94"/>
      <c r="BO71" s="94"/>
      <c r="BP71" s="94"/>
      <c r="BQ71" s="94"/>
      <c r="BR71" s="94"/>
      <c r="BS71" s="94"/>
      <c r="BT71" s="94"/>
      <c r="BU71" s="94"/>
      <c r="BV71" s="94"/>
      <c r="BW71" s="688">
        <f t="shared" si="2"/>
        <v>0</v>
      </c>
      <c r="BX71" s="51"/>
      <c r="BY71" s="51"/>
      <c r="BZ71" s="51"/>
      <c r="CA71" s="51"/>
      <c r="CB71" s="51"/>
      <c r="CC71" s="51"/>
      <c r="CD71" s="97"/>
      <c r="CE71" s="479"/>
      <c r="CF71" s="51"/>
      <c r="CG71" s="51"/>
      <c r="CH71" s="62"/>
      <c r="CI71" s="62"/>
      <c r="CJ71" s="51"/>
      <c r="CK71" s="51"/>
      <c r="CL71" s="95"/>
      <c r="CM71" s="93"/>
      <c r="CN71" s="51"/>
      <c r="CO71" s="51"/>
      <c r="CP71" s="51"/>
      <c r="CQ71" s="51"/>
      <c r="CR71" s="51"/>
      <c r="CS71" s="51"/>
      <c r="CT71" s="51"/>
      <c r="CU71" s="95"/>
      <c r="CV71" s="93"/>
      <c r="CW71" s="51"/>
      <c r="CX71" s="51"/>
      <c r="CY71" s="51"/>
      <c r="CZ71" s="51"/>
      <c r="DA71" s="51"/>
      <c r="DB71" s="51"/>
      <c r="DC71" s="51"/>
      <c r="DD71" s="95"/>
      <c r="DE71" s="93"/>
      <c r="DF71" s="51"/>
      <c r="DG71" s="51"/>
      <c r="DH71" s="51"/>
      <c r="DI71" s="51"/>
      <c r="DJ71" s="51"/>
      <c r="DK71" s="51"/>
      <c r="DL71" s="95"/>
      <c r="DM71" s="478"/>
      <c r="DN71" s="682">
        <f t="shared" si="7"/>
        <v>0</v>
      </c>
      <c r="DO71" s="683"/>
    </row>
    <row r="72" spans="1:119" ht="25.5" customHeight="1" thickTop="1" thickBot="1" x14ac:dyDescent="0.2">
      <c r="A72" s="676">
        <f t="shared" si="3"/>
        <v>57</v>
      </c>
      <c r="B72" s="1054"/>
      <c r="C72" s="1054"/>
      <c r="D72" s="83"/>
      <c r="E72" s="954"/>
      <c r="F72" s="52"/>
      <c r="G72" s="103"/>
      <c r="H72" s="1058"/>
      <c r="I72" s="684" t="str">
        <f t="shared" si="0"/>
        <v/>
      </c>
      <c r="J72" s="685">
        <f t="shared" si="1"/>
        <v>0</v>
      </c>
      <c r="K72" s="1252"/>
      <c r="L72" s="1251"/>
      <c r="M72" s="1257"/>
      <c r="N72" s="719" t="str">
        <f t="shared" si="4"/>
        <v/>
      </c>
      <c r="O72" s="720" t="str">
        <f>IF('Set up ~ Config'!$G$32=6,IF(OR($N72=7,$N72=8,$N72=9),1,IF(OR($N72=10,$N72=11,$N72=12),2,IF(OR($N72=1,$N72=2,$N72=3),3,IF(OR($N72=4,$N72=5,$N72=6),4,"")))),IF(OR($N72=9,$N72=10,$N72=11),1,IF(OR($N72=12,$N72=1,$N72=2),2,IF(OR($N72=3,$N72=4,$N72=5),3,IF(OR($N72=6,$N72=7,$N72=8),4,"")))))</f>
        <v/>
      </c>
      <c r="P72" s="99"/>
      <c r="Q72" s="62"/>
      <c r="R72" s="62"/>
      <c r="S72" s="51"/>
      <c r="T72" s="51"/>
      <c r="U72" s="51"/>
      <c r="V72" s="51"/>
      <c r="W72" s="51"/>
      <c r="X72" s="51"/>
      <c r="Y72" s="51"/>
      <c r="Z72" s="51"/>
      <c r="AA72" s="51"/>
      <c r="AB72" s="51"/>
      <c r="AC72" s="51"/>
      <c r="AD72" s="51"/>
      <c r="AE72" s="51"/>
      <c r="AF72" s="51"/>
      <c r="AG72" s="51"/>
      <c r="AH72" s="94"/>
      <c r="AI72" s="94"/>
      <c r="AJ72" s="94"/>
      <c r="AK72" s="94"/>
      <c r="AL72" s="94"/>
      <c r="AM72" s="94"/>
      <c r="AN72" s="94"/>
      <c r="AO72" s="95"/>
      <c r="AP72" s="686">
        <f t="shared" si="5"/>
        <v>0</v>
      </c>
      <c r="AQ72" s="42"/>
      <c r="AR72" s="42"/>
      <c r="AS72" s="42"/>
      <c r="AT72" s="43"/>
      <c r="AU72" s="687">
        <f t="shared" si="6"/>
        <v>0</v>
      </c>
      <c r="AV72" s="42"/>
      <c r="AW72" s="42"/>
      <c r="AX72" s="42"/>
      <c r="AY72" s="43"/>
      <c r="AZ72" s="486"/>
      <c r="BA72" s="51"/>
      <c r="BB72" s="51"/>
      <c r="BC72" s="51"/>
      <c r="BD72" s="51"/>
      <c r="BE72" s="51"/>
      <c r="BF72" s="51"/>
      <c r="BG72" s="51"/>
      <c r="BH72" s="94"/>
      <c r="BI72" s="94"/>
      <c r="BJ72" s="94"/>
      <c r="BK72" s="94"/>
      <c r="BL72" s="94"/>
      <c r="BM72" s="483"/>
      <c r="BN72" s="94"/>
      <c r="BO72" s="94"/>
      <c r="BP72" s="94"/>
      <c r="BQ72" s="94"/>
      <c r="BR72" s="94"/>
      <c r="BS72" s="94"/>
      <c r="BT72" s="94"/>
      <c r="BU72" s="94"/>
      <c r="BV72" s="94"/>
      <c r="BW72" s="688">
        <f t="shared" si="2"/>
        <v>0</v>
      </c>
      <c r="BX72" s="51"/>
      <c r="BY72" s="51"/>
      <c r="BZ72" s="51"/>
      <c r="CA72" s="51"/>
      <c r="CB72" s="51"/>
      <c r="CC72" s="51"/>
      <c r="CD72" s="97"/>
      <c r="CE72" s="479"/>
      <c r="CF72" s="51"/>
      <c r="CG72" s="51"/>
      <c r="CH72" s="62"/>
      <c r="CI72" s="62"/>
      <c r="CJ72" s="51"/>
      <c r="CK72" s="51"/>
      <c r="CL72" s="95"/>
      <c r="CM72" s="93"/>
      <c r="CN72" s="51"/>
      <c r="CO72" s="51"/>
      <c r="CP72" s="51"/>
      <c r="CQ72" s="51"/>
      <c r="CR72" s="51"/>
      <c r="CS72" s="51"/>
      <c r="CT72" s="51"/>
      <c r="CU72" s="95"/>
      <c r="CV72" s="93"/>
      <c r="CW72" s="51"/>
      <c r="CX72" s="51"/>
      <c r="CY72" s="51"/>
      <c r="CZ72" s="51"/>
      <c r="DA72" s="51"/>
      <c r="DB72" s="51"/>
      <c r="DC72" s="51"/>
      <c r="DD72" s="95"/>
      <c r="DE72" s="93"/>
      <c r="DF72" s="51"/>
      <c r="DG72" s="51"/>
      <c r="DH72" s="51"/>
      <c r="DI72" s="51"/>
      <c r="DJ72" s="51"/>
      <c r="DK72" s="51"/>
      <c r="DL72" s="95"/>
      <c r="DM72" s="478"/>
      <c r="DN72" s="682">
        <f t="shared" si="7"/>
        <v>0</v>
      </c>
      <c r="DO72" s="683"/>
    </row>
    <row r="73" spans="1:119" ht="25.5" customHeight="1" thickTop="1" thickBot="1" x14ac:dyDescent="0.2">
      <c r="A73" s="676">
        <f t="shared" si="3"/>
        <v>58</v>
      </c>
      <c r="B73" s="1054"/>
      <c r="C73" s="1054"/>
      <c r="D73" s="83"/>
      <c r="E73" s="954"/>
      <c r="F73" s="52"/>
      <c r="G73" s="103"/>
      <c r="H73" s="1058"/>
      <c r="I73" s="684" t="str">
        <f t="shared" si="0"/>
        <v/>
      </c>
      <c r="J73" s="685">
        <f t="shared" si="1"/>
        <v>0</v>
      </c>
      <c r="K73" s="1252"/>
      <c r="L73" s="1251"/>
      <c r="M73" s="1257"/>
      <c r="N73" s="719" t="str">
        <f t="shared" si="4"/>
        <v/>
      </c>
      <c r="O73" s="720" t="str">
        <f>IF('Set up ~ Config'!$G$32=6,IF(OR($N73=7,$N73=8,$N73=9),1,IF(OR($N73=10,$N73=11,$N73=12),2,IF(OR($N73=1,$N73=2,$N73=3),3,IF(OR($N73=4,$N73=5,$N73=6),4,"")))),IF(OR($N73=9,$N73=10,$N73=11),1,IF(OR($N73=12,$N73=1,$N73=2),2,IF(OR($N73=3,$N73=4,$N73=5),3,IF(OR($N73=6,$N73=7,$N73=8),4,"")))))</f>
        <v/>
      </c>
      <c r="P73" s="99"/>
      <c r="Q73" s="62"/>
      <c r="R73" s="62"/>
      <c r="S73" s="51"/>
      <c r="T73" s="51"/>
      <c r="U73" s="51"/>
      <c r="V73" s="51"/>
      <c r="W73" s="51"/>
      <c r="X73" s="51"/>
      <c r="Y73" s="51"/>
      <c r="Z73" s="51"/>
      <c r="AA73" s="51"/>
      <c r="AB73" s="51"/>
      <c r="AC73" s="51"/>
      <c r="AD73" s="51"/>
      <c r="AE73" s="51"/>
      <c r="AF73" s="51"/>
      <c r="AG73" s="51"/>
      <c r="AH73" s="94"/>
      <c r="AI73" s="94"/>
      <c r="AJ73" s="94"/>
      <c r="AK73" s="94"/>
      <c r="AL73" s="94"/>
      <c r="AM73" s="94"/>
      <c r="AN73" s="94"/>
      <c r="AO73" s="95"/>
      <c r="AP73" s="686">
        <f t="shared" si="5"/>
        <v>0</v>
      </c>
      <c r="AQ73" s="42"/>
      <c r="AR73" s="42"/>
      <c r="AS73" s="42"/>
      <c r="AT73" s="43"/>
      <c r="AU73" s="687">
        <f t="shared" si="6"/>
        <v>0</v>
      </c>
      <c r="AV73" s="42"/>
      <c r="AW73" s="42"/>
      <c r="AX73" s="42"/>
      <c r="AY73" s="43"/>
      <c r="AZ73" s="486"/>
      <c r="BA73" s="51"/>
      <c r="BB73" s="51"/>
      <c r="BC73" s="51"/>
      <c r="BD73" s="51"/>
      <c r="BE73" s="51"/>
      <c r="BF73" s="51"/>
      <c r="BG73" s="51"/>
      <c r="BH73" s="94"/>
      <c r="BI73" s="94"/>
      <c r="BJ73" s="94"/>
      <c r="BK73" s="94"/>
      <c r="BL73" s="94"/>
      <c r="BM73" s="483"/>
      <c r="BN73" s="94"/>
      <c r="BO73" s="94"/>
      <c r="BP73" s="94"/>
      <c r="BQ73" s="94"/>
      <c r="BR73" s="94"/>
      <c r="BS73" s="94"/>
      <c r="BT73" s="94"/>
      <c r="BU73" s="94"/>
      <c r="BV73" s="94"/>
      <c r="BW73" s="688">
        <f t="shared" si="2"/>
        <v>0</v>
      </c>
      <c r="BX73" s="51"/>
      <c r="BY73" s="51"/>
      <c r="BZ73" s="51"/>
      <c r="CA73" s="51"/>
      <c r="CB73" s="51"/>
      <c r="CC73" s="51"/>
      <c r="CD73" s="97"/>
      <c r="CE73" s="479"/>
      <c r="CF73" s="51"/>
      <c r="CG73" s="51"/>
      <c r="CH73" s="62"/>
      <c r="CI73" s="62"/>
      <c r="CJ73" s="51"/>
      <c r="CK73" s="51"/>
      <c r="CL73" s="95"/>
      <c r="CM73" s="93"/>
      <c r="CN73" s="51"/>
      <c r="CO73" s="51"/>
      <c r="CP73" s="51"/>
      <c r="CQ73" s="51"/>
      <c r="CR73" s="51"/>
      <c r="CS73" s="51"/>
      <c r="CT73" s="51"/>
      <c r="CU73" s="95"/>
      <c r="CV73" s="93"/>
      <c r="CW73" s="51"/>
      <c r="CX73" s="51"/>
      <c r="CY73" s="51"/>
      <c r="CZ73" s="51"/>
      <c r="DA73" s="51"/>
      <c r="DB73" s="51"/>
      <c r="DC73" s="51"/>
      <c r="DD73" s="95"/>
      <c r="DE73" s="93"/>
      <c r="DF73" s="51"/>
      <c r="DG73" s="51"/>
      <c r="DH73" s="51"/>
      <c r="DI73" s="51"/>
      <c r="DJ73" s="51"/>
      <c r="DK73" s="51"/>
      <c r="DL73" s="95"/>
      <c r="DM73" s="478"/>
      <c r="DN73" s="682">
        <f t="shared" si="7"/>
        <v>0</v>
      </c>
      <c r="DO73" s="683"/>
    </row>
    <row r="74" spans="1:119" ht="25.5" customHeight="1" thickTop="1" thickBot="1" x14ac:dyDescent="0.2">
      <c r="A74" s="676">
        <f t="shared" si="3"/>
        <v>59</v>
      </c>
      <c r="B74" s="1054"/>
      <c r="C74" s="1054"/>
      <c r="D74" s="83"/>
      <c r="E74" s="954"/>
      <c r="F74" s="52"/>
      <c r="G74" s="103"/>
      <c r="H74" s="1058"/>
      <c r="I74" s="684" t="str">
        <f t="shared" si="0"/>
        <v/>
      </c>
      <c r="J74" s="685">
        <f t="shared" si="1"/>
        <v>0</v>
      </c>
      <c r="K74" s="1252"/>
      <c r="L74" s="1251"/>
      <c r="M74" s="1257"/>
      <c r="N74" s="719" t="str">
        <f t="shared" si="4"/>
        <v/>
      </c>
      <c r="O74" s="720" t="str">
        <f>IF('Set up ~ Config'!$G$32=6,IF(OR($N74=7,$N74=8,$N74=9),1,IF(OR($N74=10,$N74=11,$N74=12),2,IF(OR($N74=1,$N74=2,$N74=3),3,IF(OR($N74=4,$N74=5,$N74=6),4,"")))),IF(OR($N74=9,$N74=10,$N74=11),1,IF(OR($N74=12,$N74=1,$N74=2),2,IF(OR($N74=3,$N74=4,$N74=5),3,IF(OR($N74=6,$N74=7,$N74=8),4,"")))))</f>
        <v/>
      </c>
      <c r="P74" s="99"/>
      <c r="Q74" s="62"/>
      <c r="R74" s="62"/>
      <c r="S74" s="51"/>
      <c r="T74" s="51"/>
      <c r="U74" s="51"/>
      <c r="V74" s="51"/>
      <c r="W74" s="51"/>
      <c r="X74" s="51"/>
      <c r="Y74" s="51"/>
      <c r="Z74" s="51"/>
      <c r="AA74" s="51"/>
      <c r="AB74" s="51"/>
      <c r="AC74" s="51"/>
      <c r="AD74" s="51"/>
      <c r="AE74" s="51"/>
      <c r="AF74" s="51"/>
      <c r="AG74" s="51"/>
      <c r="AH74" s="94"/>
      <c r="AI74" s="94"/>
      <c r="AJ74" s="94"/>
      <c r="AK74" s="94"/>
      <c r="AL74" s="94"/>
      <c r="AM74" s="94"/>
      <c r="AN74" s="94"/>
      <c r="AO74" s="95"/>
      <c r="AP74" s="686">
        <f t="shared" si="5"/>
        <v>0</v>
      </c>
      <c r="AQ74" s="42"/>
      <c r="AR74" s="42"/>
      <c r="AS74" s="42"/>
      <c r="AT74" s="43"/>
      <c r="AU74" s="687">
        <f t="shared" si="6"/>
        <v>0</v>
      </c>
      <c r="AV74" s="42"/>
      <c r="AW74" s="42"/>
      <c r="AX74" s="42"/>
      <c r="AY74" s="43"/>
      <c r="AZ74" s="486"/>
      <c r="BA74" s="51"/>
      <c r="BB74" s="51"/>
      <c r="BC74" s="51"/>
      <c r="BD74" s="51"/>
      <c r="BE74" s="51"/>
      <c r="BF74" s="51"/>
      <c r="BG74" s="51"/>
      <c r="BH74" s="94"/>
      <c r="BI74" s="94"/>
      <c r="BJ74" s="94"/>
      <c r="BK74" s="94"/>
      <c r="BL74" s="94"/>
      <c r="BM74" s="483"/>
      <c r="BN74" s="94"/>
      <c r="BO74" s="94"/>
      <c r="BP74" s="94"/>
      <c r="BQ74" s="94"/>
      <c r="BR74" s="94"/>
      <c r="BS74" s="94"/>
      <c r="BT74" s="94"/>
      <c r="BU74" s="94"/>
      <c r="BV74" s="94"/>
      <c r="BW74" s="688">
        <f t="shared" si="2"/>
        <v>0</v>
      </c>
      <c r="BX74" s="51"/>
      <c r="BY74" s="51"/>
      <c r="BZ74" s="51"/>
      <c r="CA74" s="51"/>
      <c r="CB74" s="51"/>
      <c r="CC74" s="51"/>
      <c r="CD74" s="97"/>
      <c r="CE74" s="479"/>
      <c r="CF74" s="51"/>
      <c r="CG74" s="51"/>
      <c r="CH74" s="62"/>
      <c r="CI74" s="62"/>
      <c r="CJ74" s="51"/>
      <c r="CK74" s="51"/>
      <c r="CL74" s="95"/>
      <c r="CM74" s="93"/>
      <c r="CN74" s="51"/>
      <c r="CO74" s="51"/>
      <c r="CP74" s="51"/>
      <c r="CQ74" s="51"/>
      <c r="CR74" s="51"/>
      <c r="CS74" s="51"/>
      <c r="CT74" s="51"/>
      <c r="CU74" s="95"/>
      <c r="CV74" s="93"/>
      <c r="CW74" s="51"/>
      <c r="CX74" s="51"/>
      <c r="CY74" s="51"/>
      <c r="CZ74" s="51"/>
      <c r="DA74" s="51"/>
      <c r="DB74" s="51"/>
      <c r="DC74" s="51"/>
      <c r="DD74" s="95"/>
      <c r="DE74" s="93"/>
      <c r="DF74" s="51"/>
      <c r="DG74" s="51"/>
      <c r="DH74" s="51"/>
      <c r="DI74" s="51"/>
      <c r="DJ74" s="51"/>
      <c r="DK74" s="51"/>
      <c r="DL74" s="95"/>
      <c r="DM74" s="478"/>
      <c r="DN74" s="682">
        <f t="shared" si="7"/>
        <v>0</v>
      </c>
      <c r="DO74" s="683"/>
    </row>
    <row r="75" spans="1:119" ht="25.5" customHeight="1" thickTop="1" thickBot="1" x14ac:dyDescent="0.2">
      <c r="A75" s="676">
        <f t="shared" si="3"/>
        <v>60</v>
      </c>
      <c r="B75" s="1054"/>
      <c r="C75" s="1054"/>
      <c r="D75" s="83"/>
      <c r="E75" s="954"/>
      <c r="F75" s="52"/>
      <c r="G75" s="103"/>
      <c r="H75" s="1058"/>
      <c r="I75" s="684" t="str">
        <f t="shared" si="0"/>
        <v/>
      </c>
      <c r="J75" s="685">
        <f t="shared" si="1"/>
        <v>0</v>
      </c>
      <c r="K75" s="1252"/>
      <c r="L75" s="1251"/>
      <c r="M75" s="1257"/>
      <c r="N75" s="719" t="str">
        <f t="shared" si="4"/>
        <v/>
      </c>
      <c r="O75" s="720" t="str">
        <f>IF('Set up ~ Config'!$G$32=6,IF(OR($N75=7,$N75=8,$N75=9),1,IF(OR($N75=10,$N75=11,$N75=12),2,IF(OR($N75=1,$N75=2,$N75=3),3,IF(OR($N75=4,$N75=5,$N75=6),4,"")))),IF(OR($N75=9,$N75=10,$N75=11),1,IF(OR($N75=12,$N75=1,$N75=2),2,IF(OR($N75=3,$N75=4,$N75=5),3,IF(OR($N75=6,$N75=7,$N75=8),4,"")))))</f>
        <v/>
      </c>
      <c r="P75" s="99"/>
      <c r="Q75" s="62"/>
      <c r="R75" s="62"/>
      <c r="S75" s="51"/>
      <c r="T75" s="51"/>
      <c r="U75" s="51"/>
      <c r="V75" s="51"/>
      <c r="W75" s="51"/>
      <c r="X75" s="51"/>
      <c r="Y75" s="51"/>
      <c r="Z75" s="51"/>
      <c r="AA75" s="51"/>
      <c r="AB75" s="51"/>
      <c r="AC75" s="51"/>
      <c r="AD75" s="51"/>
      <c r="AE75" s="51"/>
      <c r="AF75" s="51"/>
      <c r="AG75" s="51"/>
      <c r="AH75" s="94"/>
      <c r="AI75" s="94"/>
      <c r="AJ75" s="94"/>
      <c r="AK75" s="94"/>
      <c r="AL75" s="94"/>
      <c r="AM75" s="94"/>
      <c r="AN75" s="94"/>
      <c r="AO75" s="95"/>
      <c r="AP75" s="686">
        <f t="shared" si="5"/>
        <v>0</v>
      </c>
      <c r="AQ75" s="42"/>
      <c r="AR75" s="42"/>
      <c r="AS75" s="42"/>
      <c r="AT75" s="43"/>
      <c r="AU75" s="687">
        <f t="shared" si="6"/>
        <v>0</v>
      </c>
      <c r="AV75" s="42"/>
      <c r="AW75" s="42"/>
      <c r="AX75" s="42"/>
      <c r="AY75" s="43"/>
      <c r="AZ75" s="486"/>
      <c r="BA75" s="51"/>
      <c r="BB75" s="51"/>
      <c r="BC75" s="51"/>
      <c r="BD75" s="51"/>
      <c r="BE75" s="51"/>
      <c r="BF75" s="51"/>
      <c r="BG75" s="51"/>
      <c r="BH75" s="94"/>
      <c r="BI75" s="94"/>
      <c r="BJ75" s="94"/>
      <c r="BK75" s="94"/>
      <c r="BL75" s="94"/>
      <c r="BM75" s="483"/>
      <c r="BN75" s="94"/>
      <c r="BO75" s="94"/>
      <c r="BP75" s="94"/>
      <c r="BQ75" s="94"/>
      <c r="BR75" s="94"/>
      <c r="BS75" s="94"/>
      <c r="BT75" s="94"/>
      <c r="BU75" s="94"/>
      <c r="BV75" s="94"/>
      <c r="BW75" s="688">
        <f t="shared" si="2"/>
        <v>0</v>
      </c>
      <c r="BX75" s="51"/>
      <c r="BY75" s="51"/>
      <c r="BZ75" s="51"/>
      <c r="CA75" s="51"/>
      <c r="CB75" s="51"/>
      <c r="CC75" s="51"/>
      <c r="CD75" s="97"/>
      <c r="CE75" s="479"/>
      <c r="CF75" s="51"/>
      <c r="CG75" s="51"/>
      <c r="CH75" s="62"/>
      <c r="CI75" s="62"/>
      <c r="CJ75" s="51"/>
      <c r="CK75" s="51"/>
      <c r="CL75" s="95"/>
      <c r="CM75" s="93"/>
      <c r="CN75" s="51"/>
      <c r="CO75" s="51"/>
      <c r="CP75" s="51"/>
      <c r="CQ75" s="51"/>
      <c r="CR75" s="51"/>
      <c r="CS75" s="51"/>
      <c r="CT75" s="51"/>
      <c r="CU75" s="95"/>
      <c r="CV75" s="93"/>
      <c r="CW75" s="51"/>
      <c r="CX75" s="51"/>
      <c r="CY75" s="51"/>
      <c r="CZ75" s="51"/>
      <c r="DA75" s="51"/>
      <c r="DB75" s="51"/>
      <c r="DC75" s="51"/>
      <c r="DD75" s="95"/>
      <c r="DE75" s="93"/>
      <c r="DF75" s="51"/>
      <c r="DG75" s="51"/>
      <c r="DH75" s="51"/>
      <c r="DI75" s="51"/>
      <c r="DJ75" s="51"/>
      <c r="DK75" s="51"/>
      <c r="DL75" s="95"/>
      <c r="DM75" s="478"/>
      <c r="DN75" s="682">
        <f t="shared" si="7"/>
        <v>0</v>
      </c>
      <c r="DO75" s="683"/>
    </row>
    <row r="76" spans="1:119" ht="25.5" customHeight="1" thickTop="1" thickBot="1" x14ac:dyDescent="0.2">
      <c r="A76" s="676">
        <f t="shared" si="3"/>
        <v>61</v>
      </c>
      <c r="B76" s="1054"/>
      <c r="C76" s="1054"/>
      <c r="D76" s="83"/>
      <c r="E76" s="954"/>
      <c r="F76" s="52"/>
      <c r="G76" s="103"/>
      <c r="H76" s="1058"/>
      <c r="I76" s="684" t="str">
        <f t="shared" si="0"/>
        <v/>
      </c>
      <c r="J76" s="685">
        <f t="shared" si="1"/>
        <v>0</v>
      </c>
      <c r="K76" s="1252"/>
      <c r="L76" s="1251"/>
      <c r="M76" s="1257"/>
      <c r="N76" s="719" t="str">
        <f t="shared" si="4"/>
        <v/>
      </c>
      <c r="O76" s="720" t="str">
        <f>IF('Set up ~ Config'!$G$32=6,IF(OR($N76=7,$N76=8,$N76=9),1,IF(OR($N76=10,$N76=11,$N76=12),2,IF(OR($N76=1,$N76=2,$N76=3),3,IF(OR($N76=4,$N76=5,$N76=6),4,"")))),IF(OR($N76=9,$N76=10,$N76=11),1,IF(OR($N76=12,$N76=1,$N76=2),2,IF(OR($N76=3,$N76=4,$N76=5),3,IF(OR($N76=6,$N76=7,$N76=8),4,"")))))</f>
        <v/>
      </c>
      <c r="P76" s="99"/>
      <c r="Q76" s="62"/>
      <c r="R76" s="62"/>
      <c r="S76" s="51"/>
      <c r="T76" s="51"/>
      <c r="U76" s="51"/>
      <c r="V76" s="51"/>
      <c r="W76" s="51"/>
      <c r="X76" s="51"/>
      <c r="Y76" s="51"/>
      <c r="Z76" s="51"/>
      <c r="AA76" s="51"/>
      <c r="AB76" s="51"/>
      <c r="AC76" s="51"/>
      <c r="AD76" s="51"/>
      <c r="AE76" s="51"/>
      <c r="AF76" s="51"/>
      <c r="AG76" s="51"/>
      <c r="AH76" s="94"/>
      <c r="AI76" s="94"/>
      <c r="AJ76" s="94"/>
      <c r="AK76" s="94"/>
      <c r="AL76" s="94"/>
      <c r="AM76" s="94"/>
      <c r="AN76" s="94"/>
      <c r="AO76" s="95"/>
      <c r="AP76" s="686">
        <f t="shared" si="5"/>
        <v>0</v>
      </c>
      <c r="AQ76" s="42"/>
      <c r="AR76" s="42"/>
      <c r="AS76" s="42"/>
      <c r="AT76" s="43"/>
      <c r="AU76" s="687">
        <f t="shared" si="6"/>
        <v>0</v>
      </c>
      <c r="AV76" s="42"/>
      <c r="AW76" s="42"/>
      <c r="AX76" s="42"/>
      <c r="AY76" s="43"/>
      <c r="AZ76" s="486"/>
      <c r="BA76" s="51"/>
      <c r="BB76" s="51"/>
      <c r="BC76" s="51"/>
      <c r="BD76" s="51"/>
      <c r="BE76" s="51"/>
      <c r="BF76" s="51"/>
      <c r="BG76" s="51"/>
      <c r="BH76" s="94"/>
      <c r="BI76" s="94"/>
      <c r="BJ76" s="94"/>
      <c r="BK76" s="94"/>
      <c r="BL76" s="94"/>
      <c r="BM76" s="483"/>
      <c r="BN76" s="94"/>
      <c r="BO76" s="94"/>
      <c r="BP76" s="94"/>
      <c r="BQ76" s="94"/>
      <c r="BR76" s="94"/>
      <c r="BS76" s="94"/>
      <c r="BT76" s="94"/>
      <c r="BU76" s="94"/>
      <c r="BV76" s="94"/>
      <c r="BW76" s="688">
        <f t="shared" si="2"/>
        <v>0</v>
      </c>
      <c r="BX76" s="51"/>
      <c r="BY76" s="51"/>
      <c r="BZ76" s="51"/>
      <c r="CA76" s="51"/>
      <c r="CB76" s="51"/>
      <c r="CC76" s="51"/>
      <c r="CD76" s="97"/>
      <c r="CE76" s="479"/>
      <c r="CF76" s="51"/>
      <c r="CG76" s="51"/>
      <c r="CH76" s="62"/>
      <c r="CI76" s="62"/>
      <c r="CJ76" s="51"/>
      <c r="CK76" s="51"/>
      <c r="CL76" s="95"/>
      <c r="CM76" s="93"/>
      <c r="CN76" s="51"/>
      <c r="CO76" s="51"/>
      <c r="CP76" s="51"/>
      <c r="CQ76" s="51"/>
      <c r="CR76" s="51"/>
      <c r="CS76" s="51"/>
      <c r="CT76" s="51"/>
      <c r="CU76" s="95"/>
      <c r="CV76" s="93"/>
      <c r="CW76" s="51"/>
      <c r="CX76" s="51"/>
      <c r="CY76" s="51"/>
      <c r="CZ76" s="51"/>
      <c r="DA76" s="51"/>
      <c r="DB76" s="51"/>
      <c r="DC76" s="51"/>
      <c r="DD76" s="95"/>
      <c r="DE76" s="93"/>
      <c r="DF76" s="51"/>
      <c r="DG76" s="51"/>
      <c r="DH76" s="51"/>
      <c r="DI76" s="51"/>
      <c r="DJ76" s="51"/>
      <c r="DK76" s="51"/>
      <c r="DL76" s="95"/>
      <c r="DM76" s="478"/>
      <c r="DN76" s="682">
        <f t="shared" si="7"/>
        <v>0</v>
      </c>
      <c r="DO76" s="683"/>
    </row>
    <row r="77" spans="1:119" ht="25.5" customHeight="1" thickTop="1" thickBot="1" x14ac:dyDescent="0.2">
      <c r="A77" s="676">
        <f t="shared" si="3"/>
        <v>62</v>
      </c>
      <c r="B77" s="1054"/>
      <c r="C77" s="1054"/>
      <c r="D77" s="83"/>
      <c r="E77" s="954"/>
      <c r="F77" s="52"/>
      <c r="G77" s="103"/>
      <c r="H77" s="1058"/>
      <c r="I77" s="684" t="str">
        <f t="shared" si="0"/>
        <v/>
      </c>
      <c r="J77" s="685">
        <f t="shared" si="1"/>
        <v>0</v>
      </c>
      <c r="K77" s="1252"/>
      <c r="L77" s="1251"/>
      <c r="M77" s="1257"/>
      <c r="N77" s="719" t="str">
        <f t="shared" si="4"/>
        <v/>
      </c>
      <c r="O77" s="720" t="str">
        <f>IF('Set up ~ Config'!$G$32=6,IF(OR($N77=7,$N77=8,$N77=9),1,IF(OR($N77=10,$N77=11,$N77=12),2,IF(OR($N77=1,$N77=2,$N77=3),3,IF(OR($N77=4,$N77=5,$N77=6),4,"")))),IF(OR($N77=9,$N77=10,$N77=11),1,IF(OR($N77=12,$N77=1,$N77=2),2,IF(OR($N77=3,$N77=4,$N77=5),3,IF(OR($N77=6,$N77=7,$N77=8),4,"")))))</f>
        <v/>
      </c>
      <c r="P77" s="99"/>
      <c r="Q77" s="62"/>
      <c r="R77" s="62"/>
      <c r="S77" s="51"/>
      <c r="T77" s="51"/>
      <c r="U77" s="51"/>
      <c r="V77" s="51"/>
      <c r="W77" s="51"/>
      <c r="X77" s="51"/>
      <c r="Y77" s="51"/>
      <c r="Z77" s="51"/>
      <c r="AA77" s="51"/>
      <c r="AB77" s="51"/>
      <c r="AC77" s="51"/>
      <c r="AD77" s="51"/>
      <c r="AE77" s="51"/>
      <c r="AF77" s="51"/>
      <c r="AG77" s="51"/>
      <c r="AH77" s="94"/>
      <c r="AI77" s="94"/>
      <c r="AJ77" s="94"/>
      <c r="AK77" s="94"/>
      <c r="AL77" s="94"/>
      <c r="AM77" s="94"/>
      <c r="AN77" s="94"/>
      <c r="AO77" s="95"/>
      <c r="AP77" s="686">
        <f t="shared" si="5"/>
        <v>0</v>
      </c>
      <c r="AQ77" s="42"/>
      <c r="AR77" s="42"/>
      <c r="AS77" s="42"/>
      <c r="AT77" s="43"/>
      <c r="AU77" s="687">
        <f t="shared" si="6"/>
        <v>0</v>
      </c>
      <c r="AV77" s="42"/>
      <c r="AW77" s="42"/>
      <c r="AX77" s="42"/>
      <c r="AY77" s="43"/>
      <c r="AZ77" s="486"/>
      <c r="BA77" s="51"/>
      <c r="BB77" s="51"/>
      <c r="BC77" s="51"/>
      <c r="BD77" s="51"/>
      <c r="BE77" s="51"/>
      <c r="BF77" s="51"/>
      <c r="BG77" s="51"/>
      <c r="BH77" s="94"/>
      <c r="BI77" s="94"/>
      <c r="BJ77" s="94"/>
      <c r="BK77" s="94"/>
      <c r="BL77" s="94"/>
      <c r="BM77" s="483"/>
      <c r="BN77" s="94"/>
      <c r="BO77" s="94"/>
      <c r="BP77" s="94"/>
      <c r="BQ77" s="94"/>
      <c r="BR77" s="94"/>
      <c r="BS77" s="94"/>
      <c r="BT77" s="94"/>
      <c r="BU77" s="94"/>
      <c r="BV77" s="94"/>
      <c r="BW77" s="688">
        <f t="shared" si="2"/>
        <v>0</v>
      </c>
      <c r="BX77" s="51"/>
      <c r="BY77" s="51"/>
      <c r="BZ77" s="51"/>
      <c r="CA77" s="51"/>
      <c r="CB77" s="51"/>
      <c r="CC77" s="51"/>
      <c r="CD77" s="97"/>
      <c r="CE77" s="479"/>
      <c r="CF77" s="51"/>
      <c r="CG77" s="51"/>
      <c r="CH77" s="62"/>
      <c r="CI77" s="62"/>
      <c r="CJ77" s="51"/>
      <c r="CK77" s="51"/>
      <c r="CL77" s="95"/>
      <c r="CM77" s="93"/>
      <c r="CN77" s="51"/>
      <c r="CO77" s="51"/>
      <c r="CP77" s="51"/>
      <c r="CQ77" s="51"/>
      <c r="CR77" s="51"/>
      <c r="CS77" s="51"/>
      <c r="CT77" s="51"/>
      <c r="CU77" s="95"/>
      <c r="CV77" s="93"/>
      <c r="CW77" s="51"/>
      <c r="CX77" s="51"/>
      <c r="CY77" s="51"/>
      <c r="CZ77" s="51"/>
      <c r="DA77" s="51"/>
      <c r="DB77" s="51"/>
      <c r="DC77" s="51"/>
      <c r="DD77" s="95"/>
      <c r="DE77" s="93"/>
      <c r="DF77" s="51"/>
      <c r="DG77" s="51"/>
      <c r="DH77" s="51"/>
      <c r="DI77" s="51"/>
      <c r="DJ77" s="51"/>
      <c r="DK77" s="51"/>
      <c r="DL77" s="95"/>
      <c r="DM77" s="478"/>
      <c r="DN77" s="682">
        <f t="shared" si="7"/>
        <v>0</v>
      </c>
      <c r="DO77" s="683"/>
    </row>
    <row r="78" spans="1:119" ht="25.5" customHeight="1" thickTop="1" thickBot="1" x14ac:dyDescent="0.2">
      <c r="A78" s="676">
        <f t="shared" si="3"/>
        <v>63</v>
      </c>
      <c r="B78" s="1054"/>
      <c r="C78" s="1054"/>
      <c r="D78" s="83"/>
      <c r="E78" s="954"/>
      <c r="F78" s="52"/>
      <c r="G78" s="103"/>
      <c r="H78" s="1058"/>
      <c r="I78" s="684" t="str">
        <f t="shared" si="0"/>
        <v/>
      </c>
      <c r="J78" s="685">
        <f t="shared" si="1"/>
        <v>0</v>
      </c>
      <c r="K78" s="1252"/>
      <c r="L78" s="1251"/>
      <c r="M78" s="1257"/>
      <c r="N78" s="719" t="str">
        <f t="shared" si="4"/>
        <v/>
      </c>
      <c r="O78" s="720" t="str">
        <f>IF('Set up ~ Config'!$G$32=6,IF(OR($N78=7,$N78=8,$N78=9),1,IF(OR($N78=10,$N78=11,$N78=12),2,IF(OR($N78=1,$N78=2,$N78=3),3,IF(OR($N78=4,$N78=5,$N78=6),4,"")))),IF(OR($N78=9,$N78=10,$N78=11),1,IF(OR($N78=12,$N78=1,$N78=2),2,IF(OR($N78=3,$N78=4,$N78=5),3,IF(OR($N78=6,$N78=7,$N78=8),4,"")))))</f>
        <v/>
      </c>
      <c r="P78" s="99"/>
      <c r="Q78" s="62"/>
      <c r="R78" s="62"/>
      <c r="S78" s="51"/>
      <c r="T78" s="51"/>
      <c r="U78" s="51"/>
      <c r="V78" s="51"/>
      <c r="W78" s="51"/>
      <c r="X78" s="51"/>
      <c r="Y78" s="51"/>
      <c r="Z78" s="51"/>
      <c r="AA78" s="51"/>
      <c r="AB78" s="51"/>
      <c r="AC78" s="51"/>
      <c r="AD78" s="51"/>
      <c r="AE78" s="51"/>
      <c r="AF78" s="51"/>
      <c r="AG78" s="51"/>
      <c r="AH78" s="94"/>
      <c r="AI78" s="94"/>
      <c r="AJ78" s="94"/>
      <c r="AK78" s="94"/>
      <c r="AL78" s="94"/>
      <c r="AM78" s="94"/>
      <c r="AN78" s="94"/>
      <c r="AO78" s="95"/>
      <c r="AP78" s="686">
        <f t="shared" si="5"/>
        <v>0</v>
      </c>
      <c r="AQ78" s="42"/>
      <c r="AR78" s="42"/>
      <c r="AS78" s="42"/>
      <c r="AT78" s="43"/>
      <c r="AU78" s="687">
        <f t="shared" si="6"/>
        <v>0</v>
      </c>
      <c r="AV78" s="42"/>
      <c r="AW78" s="42"/>
      <c r="AX78" s="42"/>
      <c r="AY78" s="43"/>
      <c r="AZ78" s="486"/>
      <c r="BA78" s="51"/>
      <c r="BB78" s="51"/>
      <c r="BC78" s="51"/>
      <c r="BD78" s="51"/>
      <c r="BE78" s="51"/>
      <c r="BF78" s="51"/>
      <c r="BG78" s="51"/>
      <c r="BH78" s="94"/>
      <c r="BI78" s="94"/>
      <c r="BJ78" s="94"/>
      <c r="BK78" s="94"/>
      <c r="BL78" s="94"/>
      <c r="BM78" s="483"/>
      <c r="BN78" s="94"/>
      <c r="BO78" s="94"/>
      <c r="BP78" s="94"/>
      <c r="BQ78" s="94"/>
      <c r="BR78" s="94"/>
      <c r="BS78" s="94"/>
      <c r="BT78" s="94"/>
      <c r="BU78" s="94"/>
      <c r="BV78" s="94"/>
      <c r="BW78" s="688">
        <f t="shared" si="2"/>
        <v>0</v>
      </c>
      <c r="BX78" s="51"/>
      <c r="BY78" s="51"/>
      <c r="BZ78" s="51"/>
      <c r="CA78" s="51"/>
      <c r="CB78" s="51"/>
      <c r="CC78" s="51"/>
      <c r="CD78" s="97"/>
      <c r="CE78" s="479"/>
      <c r="CF78" s="51"/>
      <c r="CG78" s="51"/>
      <c r="CH78" s="62"/>
      <c r="CI78" s="62"/>
      <c r="CJ78" s="51"/>
      <c r="CK78" s="51"/>
      <c r="CL78" s="95"/>
      <c r="CM78" s="93"/>
      <c r="CN78" s="51"/>
      <c r="CO78" s="51"/>
      <c r="CP78" s="51"/>
      <c r="CQ78" s="51"/>
      <c r="CR78" s="51"/>
      <c r="CS78" s="51"/>
      <c r="CT78" s="51"/>
      <c r="CU78" s="95"/>
      <c r="CV78" s="93"/>
      <c r="CW78" s="51"/>
      <c r="CX78" s="51"/>
      <c r="CY78" s="51"/>
      <c r="CZ78" s="51"/>
      <c r="DA78" s="51"/>
      <c r="DB78" s="51"/>
      <c r="DC78" s="51"/>
      <c r="DD78" s="95"/>
      <c r="DE78" s="93"/>
      <c r="DF78" s="51"/>
      <c r="DG78" s="51"/>
      <c r="DH78" s="51"/>
      <c r="DI78" s="51"/>
      <c r="DJ78" s="51"/>
      <c r="DK78" s="51"/>
      <c r="DL78" s="95"/>
      <c r="DM78" s="478"/>
      <c r="DN78" s="682">
        <f t="shared" si="7"/>
        <v>0</v>
      </c>
      <c r="DO78" s="683"/>
    </row>
    <row r="79" spans="1:119" ht="25.5" customHeight="1" thickTop="1" thickBot="1" x14ac:dyDescent="0.2">
      <c r="A79" s="676">
        <f t="shared" si="3"/>
        <v>64</v>
      </c>
      <c r="B79" s="1054"/>
      <c r="C79" s="1054"/>
      <c r="D79" s="83"/>
      <c r="E79" s="954"/>
      <c r="F79" s="52"/>
      <c r="G79" s="103"/>
      <c r="H79" s="1058"/>
      <c r="I79" s="684" t="str">
        <f t="shared" si="0"/>
        <v/>
      </c>
      <c r="J79" s="685">
        <f t="shared" si="1"/>
        <v>0</v>
      </c>
      <c r="K79" s="1252"/>
      <c r="L79" s="1251"/>
      <c r="M79" s="1257"/>
      <c r="N79" s="719" t="str">
        <f t="shared" si="4"/>
        <v/>
      </c>
      <c r="O79" s="720" t="str">
        <f>IF('Set up ~ Config'!$G$32=6,IF(OR($N79=7,$N79=8,$N79=9),1,IF(OR($N79=10,$N79=11,$N79=12),2,IF(OR($N79=1,$N79=2,$N79=3),3,IF(OR($N79=4,$N79=5,$N79=6),4,"")))),IF(OR($N79=9,$N79=10,$N79=11),1,IF(OR($N79=12,$N79=1,$N79=2),2,IF(OR($N79=3,$N79=4,$N79=5),3,IF(OR($N79=6,$N79=7,$N79=8),4,"")))))</f>
        <v/>
      </c>
      <c r="P79" s="93"/>
      <c r="Q79" s="51"/>
      <c r="R79" s="51"/>
      <c r="S79" s="51"/>
      <c r="T79" s="51"/>
      <c r="U79" s="51"/>
      <c r="V79" s="51"/>
      <c r="W79" s="51"/>
      <c r="X79" s="51"/>
      <c r="Y79" s="51"/>
      <c r="Z79" s="51"/>
      <c r="AA79" s="51"/>
      <c r="AB79" s="51"/>
      <c r="AC79" s="51"/>
      <c r="AD79" s="51"/>
      <c r="AE79" s="51"/>
      <c r="AF79" s="51"/>
      <c r="AG79" s="51"/>
      <c r="AH79" s="94"/>
      <c r="AI79" s="94"/>
      <c r="AJ79" s="94"/>
      <c r="AK79" s="94"/>
      <c r="AL79" s="94"/>
      <c r="AM79" s="94"/>
      <c r="AN79" s="94"/>
      <c r="AO79" s="95"/>
      <c r="AP79" s="686">
        <f t="shared" si="5"/>
        <v>0</v>
      </c>
      <c r="AQ79" s="42"/>
      <c r="AR79" s="42"/>
      <c r="AS79" s="42"/>
      <c r="AT79" s="43"/>
      <c r="AU79" s="687">
        <f t="shared" si="6"/>
        <v>0</v>
      </c>
      <c r="AV79" s="42"/>
      <c r="AW79" s="42"/>
      <c r="AX79" s="42"/>
      <c r="AY79" s="43"/>
      <c r="AZ79" s="486"/>
      <c r="BA79" s="51"/>
      <c r="BB79" s="51"/>
      <c r="BC79" s="51"/>
      <c r="BD79" s="51"/>
      <c r="BE79" s="51"/>
      <c r="BF79" s="51"/>
      <c r="BG79" s="51"/>
      <c r="BH79" s="94"/>
      <c r="BI79" s="94"/>
      <c r="BJ79" s="94"/>
      <c r="BK79" s="94"/>
      <c r="BL79" s="94"/>
      <c r="BM79" s="483"/>
      <c r="BN79" s="94"/>
      <c r="BO79" s="94"/>
      <c r="BP79" s="94"/>
      <c r="BQ79" s="94"/>
      <c r="BR79" s="94"/>
      <c r="BS79" s="94"/>
      <c r="BT79" s="94"/>
      <c r="BU79" s="94"/>
      <c r="BV79" s="94"/>
      <c r="BW79" s="688">
        <f t="shared" si="2"/>
        <v>0</v>
      </c>
      <c r="BX79" s="51"/>
      <c r="BY79" s="51"/>
      <c r="BZ79" s="51"/>
      <c r="CA79" s="51"/>
      <c r="CB79" s="51"/>
      <c r="CC79" s="51"/>
      <c r="CD79" s="97"/>
      <c r="CE79" s="479"/>
      <c r="CF79" s="51"/>
      <c r="CG79" s="51"/>
      <c r="CH79" s="62"/>
      <c r="CI79" s="62"/>
      <c r="CJ79" s="51"/>
      <c r="CK79" s="51"/>
      <c r="CL79" s="95"/>
      <c r="CM79" s="93"/>
      <c r="CN79" s="51"/>
      <c r="CO79" s="51"/>
      <c r="CP79" s="51"/>
      <c r="CQ79" s="51"/>
      <c r="CR79" s="51"/>
      <c r="CS79" s="51"/>
      <c r="CT79" s="51"/>
      <c r="CU79" s="95"/>
      <c r="CV79" s="93"/>
      <c r="CW79" s="51"/>
      <c r="CX79" s="51"/>
      <c r="CY79" s="51"/>
      <c r="CZ79" s="51"/>
      <c r="DA79" s="51"/>
      <c r="DB79" s="51"/>
      <c r="DC79" s="51"/>
      <c r="DD79" s="95"/>
      <c r="DE79" s="93"/>
      <c r="DF79" s="51"/>
      <c r="DG79" s="51"/>
      <c r="DH79" s="51"/>
      <c r="DI79" s="51"/>
      <c r="DJ79" s="51"/>
      <c r="DK79" s="51"/>
      <c r="DL79" s="95"/>
      <c r="DM79" s="478"/>
      <c r="DN79" s="682">
        <f t="shared" si="7"/>
        <v>0</v>
      </c>
      <c r="DO79" s="683"/>
    </row>
    <row r="80" spans="1:119" ht="25.5" customHeight="1" thickTop="1" thickBot="1" x14ac:dyDescent="0.2">
      <c r="A80" s="676">
        <f t="shared" si="3"/>
        <v>65</v>
      </c>
      <c r="B80" s="1054"/>
      <c r="C80" s="1054"/>
      <c r="D80" s="83"/>
      <c r="E80" s="954"/>
      <c r="F80" s="52"/>
      <c r="G80" s="103"/>
      <c r="H80" s="1058"/>
      <c r="I80" s="684" t="str">
        <f t="shared" ref="I80:I143" si="8">LEFT(H80,4)</f>
        <v/>
      </c>
      <c r="J80" s="685">
        <f t="shared" ref="J80:J143" si="9">G80-DN80</f>
        <v>0</v>
      </c>
      <c r="K80" s="1252"/>
      <c r="L80" s="1251"/>
      <c r="M80" s="1257"/>
      <c r="N80" s="719" t="str">
        <f t="shared" si="4"/>
        <v/>
      </c>
      <c r="O80" s="720" t="str">
        <f>IF('Set up ~ Config'!$G$32=6,IF(OR($N80=7,$N80=8,$N80=9),1,IF(OR($N80=10,$N80=11,$N80=12),2,IF(OR($N80=1,$N80=2,$N80=3),3,IF(OR($N80=4,$N80=5,$N80=6),4,"")))),IF(OR($N80=9,$N80=10,$N80=11),1,IF(OR($N80=12,$N80=1,$N80=2),2,IF(OR($N80=3,$N80=4,$N80=5),3,IF(OR($N80=6,$N80=7,$N80=8),4,"")))))</f>
        <v/>
      </c>
      <c r="P80" s="93"/>
      <c r="Q80" s="51"/>
      <c r="R80" s="51"/>
      <c r="S80" s="51"/>
      <c r="T80" s="51"/>
      <c r="U80" s="51"/>
      <c r="V80" s="51"/>
      <c r="W80" s="51"/>
      <c r="X80" s="51"/>
      <c r="Y80" s="51"/>
      <c r="Z80" s="51"/>
      <c r="AA80" s="51"/>
      <c r="AB80" s="51"/>
      <c r="AC80" s="51"/>
      <c r="AD80" s="51"/>
      <c r="AE80" s="51"/>
      <c r="AF80" s="51"/>
      <c r="AG80" s="51"/>
      <c r="AH80" s="94"/>
      <c r="AI80" s="94"/>
      <c r="AJ80" s="94"/>
      <c r="AK80" s="94"/>
      <c r="AL80" s="94"/>
      <c r="AM80" s="94"/>
      <c r="AN80" s="94"/>
      <c r="AO80" s="95"/>
      <c r="AP80" s="686">
        <f t="shared" si="5"/>
        <v>0</v>
      </c>
      <c r="AQ80" s="42"/>
      <c r="AR80" s="42"/>
      <c r="AS80" s="42"/>
      <c r="AT80" s="43"/>
      <c r="AU80" s="687">
        <f t="shared" si="6"/>
        <v>0</v>
      </c>
      <c r="AV80" s="42"/>
      <c r="AW80" s="42"/>
      <c r="AX80" s="42"/>
      <c r="AY80" s="43"/>
      <c r="AZ80" s="486"/>
      <c r="BA80" s="51"/>
      <c r="BB80" s="51"/>
      <c r="BC80" s="51"/>
      <c r="BD80" s="51"/>
      <c r="BE80" s="51"/>
      <c r="BF80" s="51"/>
      <c r="BG80" s="51"/>
      <c r="BH80" s="94"/>
      <c r="BI80" s="94"/>
      <c r="BJ80" s="94"/>
      <c r="BK80" s="94"/>
      <c r="BL80" s="94"/>
      <c r="BM80" s="483"/>
      <c r="BN80" s="94"/>
      <c r="BO80" s="94"/>
      <c r="BP80" s="94"/>
      <c r="BQ80" s="94"/>
      <c r="BR80" s="94"/>
      <c r="BS80" s="94"/>
      <c r="BT80" s="94"/>
      <c r="BU80" s="94"/>
      <c r="BV80" s="94"/>
      <c r="BW80" s="688">
        <f t="shared" ref="BW80:BW143" si="10">SUM(BX80:CD80)</f>
        <v>0</v>
      </c>
      <c r="BX80" s="51"/>
      <c r="BY80" s="51"/>
      <c r="BZ80" s="51"/>
      <c r="CA80" s="51"/>
      <c r="CB80" s="51"/>
      <c r="CC80" s="51"/>
      <c r="CD80" s="97"/>
      <c r="CE80" s="479"/>
      <c r="CF80" s="51"/>
      <c r="CG80" s="51"/>
      <c r="CH80" s="62"/>
      <c r="CI80" s="62"/>
      <c r="CJ80" s="51"/>
      <c r="CK80" s="51"/>
      <c r="CL80" s="95"/>
      <c r="CM80" s="93"/>
      <c r="CN80" s="51"/>
      <c r="CO80" s="51"/>
      <c r="CP80" s="51"/>
      <c r="CQ80" s="51"/>
      <c r="CR80" s="51"/>
      <c r="CS80" s="51"/>
      <c r="CT80" s="51"/>
      <c r="CU80" s="95"/>
      <c r="CV80" s="93"/>
      <c r="CW80" s="51"/>
      <c r="CX80" s="51"/>
      <c r="CY80" s="51"/>
      <c r="CZ80" s="51"/>
      <c r="DA80" s="51"/>
      <c r="DB80" s="51"/>
      <c r="DC80" s="51"/>
      <c r="DD80" s="95"/>
      <c r="DE80" s="93"/>
      <c r="DF80" s="51"/>
      <c r="DG80" s="51"/>
      <c r="DH80" s="51"/>
      <c r="DI80" s="51"/>
      <c r="DJ80" s="51"/>
      <c r="DK80" s="51"/>
      <c r="DL80" s="95"/>
      <c r="DM80" s="478"/>
      <c r="DN80" s="682">
        <f t="shared" si="7"/>
        <v>0</v>
      </c>
      <c r="DO80" s="683"/>
    </row>
    <row r="81" spans="1:119" ht="25.5" customHeight="1" thickTop="1" thickBot="1" x14ac:dyDescent="0.2">
      <c r="A81" s="676">
        <f t="shared" ref="A81:A144" si="11">$A80+1</f>
        <v>66</v>
      </c>
      <c r="B81" s="1054"/>
      <c r="C81" s="1054"/>
      <c r="D81" s="83"/>
      <c r="E81" s="954"/>
      <c r="F81" s="52"/>
      <c r="G81" s="103"/>
      <c r="H81" s="1058"/>
      <c r="I81" s="684" t="str">
        <f t="shared" si="8"/>
        <v/>
      </c>
      <c r="J81" s="685">
        <f t="shared" si="9"/>
        <v>0</v>
      </c>
      <c r="K81" s="1252"/>
      <c r="L81" s="1251"/>
      <c r="M81" s="1257"/>
      <c r="N81" s="719" t="str">
        <f t="shared" ref="N81:N144" si="12">IF($E81="","",MONTH($E81))</f>
        <v/>
      </c>
      <c r="O81" s="720" t="str">
        <f>IF('Set up ~ Config'!$G$32=6,IF(OR($N81=7,$N81=8,$N81=9),1,IF(OR($N81=10,$N81=11,$N81=12),2,IF(OR($N81=1,$N81=2,$N81=3),3,IF(OR($N81=4,$N81=5,$N81=6),4,"")))),IF(OR($N81=9,$N81=10,$N81=11),1,IF(OR($N81=12,$N81=1,$N81=2),2,IF(OR($N81=3,$N81=4,$N81=5),3,IF(OR($N81=6,$N81=7,$N81=8),4,"")))))</f>
        <v/>
      </c>
      <c r="P81" s="93"/>
      <c r="Q81" s="51"/>
      <c r="R81" s="51"/>
      <c r="S81" s="51"/>
      <c r="T81" s="51"/>
      <c r="U81" s="51"/>
      <c r="V81" s="51"/>
      <c r="W81" s="51"/>
      <c r="X81" s="51"/>
      <c r="Y81" s="51"/>
      <c r="Z81" s="51"/>
      <c r="AA81" s="51"/>
      <c r="AB81" s="51"/>
      <c r="AC81" s="51"/>
      <c r="AD81" s="51"/>
      <c r="AE81" s="51"/>
      <c r="AF81" s="51"/>
      <c r="AG81" s="51"/>
      <c r="AH81" s="94"/>
      <c r="AI81" s="94"/>
      <c r="AJ81" s="94"/>
      <c r="AK81" s="94"/>
      <c r="AL81" s="94"/>
      <c r="AM81" s="94"/>
      <c r="AN81" s="94"/>
      <c r="AO81" s="95"/>
      <c r="AP81" s="686">
        <f t="shared" ref="AP81:AP144" si="13">SUM(AQ81:AT81)</f>
        <v>0</v>
      </c>
      <c r="AQ81" s="42"/>
      <c r="AR81" s="42"/>
      <c r="AS81" s="42"/>
      <c r="AT81" s="43"/>
      <c r="AU81" s="687">
        <f t="shared" ref="AU81:AU144" si="14">SUM(AV81:AY81)</f>
        <v>0</v>
      </c>
      <c r="AV81" s="42"/>
      <c r="AW81" s="42"/>
      <c r="AX81" s="42"/>
      <c r="AY81" s="43"/>
      <c r="AZ81" s="486"/>
      <c r="BA81" s="51"/>
      <c r="BB81" s="51"/>
      <c r="BC81" s="51"/>
      <c r="BD81" s="51"/>
      <c r="BE81" s="51"/>
      <c r="BF81" s="51"/>
      <c r="BG81" s="51"/>
      <c r="BH81" s="94"/>
      <c r="BI81" s="94"/>
      <c r="BJ81" s="94"/>
      <c r="BK81" s="94"/>
      <c r="BL81" s="94"/>
      <c r="BM81" s="483"/>
      <c r="BN81" s="94"/>
      <c r="BO81" s="94"/>
      <c r="BP81" s="94"/>
      <c r="BQ81" s="94"/>
      <c r="BR81" s="94"/>
      <c r="BS81" s="94"/>
      <c r="BT81" s="94"/>
      <c r="BU81" s="94"/>
      <c r="BV81" s="94"/>
      <c r="BW81" s="688">
        <f t="shared" si="10"/>
        <v>0</v>
      </c>
      <c r="BX81" s="51"/>
      <c r="BY81" s="51"/>
      <c r="BZ81" s="51"/>
      <c r="CA81" s="51"/>
      <c r="CB81" s="51"/>
      <c r="CC81" s="51"/>
      <c r="CD81" s="97"/>
      <c r="CE81" s="479"/>
      <c r="CF81" s="51"/>
      <c r="CG81" s="51"/>
      <c r="CH81" s="62"/>
      <c r="CI81" s="62"/>
      <c r="CJ81" s="51"/>
      <c r="CK81" s="51"/>
      <c r="CL81" s="95"/>
      <c r="CM81" s="93"/>
      <c r="CN81" s="51"/>
      <c r="CO81" s="51"/>
      <c r="CP81" s="51"/>
      <c r="CQ81" s="51"/>
      <c r="CR81" s="51"/>
      <c r="CS81" s="51"/>
      <c r="CT81" s="51"/>
      <c r="CU81" s="95"/>
      <c r="CV81" s="93"/>
      <c r="CW81" s="51"/>
      <c r="CX81" s="51"/>
      <c r="CY81" s="51"/>
      <c r="CZ81" s="51"/>
      <c r="DA81" s="51"/>
      <c r="DB81" s="51"/>
      <c r="DC81" s="51"/>
      <c r="DD81" s="95"/>
      <c r="DE81" s="93"/>
      <c r="DF81" s="51"/>
      <c r="DG81" s="51"/>
      <c r="DH81" s="51"/>
      <c r="DI81" s="51"/>
      <c r="DJ81" s="51"/>
      <c r="DK81" s="51"/>
      <c r="DL81" s="95"/>
      <c r="DM81" s="478"/>
      <c r="DN81" s="682">
        <f t="shared" ref="DN81:DN144" si="15">SUM(P81:AP81,AU81,AZ81:BW81,CE81:DM81)</f>
        <v>0</v>
      </c>
      <c r="DO81" s="683"/>
    </row>
    <row r="82" spans="1:119" ht="25.5" customHeight="1" thickTop="1" thickBot="1" x14ac:dyDescent="0.2">
      <c r="A82" s="676">
        <f t="shared" si="11"/>
        <v>67</v>
      </c>
      <c r="B82" s="1054"/>
      <c r="C82" s="1054"/>
      <c r="D82" s="83"/>
      <c r="E82" s="954"/>
      <c r="F82" s="52"/>
      <c r="G82" s="103"/>
      <c r="H82" s="1058"/>
      <c r="I82" s="684" t="str">
        <f t="shared" si="8"/>
        <v/>
      </c>
      <c r="J82" s="685">
        <f t="shared" si="9"/>
        <v>0</v>
      </c>
      <c r="K82" s="1252"/>
      <c r="L82" s="1251"/>
      <c r="M82" s="1257"/>
      <c r="N82" s="719" t="str">
        <f t="shared" si="12"/>
        <v/>
      </c>
      <c r="O82" s="720" t="str">
        <f>IF('Set up ~ Config'!$G$32=6,IF(OR($N82=7,$N82=8,$N82=9),1,IF(OR($N82=10,$N82=11,$N82=12),2,IF(OR($N82=1,$N82=2,$N82=3),3,IF(OR($N82=4,$N82=5,$N82=6),4,"")))),IF(OR($N82=9,$N82=10,$N82=11),1,IF(OR($N82=12,$N82=1,$N82=2),2,IF(OR($N82=3,$N82=4,$N82=5),3,IF(OR($N82=6,$N82=7,$N82=8),4,"")))))</f>
        <v/>
      </c>
      <c r="P82" s="93"/>
      <c r="Q82" s="51"/>
      <c r="R82" s="51"/>
      <c r="S82" s="51"/>
      <c r="T82" s="51"/>
      <c r="U82" s="51"/>
      <c r="V82" s="51"/>
      <c r="W82" s="51"/>
      <c r="X82" s="51"/>
      <c r="Y82" s="51"/>
      <c r="Z82" s="51"/>
      <c r="AA82" s="51"/>
      <c r="AB82" s="51"/>
      <c r="AC82" s="51"/>
      <c r="AD82" s="51"/>
      <c r="AE82" s="51"/>
      <c r="AF82" s="51"/>
      <c r="AG82" s="51"/>
      <c r="AH82" s="94"/>
      <c r="AI82" s="94"/>
      <c r="AJ82" s="94"/>
      <c r="AK82" s="94"/>
      <c r="AL82" s="94"/>
      <c r="AM82" s="94"/>
      <c r="AN82" s="94"/>
      <c r="AO82" s="95"/>
      <c r="AP82" s="686">
        <f t="shared" si="13"/>
        <v>0</v>
      </c>
      <c r="AQ82" s="42"/>
      <c r="AR82" s="42"/>
      <c r="AS82" s="42"/>
      <c r="AT82" s="43"/>
      <c r="AU82" s="687">
        <f t="shared" si="14"/>
        <v>0</v>
      </c>
      <c r="AV82" s="42"/>
      <c r="AW82" s="42"/>
      <c r="AX82" s="42"/>
      <c r="AY82" s="43"/>
      <c r="AZ82" s="486"/>
      <c r="BA82" s="51"/>
      <c r="BB82" s="51"/>
      <c r="BC82" s="51"/>
      <c r="BD82" s="51"/>
      <c r="BE82" s="51"/>
      <c r="BF82" s="51"/>
      <c r="BG82" s="51"/>
      <c r="BH82" s="94"/>
      <c r="BI82" s="94"/>
      <c r="BJ82" s="94"/>
      <c r="BK82" s="94"/>
      <c r="BL82" s="94"/>
      <c r="BM82" s="483"/>
      <c r="BN82" s="94"/>
      <c r="BO82" s="94"/>
      <c r="BP82" s="94"/>
      <c r="BQ82" s="94"/>
      <c r="BR82" s="94"/>
      <c r="BS82" s="94"/>
      <c r="BT82" s="94"/>
      <c r="BU82" s="94"/>
      <c r="BV82" s="94"/>
      <c r="BW82" s="688">
        <f t="shared" si="10"/>
        <v>0</v>
      </c>
      <c r="BX82" s="51"/>
      <c r="BY82" s="51"/>
      <c r="BZ82" s="51"/>
      <c r="CA82" s="51"/>
      <c r="CB82" s="51"/>
      <c r="CC82" s="51"/>
      <c r="CD82" s="97"/>
      <c r="CE82" s="479"/>
      <c r="CF82" s="51"/>
      <c r="CG82" s="51"/>
      <c r="CH82" s="62"/>
      <c r="CI82" s="62"/>
      <c r="CJ82" s="51"/>
      <c r="CK82" s="51"/>
      <c r="CL82" s="95"/>
      <c r="CM82" s="93"/>
      <c r="CN82" s="51"/>
      <c r="CO82" s="51"/>
      <c r="CP82" s="51"/>
      <c r="CQ82" s="51"/>
      <c r="CR82" s="51"/>
      <c r="CS82" s="51"/>
      <c r="CT82" s="51"/>
      <c r="CU82" s="95"/>
      <c r="CV82" s="93"/>
      <c r="CW82" s="51"/>
      <c r="CX82" s="51"/>
      <c r="CY82" s="51"/>
      <c r="CZ82" s="51"/>
      <c r="DA82" s="51"/>
      <c r="DB82" s="51"/>
      <c r="DC82" s="51"/>
      <c r="DD82" s="95"/>
      <c r="DE82" s="93"/>
      <c r="DF82" s="51"/>
      <c r="DG82" s="51"/>
      <c r="DH82" s="51"/>
      <c r="DI82" s="51"/>
      <c r="DJ82" s="51"/>
      <c r="DK82" s="51"/>
      <c r="DL82" s="95"/>
      <c r="DM82" s="478"/>
      <c r="DN82" s="682">
        <f t="shared" si="15"/>
        <v>0</v>
      </c>
      <c r="DO82" s="683"/>
    </row>
    <row r="83" spans="1:119" ht="25.5" customHeight="1" thickTop="1" thickBot="1" x14ac:dyDescent="0.2">
      <c r="A83" s="676">
        <f t="shared" si="11"/>
        <v>68</v>
      </c>
      <c r="B83" s="1054"/>
      <c r="C83" s="1054"/>
      <c r="D83" s="83"/>
      <c r="E83" s="954"/>
      <c r="F83" s="52"/>
      <c r="G83" s="103"/>
      <c r="H83" s="1058"/>
      <c r="I83" s="684" t="str">
        <f t="shared" si="8"/>
        <v/>
      </c>
      <c r="J83" s="685">
        <f t="shared" si="9"/>
        <v>0</v>
      </c>
      <c r="K83" s="1252"/>
      <c r="L83" s="1251"/>
      <c r="M83" s="1257"/>
      <c r="N83" s="719" t="str">
        <f t="shared" si="12"/>
        <v/>
      </c>
      <c r="O83" s="720" t="str">
        <f>IF('Set up ~ Config'!$G$32=6,IF(OR($N83=7,$N83=8,$N83=9),1,IF(OR($N83=10,$N83=11,$N83=12),2,IF(OR($N83=1,$N83=2,$N83=3),3,IF(OR($N83=4,$N83=5,$N83=6),4,"")))),IF(OR($N83=9,$N83=10,$N83=11),1,IF(OR($N83=12,$N83=1,$N83=2),2,IF(OR($N83=3,$N83=4,$N83=5),3,IF(OR($N83=6,$N83=7,$N83=8),4,"")))))</f>
        <v/>
      </c>
      <c r="P83" s="93"/>
      <c r="Q83" s="51"/>
      <c r="R83" s="51"/>
      <c r="S83" s="51"/>
      <c r="T83" s="51"/>
      <c r="U83" s="51"/>
      <c r="V83" s="51"/>
      <c r="W83" s="51"/>
      <c r="X83" s="51"/>
      <c r="Y83" s="51"/>
      <c r="Z83" s="51"/>
      <c r="AA83" s="51"/>
      <c r="AB83" s="51"/>
      <c r="AC83" s="51"/>
      <c r="AD83" s="51"/>
      <c r="AE83" s="51"/>
      <c r="AF83" s="51"/>
      <c r="AG83" s="51"/>
      <c r="AH83" s="94"/>
      <c r="AI83" s="94"/>
      <c r="AJ83" s="94"/>
      <c r="AK83" s="94"/>
      <c r="AL83" s="94"/>
      <c r="AM83" s="94"/>
      <c r="AN83" s="94"/>
      <c r="AO83" s="95"/>
      <c r="AP83" s="686">
        <f t="shared" si="13"/>
        <v>0</v>
      </c>
      <c r="AQ83" s="42"/>
      <c r="AR83" s="42"/>
      <c r="AS83" s="42"/>
      <c r="AT83" s="43"/>
      <c r="AU83" s="687">
        <f t="shared" si="14"/>
        <v>0</v>
      </c>
      <c r="AV83" s="42"/>
      <c r="AW83" s="42"/>
      <c r="AX83" s="42"/>
      <c r="AY83" s="43"/>
      <c r="AZ83" s="486"/>
      <c r="BA83" s="51"/>
      <c r="BB83" s="51"/>
      <c r="BC83" s="51"/>
      <c r="BD83" s="51"/>
      <c r="BE83" s="51"/>
      <c r="BF83" s="51"/>
      <c r="BG83" s="51"/>
      <c r="BH83" s="94"/>
      <c r="BI83" s="94"/>
      <c r="BJ83" s="94"/>
      <c r="BK83" s="94"/>
      <c r="BL83" s="94"/>
      <c r="BM83" s="483"/>
      <c r="BN83" s="94"/>
      <c r="BO83" s="94"/>
      <c r="BP83" s="94"/>
      <c r="BQ83" s="94"/>
      <c r="BR83" s="94"/>
      <c r="BS83" s="94"/>
      <c r="BT83" s="94"/>
      <c r="BU83" s="94"/>
      <c r="BV83" s="94"/>
      <c r="BW83" s="688">
        <f t="shared" si="10"/>
        <v>0</v>
      </c>
      <c r="BX83" s="51"/>
      <c r="BY83" s="51"/>
      <c r="BZ83" s="51"/>
      <c r="CA83" s="51"/>
      <c r="CB83" s="51"/>
      <c r="CC83" s="51"/>
      <c r="CD83" s="97"/>
      <c r="CE83" s="479"/>
      <c r="CF83" s="51"/>
      <c r="CG83" s="51"/>
      <c r="CH83" s="62"/>
      <c r="CI83" s="62"/>
      <c r="CJ83" s="51"/>
      <c r="CK83" s="51"/>
      <c r="CL83" s="95"/>
      <c r="CM83" s="93"/>
      <c r="CN83" s="51"/>
      <c r="CO83" s="51"/>
      <c r="CP83" s="51"/>
      <c r="CQ83" s="51"/>
      <c r="CR83" s="51"/>
      <c r="CS83" s="51"/>
      <c r="CT83" s="51"/>
      <c r="CU83" s="95"/>
      <c r="CV83" s="93"/>
      <c r="CW83" s="51"/>
      <c r="CX83" s="51"/>
      <c r="CY83" s="51"/>
      <c r="CZ83" s="51"/>
      <c r="DA83" s="51"/>
      <c r="DB83" s="51"/>
      <c r="DC83" s="51"/>
      <c r="DD83" s="95"/>
      <c r="DE83" s="93"/>
      <c r="DF83" s="51"/>
      <c r="DG83" s="51"/>
      <c r="DH83" s="51"/>
      <c r="DI83" s="51"/>
      <c r="DJ83" s="51"/>
      <c r="DK83" s="51"/>
      <c r="DL83" s="95"/>
      <c r="DM83" s="478"/>
      <c r="DN83" s="682">
        <f t="shared" si="15"/>
        <v>0</v>
      </c>
      <c r="DO83" s="683"/>
    </row>
    <row r="84" spans="1:119" ht="25.5" customHeight="1" thickTop="1" thickBot="1" x14ac:dyDescent="0.2">
      <c r="A84" s="676">
        <f t="shared" si="11"/>
        <v>69</v>
      </c>
      <c r="B84" s="1054"/>
      <c r="C84" s="1054"/>
      <c r="D84" s="83"/>
      <c r="E84" s="954"/>
      <c r="F84" s="52"/>
      <c r="G84" s="103"/>
      <c r="H84" s="1058"/>
      <c r="I84" s="684" t="str">
        <f t="shared" si="8"/>
        <v/>
      </c>
      <c r="J84" s="685">
        <f t="shared" si="9"/>
        <v>0</v>
      </c>
      <c r="K84" s="1252"/>
      <c r="L84" s="1251"/>
      <c r="M84" s="1257"/>
      <c r="N84" s="719" t="str">
        <f t="shared" si="12"/>
        <v/>
      </c>
      <c r="O84" s="720" t="str">
        <f>IF('Set up ~ Config'!$G$32=6,IF(OR($N84=7,$N84=8,$N84=9),1,IF(OR($N84=10,$N84=11,$N84=12),2,IF(OR($N84=1,$N84=2,$N84=3),3,IF(OR($N84=4,$N84=5,$N84=6),4,"")))),IF(OR($N84=9,$N84=10,$N84=11),1,IF(OR($N84=12,$N84=1,$N84=2),2,IF(OR($N84=3,$N84=4,$N84=5),3,IF(OR($N84=6,$N84=7,$N84=8),4,"")))))</f>
        <v/>
      </c>
      <c r="P84" s="93"/>
      <c r="Q84" s="51"/>
      <c r="R84" s="51"/>
      <c r="S84" s="51"/>
      <c r="T84" s="51"/>
      <c r="U84" s="51"/>
      <c r="V84" s="51"/>
      <c r="W84" s="51"/>
      <c r="X84" s="51"/>
      <c r="Y84" s="51"/>
      <c r="Z84" s="51"/>
      <c r="AA84" s="51"/>
      <c r="AB84" s="51"/>
      <c r="AC84" s="51"/>
      <c r="AD84" s="51"/>
      <c r="AE84" s="51"/>
      <c r="AF84" s="51"/>
      <c r="AG84" s="51"/>
      <c r="AH84" s="94"/>
      <c r="AI84" s="94"/>
      <c r="AJ84" s="94"/>
      <c r="AK84" s="94"/>
      <c r="AL84" s="94"/>
      <c r="AM84" s="94"/>
      <c r="AN84" s="94"/>
      <c r="AO84" s="95"/>
      <c r="AP84" s="686">
        <f t="shared" si="13"/>
        <v>0</v>
      </c>
      <c r="AQ84" s="42"/>
      <c r="AR84" s="42"/>
      <c r="AS84" s="42"/>
      <c r="AT84" s="43"/>
      <c r="AU84" s="687">
        <f t="shared" si="14"/>
        <v>0</v>
      </c>
      <c r="AV84" s="42"/>
      <c r="AW84" s="42"/>
      <c r="AX84" s="42"/>
      <c r="AY84" s="43"/>
      <c r="AZ84" s="486"/>
      <c r="BA84" s="51"/>
      <c r="BB84" s="51"/>
      <c r="BC84" s="51"/>
      <c r="BD84" s="51"/>
      <c r="BE84" s="51"/>
      <c r="BF84" s="51"/>
      <c r="BG84" s="51"/>
      <c r="BH84" s="94"/>
      <c r="BI84" s="94"/>
      <c r="BJ84" s="94"/>
      <c r="BK84" s="94"/>
      <c r="BL84" s="94"/>
      <c r="BM84" s="483"/>
      <c r="BN84" s="94"/>
      <c r="BO84" s="94"/>
      <c r="BP84" s="94"/>
      <c r="BQ84" s="94"/>
      <c r="BR84" s="94"/>
      <c r="BS84" s="94"/>
      <c r="BT84" s="94"/>
      <c r="BU84" s="94"/>
      <c r="BV84" s="94"/>
      <c r="BW84" s="688">
        <f t="shared" si="10"/>
        <v>0</v>
      </c>
      <c r="BX84" s="51"/>
      <c r="BY84" s="51"/>
      <c r="BZ84" s="51"/>
      <c r="CA84" s="51"/>
      <c r="CB84" s="51"/>
      <c r="CC84" s="51"/>
      <c r="CD84" s="97"/>
      <c r="CE84" s="479"/>
      <c r="CF84" s="51"/>
      <c r="CG84" s="51"/>
      <c r="CH84" s="62"/>
      <c r="CI84" s="62"/>
      <c r="CJ84" s="51"/>
      <c r="CK84" s="51"/>
      <c r="CL84" s="95"/>
      <c r="CM84" s="93"/>
      <c r="CN84" s="51"/>
      <c r="CO84" s="51"/>
      <c r="CP84" s="51"/>
      <c r="CQ84" s="51"/>
      <c r="CR84" s="51"/>
      <c r="CS84" s="51"/>
      <c r="CT84" s="51"/>
      <c r="CU84" s="95"/>
      <c r="CV84" s="93"/>
      <c r="CW84" s="51"/>
      <c r="CX84" s="51"/>
      <c r="CY84" s="51"/>
      <c r="CZ84" s="51"/>
      <c r="DA84" s="51"/>
      <c r="DB84" s="51"/>
      <c r="DC84" s="51"/>
      <c r="DD84" s="95"/>
      <c r="DE84" s="93"/>
      <c r="DF84" s="51"/>
      <c r="DG84" s="51"/>
      <c r="DH84" s="51"/>
      <c r="DI84" s="51"/>
      <c r="DJ84" s="51"/>
      <c r="DK84" s="51"/>
      <c r="DL84" s="95"/>
      <c r="DM84" s="478"/>
      <c r="DN84" s="682">
        <f t="shared" si="15"/>
        <v>0</v>
      </c>
      <c r="DO84" s="683"/>
    </row>
    <row r="85" spans="1:119" ht="25.5" customHeight="1" thickTop="1" thickBot="1" x14ac:dyDescent="0.2">
      <c r="A85" s="676">
        <f t="shared" si="11"/>
        <v>70</v>
      </c>
      <c r="B85" s="1054"/>
      <c r="C85" s="1054"/>
      <c r="D85" s="83"/>
      <c r="E85" s="954"/>
      <c r="F85" s="52"/>
      <c r="G85" s="103"/>
      <c r="H85" s="1058"/>
      <c r="I85" s="684" t="str">
        <f t="shared" si="8"/>
        <v/>
      </c>
      <c r="J85" s="685">
        <f t="shared" si="9"/>
        <v>0</v>
      </c>
      <c r="K85" s="1252"/>
      <c r="L85" s="1251"/>
      <c r="M85" s="1257"/>
      <c r="N85" s="719" t="str">
        <f t="shared" si="12"/>
        <v/>
      </c>
      <c r="O85" s="720" t="str">
        <f>IF('Set up ~ Config'!$G$32=6,IF(OR($N85=7,$N85=8,$N85=9),1,IF(OR($N85=10,$N85=11,$N85=12),2,IF(OR($N85=1,$N85=2,$N85=3),3,IF(OR($N85=4,$N85=5,$N85=6),4,"")))),IF(OR($N85=9,$N85=10,$N85=11),1,IF(OR($N85=12,$N85=1,$N85=2),2,IF(OR($N85=3,$N85=4,$N85=5),3,IF(OR($N85=6,$N85=7,$N85=8),4,"")))))</f>
        <v/>
      </c>
      <c r="P85" s="99"/>
      <c r="Q85" s="62"/>
      <c r="R85" s="62"/>
      <c r="S85" s="51"/>
      <c r="T85" s="51"/>
      <c r="U85" s="51"/>
      <c r="V85" s="51"/>
      <c r="W85" s="51"/>
      <c r="X85" s="51"/>
      <c r="Y85" s="51"/>
      <c r="Z85" s="51"/>
      <c r="AA85" s="51"/>
      <c r="AB85" s="51"/>
      <c r="AC85" s="51"/>
      <c r="AD85" s="51"/>
      <c r="AE85" s="51"/>
      <c r="AF85" s="51"/>
      <c r="AG85" s="51"/>
      <c r="AH85" s="94"/>
      <c r="AI85" s="94"/>
      <c r="AJ85" s="94"/>
      <c r="AK85" s="94"/>
      <c r="AL85" s="94"/>
      <c r="AM85" s="94"/>
      <c r="AN85" s="94"/>
      <c r="AO85" s="95"/>
      <c r="AP85" s="686">
        <f t="shared" si="13"/>
        <v>0</v>
      </c>
      <c r="AQ85" s="42"/>
      <c r="AR85" s="42"/>
      <c r="AS85" s="42"/>
      <c r="AT85" s="43"/>
      <c r="AU85" s="687">
        <f t="shared" si="14"/>
        <v>0</v>
      </c>
      <c r="AV85" s="42"/>
      <c r="AW85" s="42"/>
      <c r="AX85" s="42"/>
      <c r="AY85" s="43"/>
      <c r="AZ85" s="486"/>
      <c r="BA85" s="51"/>
      <c r="BB85" s="51"/>
      <c r="BC85" s="51"/>
      <c r="BD85" s="51"/>
      <c r="BE85" s="51"/>
      <c r="BF85" s="51"/>
      <c r="BG85" s="51"/>
      <c r="BH85" s="94"/>
      <c r="BI85" s="94"/>
      <c r="BJ85" s="94"/>
      <c r="BK85" s="94"/>
      <c r="BL85" s="94"/>
      <c r="BM85" s="483"/>
      <c r="BN85" s="94"/>
      <c r="BO85" s="94"/>
      <c r="BP85" s="94"/>
      <c r="BQ85" s="94"/>
      <c r="BR85" s="94"/>
      <c r="BS85" s="94"/>
      <c r="BT85" s="94"/>
      <c r="BU85" s="94"/>
      <c r="BV85" s="94"/>
      <c r="BW85" s="688">
        <f t="shared" si="10"/>
        <v>0</v>
      </c>
      <c r="BX85" s="51"/>
      <c r="BY85" s="51"/>
      <c r="BZ85" s="51"/>
      <c r="CA85" s="51"/>
      <c r="CB85" s="51"/>
      <c r="CC85" s="51"/>
      <c r="CD85" s="97"/>
      <c r="CE85" s="479"/>
      <c r="CF85" s="51"/>
      <c r="CG85" s="51"/>
      <c r="CH85" s="62"/>
      <c r="CI85" s="62"/>
      <c r="CJ85" s="51"/>
      <c r="CK85" s="51"/>
      <c r="CL85" s="95"/>
      <c r="CM85" s="93"/>
      <c r="CN85" s="51"/>
      <c r="CO85" s="51"/>
      <c r="CP85" s="51"/>
      <c r="CQ85" s="51"/>
      <c r="CR85" s="51"/>
      <c r="CS85" s="51"/>
      <c r="CT85" s="51"/>
      <c r="CU85" s="95"/>
      <c r="CV85" s="93"/>
      <c r="CW85" s="51"/>
      <c r="CX85" s="51"/>
      <c r="CY85" s="51"/>
      <c r="CZ85" s="51"/>
      <c r="DA85" s="51"/>
      <c r="DB85" s="51"/>
      <c r="DC85" s="51"/>
      <c r="DD85" s="95"/>
      <c r="DE85" s="93"/>
      <c r="DF85" s="51"/>
      <c r="DG85" s="51"/>
      <c r="DH85" s="51"/>
      <c r="DI85" s="51"/>
      <c r="DJ85" s="51"/>
      <c r="DK85" s="51"/>
      <c r="DL85" s="95"/>
      <c r="DM85" s="478"/>
      <c r="DN85" s="682">
        <f t="shared" si="15"/>
        <v>0</v>
      </c>
      <c r="DO85" s="683"/>
    </row>
    <row r="86" spans="1:119" ht="25.5" customHeight="1" thickTop="1" thickBot="1" x14ac:dyDescent="0.2">
      <c r="A86" s="676">
        <f t="shared" si="11"/>
        <v>71</v>
      </c>
      <c r="B86" s="1054"/>
      <c r="C86" s="1054"/>
      <c r="D86" s="83"/>
      <c r="E86" s="954"/>
      <c r="F86" s="52"/>
      <c r="G86" s="103"/>
      <c r="H86" s="1058"/>
      <c r="I86" s="684" t="str">
        <f t="shared" si="8"/>
        <v/>
      </c>
      <c r="J86" s="685">
        <f t="shared" si="9"/>
        <v>0</v>
      </c>
      <c r="K86" s="1252"/>
      <c r="L86" s="1251"/>
      <c r="M86" s="1257"/>
      <c r="N86" s="719" t="str">
        <f t="shared" si="12"/>
        <v/>
      </c>
      <c r="O86" s="720" t="str">
        <f>IF('Set up ~ Config'!$G$32=6,IF(OR($N86=7,$N86=8,$N86=9),1,IF(OR($N86=10,$N86=11,$N86=12),2,IF(OR($N86=1,$N86=2,$N86=3),3,IF(OR($N86=4,$N86=5,$N86=6),4,"")))),IF(OR($N86=9,$N86=10,$N86=11),1,IF(OR($N86=12,$N86=1,$N86=2),2,IF(OR($N86=3,$N86=4,$N86=5),3,IF(OR($N86=6,$N86=7,$N86=8),4,"")))))</f>
        <v/>
      </c>
      <c r="P86" s="99"/>
      <c r="Q86" s="62"/>
      <c r="R86" s="62"/>
      <c r="S86" s="51"/>
      <c r="T86" s="51"/>
      <c r="U86" s="51"/>
      <c r="V86" s="51"/>
      <c r="W86" s="51"/>
      <c r="X86" s="51"/>
      <c r="Y86" s="51"/>
      <c r="Z86" s="51"/>
      <c r="AA86" s="51"/>
      <c r="AB86" s="51"/>
      <c r="AC86" s="51"/>
      <c r="AD86" s="51"/>
      <c r="AE86" s="51"/>
      <c r="AF86" s="51"/>
      <c r="AG86" s="51"/>
      <c r="AH86" s="94"/>
      <c r="AI86" s="94"/>
      <c r="AJ86" s="94"/>
      <c r="AK86" s="94"/>
      <c r="AL86" s="94"/>
      <c r="AM86" s="94"/>
      <c r="AN86" s="94"/>
      <c r="AO86" s="95"/>
      <c r="AP86" s="686">
        <f t="shared" si="13"/>
        <v>0</v>
      </c>
      <c r="AQ86" s="42"/>
      <c r="AR86" s="42"/>
      <c r="AS86" s="42"/>
      <c r="AT86" s="43"/>
      <c r="AU86" s="687">
        <f t="shared" si="14"/>
        <v>0</v>
      </c>
      <c r="AV86" s="42"/>
      <c r="AW86" s="42"/>
      <c r="AX86" s="42"/>
      <c r="AY86" s="43"/>
      <c r="AZ86" s="486"/>
      <c r="BA86" s="51"/>
      <c r="BB86" s="51"/>
      <c r="BC86" s="51"/>
      <c r="BD86" s="51"/>
      <c r="BE86" s="51"/>
      <c r="BF86" s="51"/>
      <c r="BG86" s="51"/>
      <c r="BH86" s="94"/>
      <c r="BI86" s="94"/>
      <c r="BJ86" s="94"/>
      <c r="BK86" s="94"/>
      <c r="BL86" s="94"/>
      <c r="BM86" s="483"/>
      <c r="BN86" s="94"/>
      <c r="BO86" s="94"/>
      <c r="BP86" s="94"/>
      <c r="BQ86" s="94"/>
      <c r="BR86" s="94"/>
      <c r="BS86" s="94"/>
      <c r="BT86" s="94"/>
      <c r="BU86" s="94"/>
      <c r="BV86" s="94"/>
      <c r="BW86" s="688">
        <f t="shared" si="10"/>
        <v>0</v>
      </c>
      <c r="BX86" s="51"/>
      <c r="BY86" s="51"/>
      <c r="BZ86" s="51"/>
      <c r="CA86" s="51"/>
      <c r="CB86" s="51"/>
      <c r="CC86" s="51"/>
      <c r="CD86" s="97"/>
      <c r="CE86" s="479"/>
      <c r="CF86" s="51"/>
      <c r="CG86" s="51"/>
      <c r="CH86" s="62"/>
      <c r="CI86" s="62"/>
      <c r="CJ86" s="51"/>
      <c r="CK86" s="51"/>
      <c r="CL86" s="95"/>
      <c r="CM86" s="93"/>
      <c r="CN86" s="51"/>
      <c r="CO86" s="51"/>
      <c r="CP86" s="51"/>
      <c r="CQ86" s="51"/>
      <c r="CR86" s="51"/>
      <c r="CS86" s="51"/>
      <c r="CT86" s="51"/>
      <c r="CU86" s="95"/>
      <c r="CV86" s="93"/>
      <c r="CW86" s="51"/>
      <c r="CX86" s="51"/>
      <c r="CY86" s="51"/>
      <c r="CZ86" s="51"/>
      <c r="DA86" s="51"/>
      <c r="DB86" s="51"/>
      <c r="DC86" s="51"/>
      <c r="DD86" s="95"/>
      <c r="DE86" s="93"/>
      <c r="DF86" s="51"/>
      <c r="DG86" s="51"/>
      <c r="DH86" s="51"/>
      <c r="DI86" s="51"/>
      <c r="DJ86" s="51"/>
      <c r="DK86" s="51"/>
      <c r="DL86" s="95"/>
      <c r="DM86" s="478"/>
      <c r="DN86" s="682">
        <f t="shared" si="15"/>
        <v>0</v>
      </c>
      <c r="DO86" s="683"/>
    </row>
    <row r="87" spans="1:119" ht="25.5" customHeight="1" thickTop="1" thickBot="1" x14ac:dyDescent="0.2">
      <c r="A87" s="676">
        <f t="shared" si="11"/>
        <v>72</v>
      </c>
      <c r="B87" s="1054"/>
      <c r="C87" s="1054"/>
      <c r="D87" s="83"/>
      <c r="E87" s="954"/>
      <c r="F87" s="52"/>
      <c r="G87" s="103"/>
      <c r="H87" s="1058"/>
      <c r="I87" s="684" t="str">
        <f t="shared" si="8"/>
        <v/>
      </c>
      <c r="J87" s="685">
        <f t="shared" si="9"/>
        <v>0</v>
      </c>
      <c r="K87" s="1252"/>
      <c r="L87" s="1251"/>
      <c r="M87" s="1257"/>
      <c r="N87" s="719" t="str">
        <f t="shared" si="12"/>
        <v/>
      </c>
      <c r="O87" s="720" t="str">
        <f>IF('Set up ~ Config'!$G$32=6,IF(OR($N87=7,$N87=8,$N87=9),1,IF(OR($N87=10,$N87=11,$N87=12),2,IF(OR($N87=1,$N87=2,$N87=3),3,IF(OR($N87=4,$N87=5,$N87=6),4,"")))),IF(OR($N87=9,$N87=10,$N87=11),1,IF(OR($N87=12,$N87=1,$N87=2),2,IF(OR($N87=3,$N87=4,$N87=5),3,IF(OR($N87=6,$N87=7,$N87=8),4,"")))))</f>
        <v/>
      </c>
      <c r="P87" s="99"/>
      <c r="Q87" s="62"/>
      <c r="R87" s="62"/>
      <c r="S87" s="51"/>
      <c r="T87" s="51"/>
      <c r="U87" s="51"/>
      <c r="V87" s="51"/>
      <c r="W87" s="51"/>
      <c r="X87" s="51"/>
      <c r="Y87" s="51"/>
      <c r="Z87" s="51"/>
      <c r="AA87" s="51"/>
      <c r="AB87" s="51"/>
      <c r="AC87" s="51"/>
      <c r="AD87" s="51"/>
      <c r="AE87" s="51"/>
      <c r="AF87" s="51"/>
      <c r="AG87" s="51"/>
      <c r="AH87" s="94"/>
      <c r="AI87" s="94"/>
      <c r="AJ87" s="94"/>
      <c r="AK87" s="94"/>
      <c r="AL87" s="94"/>
      <c r="AM87" s="94"/>
      <c r="AN87" s="94"/>
      <c r="AO87" s="95"/>
      <c r="AP87" s="686">
        <f t="shared" si="13"/>
        <v>0</v>
      </c>
      <c r="AQ87" s="42"/>
      <c r="AR87" s="42"/>
      <c r="AS87" s="42"/>
      <c r="AT87" s="43"/>
      <c r="AU87" s="687">
        <f t="shared" si="14"/>
        <v>0</v>
      </c>
      <c r="AV87" s="42"/>
      <c r="AW87" s="42"/>
      <c r="AX87" s="42"/>
      <c r="AY87" s="43"/>
      <c r="AZ87" s="486"/>
      <c r="BA87" s="51"/>
      <c r="BB87" s="51"/>
      <c r="BC87" s="51"/>
      <c r="BD87" s="51"/>
      <c r="BE87" s="51"/>
      <c r="BF87" s="51"/>
      <c r="BG87" s="51"/>
      <c r="BH87" s="94"/>
      <c r="BI87" s="94"/>
      <c r="BJ87" s="94"/>
      <c r="BK87" s="94"/>
      <c r="BL87" s="94"/>
      <c r="BM87" s="483"/>
      <c r="BN87" s="94"/>
      <c r="BO87" s="94"/>
      <c r="BP87" s="94"/>
      <c r="BQ87" s="94"/>
      <c r="BR87" s="94"/>
      <c r="BS87" s="94"/>
      <c r="BT87" s="94"/>
      <c r="BU87" s="94"/>
      <c r="BV87" s="94"/>
      <c r="BW87" s="688">
        <f t="shared" si="10"/>
        <v>0</v>
      </c>
      <c r="BX87" s="51"/>
      <c r="BY87" s="51"/>
      <c r="BZ87" s="51"/>
      <c r="CA87" s="51"/>
      <c r="CB87" s="51"/>
      <c r="CC87" s="51"/>
      <c r="CD87" s="97"/>
      <c r="CE87" s="479"/>
      <c r="CF87" s="51"/>
      <c r="CG87" s="51"/>
      <c r="CH87" s="62"/>
      <c r="CI87" s="62"/>
      <c r="CJ87" s="51"/>
      <c r="CK87" s="51"/>
      <c r="CL87" s="95"/>
      <c r="CM87" s="93"/>
      <c r="CN87" s="51"/>
      <c r="CO87" s="51"/>
      <c r="CP87" s="51"/>
      <c r="CQ87" s="51"/>
      <c r="CR87" s="51"/>
      <c r="CS87" s="51"/>
      <c r="CT87" s="51"/>
      <c r="CU87" s="95"/>
      <c r="CV87" s="93"/>
      <c r="CW87" s="51"/>
      <c r="CX87" s="51"/>
      <c r="CY87" s="51"/>
      <c r="CZ87" s="51"/>
      <c r="DA87" s="51"/>
      <c r="DB87" s="51"/>
      <c r="DC87" s="51"/>
      <c r="DD87" s="95"/>
      <c r="DE87" s="93"/>
      <c r="DF87" s="51"/>
      <c r="DG87" s="51"/>
      <c r="DH87" s="51"/>
      <c r="DI87" s="51"/>
      <c r="DJ87" s="51"/>
      <c r="DK87" s="51"/>
      <c r="DL87" s="95"/>
      <c r="DM87" s="478"/>
      <c r="DN87" s="682">
        <f t="shared" si="15"/>
        <v>0</v>
      </c>
      <c r="DO87" s="683"/>
    </row>
    <row r="88" spans="1:119" ht="25.5" customHeight="1" thickTop="1" thickBot="1" x14ac:dyDescent="0.2">
      <c r="A88" s="676">
        <f t="shared" si="11"/>
        <v>73</v>
      </c>
      <c r="B88" s="1054"/>
      <c r="C88" s="1054"/>
      <c r="D88" s="83"/>
      <c r="E88" s="954"/>
      <c r="F88" s="52"/>
      <c r="G88" s="103"/>
      <c r="H88" s="1058"/>
      <c r="I88" s="684" t="str">
        <f t="shared" si="8"/>
        <v/>
      </c>
      <c r="J88" s="685">
        <f t="shared" si="9"/>
        <v>0</v>
      </c>
      <c r="K88" s="1252"/>
      <c r="L88" s="1251"/>
      <c r="M88" s="1257"/>
      <c r="N88" s="719" t="str">
        <f t="shared" si="12"/>
        <v/>
      </c>
      <c r="O88" s="720" t="str">
        <f>IF('Set up ~ Config'!$G$32=6,IF(OR($N88=7,$N88=8,$N88=9),1,IF(OR($N88=10,$N88=11,$N88=12),2,IF(OR($N88=1,$N88=2,$N88=3),3,IF(OR($N88=4,$N88=5,$N88=6),4,"")))),IF(OR($N88=9,$N88=10,$N88=11),1,IF(OR($N88=12,$N88=1,$N88=2),2,IF(OR($N88=3,$N88=4,$N88=5),3,IF(OR($N88=6,$N88=7,$N88=8),4,"")))))</f>
        <v/>
      </c>
      <c r="P88" s="99"/>
      <c r="Q88" s="62"/>
      <c r="R88" s="62"/>
      <c r="S88" s="51"/>
      <c r="T88" s="51"/>
      <c r="U88" s="51"/>
      <c r="V88" s="51"/>
      <c r="W88" s="51"/>
      <c r="X88" s="51"/>
      <c r="Y88" s="51"/>
      <c r="Z88" s="51"/>
      <c r="AA88" s="51"/>
      <c r="AB88" s="51"/>
      <c r="AC88" s="51"/>
      <c r="AD88" s="51"/>
      <c r="AE88" s="51"/>
      <c r="AF88" s="51"/>
      <c r="AG88" s="51"/>
      <c r="AH88" s="94"/>
      <c r="AI88" s="94"/>
      <c r="AJ88" s="94"/>
      <c r="AK88" s="94"/>
      <c r="AL88" s="94"/>
      <c r="AM88" s="94"/>
      <c r="AN88" s="94"/>
      <c r="AO88" s="95"/>
      <c r="AP88" s="686">
        <f t="shared" si="13"/>
        <v>0</v>
      </c>
      <c r="AQ88" s="42"/>
      <c r="AR88" s="42"/>
      <c r="AS88" s="42"/>
      <c r="AT88" s="43"/>
      <c r="AU88" s="687">
        <f t="shared" si="14"/>
        <v>0</v>
      </c>
      <c r="AV88" s="42"/>
      <c r="AW88" s="42"/>
      <c r="AX88" s="42"/>
      <c r="AY88" s="43"/>
      <c r="AZ88" s="486"/>
      <c r="BA88" s="51"/>
      <c r="BB88" s="51"/>
      <c r="BC88" s="51"/>
      <c r="BD88" s="51"/>
      <c r="BE88" s="51"/>
      <c r="BF88" s="51"/>
      <c r="BG88" s="51"/>
      <c r="BH88" s="94"/>
      <c r="BI88" s="94"/>
      <c r="BJ88" s="94"/>
      <c r="BK88" s="94"/>
      <c r="BL88" s="94"/>
      <c r="BM88" s="483"/>
      <c r="BN88" s="94"/>
      <c r="BO88" s="94"/>
      <c r="BP88" s="94"/>
      <c r="BQ88" s="94"/>
      <c r="BR88" s="94"/>
      <c r="BS88" s="94"/>
      <c r="BT88" s="94"/>
      <c r="BU88" s="94"/>
      <c r="BV88" s="94"/>
      <c r="BW88" s="688">
        <f t="shared" si="10"/>
        <v>0</v>
      </c>
      <c r="BX88" s="51"/>
      <c r="BY88" s="51"/>
      <c r="BZ88" s="51"/>
      <c r="CA88" s="51"/>
      <c r="CB88" s="51"/>
      <c r="CC88" s="51"/>
      <c r="CD88" s="97"/>
      <c r="CE88" s="479"/>
      <c r="CF88" s="51"/>
      <c r="CG88" s="51"/>
      <c r="CH88" s="62"/>
      <c r="CI88" s="62"/>
      <c r="CJ88" s="51"/>
      <c r="CK88" s="51"/>
      <c r="CL88" s="95"/>
      <c r="CM88" s="93"/>
      <c r="CN88" s="51"/>
      <c r="CO88" s="51"/>
      <c r="CP88" s="51"/>
      <c r="CQ88" s="51"/>
      <c r="CR88" s="51"/>
      <c r="CS88" s="51"/>
      <c r="CT88" s="51"/>
      <c r="CU88" s="95"/>
      <c r="CV88" s="93"/>
      <c r="CW88" s="51"/>
      <c r="CX88" s="51"/>
      <c r="CY88" s="51"/>
      <c r="CZ88" s="51"/>
      <c r="DA88" s="51"/>
      <c r="DB88" s="51"/>
      <c r="DC88" s="51"/>
      <c r="DD88" s="95"/>
      <c r="DE88" s="93"/>
      <c r="DF88" s="51"/>
      <c r="DG88" s="51"/>
      <c r="DH88" s="51"/>
      <c r="DI88" s="51"/>
      <c r="DJ88" s="51"/>
      <c r="DK88" s="51"/>
      <c r="DL88" s="95"/>
      <c r="DM88" s="478"/>
      <c r="DN88" s="682">
        <f t="shared" si="15"/>
        <v>0</v>
      </c>
      <c r="DO88" s="683"/>
    </row>
    <row r="89" spans="1:119" ht="25.5" customHeight="1" thickTop="1" thickBot="1" x14ac:dyDescent="0.2">
      <c r="A89" s="676">
        <f t="shared" si="11"/>
        <v>74</v>
      </c>
      <c r="B89" s="1054"/>
      <c r="C89" s="1054"/>
      <c r="D89" s="83"/>
      <c r="E89" s="954"/>
      <c r="F89" s="52"/>
      <c r="G89" s="103"/>
      <c r="H89" s="1058"/>
      <c r="I89" s="684" t="str">
        <f t="shared" si="8"/>
        <v/>
      </c>
      <c r="J89" s="685">
        <f t="shared" si="9"/>
        <v>0</v>
      </c>
      <c r="K89" s="1252"/>
      <c r="L89" s="1251"/>
      <c r="M89" s="1257"/>
      <c r="N89" s="719" t="str">
        <f t="shared" si="12"/>
        <v/>
      </c>
      <c r="O89" s="720" t="str">
        <f>IF('Set up ~ Config'!$G$32=6,IF(OR($N89=7,$N89=8,$N89=9),1,IF(OR($N89=10,$N89=11,$N89=12),2,IF(OR($N89=1,$N89=2,$N89=3),3,IF(OR($N89=4,$N89=5,$N89=6),4,"")))),IF(OR($N89=9,$N89=10,$N89=11),1,IF(OR($N89=12,$N89=1,$N89=2),2,IF(OR($N89=3,$N89=4,$N89=5),3,IF(OR($N89=6,$N89=7,$N89=8),4,"")))))</f>
        <v/>
      </c>
      <c r="P89" s="99"/>
      <c r="Q89" s="62"/>
      <c r="R89" s="62"/>
      <c r="S89" s="51"/>
      <c r="T89" s="51"/>
      <c r="U89" s="51"/>
      <c r="V89" s="51"/>
      <c r="W89" s="51"/>
      <c r="X89" s="51"/>
      <c r="Y89" s="51"/>
      <c r="Z89" s="51"/>
      <c r="AA89" s="51"/>
      <c r="AB89" s="51"/>
      <c r="AC89" s="51"/>
      <c r="AD89" s="51"/>
      <c r="AE89" s="51"/>
      <c r="AF89" s="51"/>
      <c r="AG89" s="51"/>
      <c r="AH89" s="94"/>
      <c r="AI89" s="94"/>
      <c r="AJ89" s="94"/>
      <c r="AK89" s="94"/>
      <c r="AL89" s="94"/>
      <c r="AM89" s="94"/>
      <c r="AN89" s="94"/>
      <c r="AO89" s="95"/>
      <c r="AP89" s="686">
        <f t="shared" si="13"/>
        <v>0</v>
      </c>
      <c r="AQ89" s="42"/>
      <c r="AR89" s="42"/>
      <c r="AS89" s="42"/>
      <c r="AT89" s="43"/>
      <c r="AU89" s="687">
        <f t="shared" si="14"/>
        <v>0</v>
      </c>
      <c r="AV89" s="42"/>
      <c r="AW89" s="42"/>
      <c r="AX89" s="42"/>
      <c r="AY89" s="43"/>
      <c r="AZ89" s="486"/>
      <c r="BA89" s="51"/>
      <c r="BB89" s="51"/>
      <c r="BC89" s="51"/>
      <c r="BD89" s="51"/>
      <c r="BE89" s="51"/>
      <c r="BF89" s="51"/>
      <c r="BG89" s="51"/>
      <c r="BH89" s="94"/>
      <c r="BI89" s="94"/>
      <c r="BJ89" s="94"/>
      <c r="BK89" s="94"/>
      <c r="BL89" s="94"/>
      <c r="BM89" s="483"/>
      <c r="BN89" s="94"/>
      <c r="BO89" s="94"/>
      <c r="BP89" s="94"/>
      <c r="BQ89" s="94"/>
      <c r="BR89" s="94"/>
      <c r="BS89" s="94"/>
      <c r="BT89" s="94"/>
      <c r="BU89" s="94"/>
      <c r="BV89" s="94"/>
      <c r="BW89" s="688">
        <f t="shared" si="10"/>
        <v>0</v>
      </c>
      <c r="BX89" s="51"/>
      <c r="BY89" s="51"/>
      <c r="BZ89" s="51"/>
      <c r="CA89" s="51"/>
      <c r="CB89" s="51"/>
      <c r="CC89" s="51"/>
      <c r="CD89" s="97"/>
      <c r="CE89" s="479"/>
      <c r="CF89" s="51"/>
      <c r="CG89" s="51"/>
      <c r="CH89" s="62"/>
      <c r="CI89" s="62"/>
      <c r="CJ89" s="51"/>
      <c r="CK89" s="51"/>
      <c r="CL89" s="95"/>
      <c r="CM89" s="93"/>
      <c r="CN89" s="51"/>
      <c r="CO89" s="51"/>
      <c r="CP89" s="51"/>
      <c r="CQ89" s="51"/>
      <c r="CR89" s="51"/>
      <c r="CS89" s="51"/>
      <c r="CT89" s="51"/>
      <c r="CU89" s="95"/>
      <c r="CV89" s="93"/>
      <c r="CW89" s="51"/>
      <c r="CX89" s="51"/>
      <c r="CY89" s="51"/>
      <c r="CZ89" s="51"/>
      <c r="DA89" s="51"/>
      <c r="DB89" s="51"/>
      <c r="DC89" s="51"/>
      <c r="DD89" s="95"/>
      <c r="DE89" s="93"/>
      <c r="DF89" s="51"/>
      <c r="DG89" s="51"/>
      <c r="DH89" s="51"/>
      <c r="DI89" s="51"/>
      <c r="DJ89" s="51"/>
      <c r="DK89" s="51"/>
      <c r="DL89" s="95"/>
      <c r="DM89" s="478"/>
      <c r="DN89" s="682">
        <f t="shared" si="15"/>
        <v>0</v>
      </c>
      <c r="DO89" s="683"/>
    </row>
    <row r="90" spans="1:119" ht="25.5" customHeight="1" thickTop="1" thickBot="1" x14ac:dyDescent="0.2">
      <c r="A90" s="676">
        <f t="shared" si="11"/>
        <v>75</v>
      </c>
      <c r="B90" s="1054"/>
      <c r="C90" s="1054"/>
      <c r="D90" s="83"/>
      <c r="E90" s="954"/>
      <c r="F90" s="52"/>
      <c r="G90" s="103"/>
      <c r="H90" s="1058"/>
      <c r="I90" s="684" t="str">
        <f t="shared" si="8"/>
        <v/>
      </c>
      <c r="J90" s="685">
        <f t="shared" si="9"/>
        <v>0</v>
      </c>
      <c r="K90" s="1252"/>
      <c r="L90" s="1251"/>
      <c r="M90" s="1257"/>
      <c r="N90" s="719" t="str">
        <f t="shared" si="12"/>
        <v/>
      </c>
      <c r="O90" s="720" t="str">
        <f>IF('Set up ~ Config'!$G$32=6,IF(OR($N90=7,$N90=8,$N90=9),1,IF(OR($N90=10,$N90=11,$N90=12),2,IF(OR($N90=1,$N90=2,$N90=3),3,IF(OR($N90=4,$N90=5,$N90=6),4,"")))),IF(OR($N90=9,$N90=10,$N90=11),1,IF(OR($N90=12,$N90=1,$N90=2),2,IF(OR($N90=3,$N90=4,$N90=5),3,IF(OR($N90=6,$N90=7,$N90=8),4,"")))))</f>
        <v/>
      </c>
      <c r="P90" s="99"/>
      <c r="Q90" s="62"/>
      <c r="R90" s="62"/>
      <c r="S90" s="51"/>
      <c r="T90" s="51"/>
      <c r="U90" s="51"/>
      <c r="V90" s="51"/>
      <c r="W90" s="51"/>
      <c r="X90" s="51"/>
      <c r="Y90" s="51"/>
      <c r="Z90" s="51"/>
      <c r="AA90" s="51"/>
      <c r="AB90" s="51"/>
      <c r="AC90" s="51"/>
      <c r="AD90" s="51"/>
      <c r="AE90" s="51"/>
      <c r="AF90" s="51"/>
      <c r="AG90" s="51"/>
      <c r="AH90" s="94"/>
      <c r="AI90" s="94"/>
      <c r="AJ90" s="94"/>
      <c r="AK90" s="94"/>
      <c r="AL90" s="94"/>
      <c r="AM90" s="94"/>
      <c r="AN90" s="94"/>
      <c r="AO90" s="95"/>
      <c r="AP90" s="686">
        <f t="shared" si="13"/>
        <v>0</v>
      </c>
      <c r="AQ90" s="42"/>
      <c r="AR90" s="42"/>
      <c r="AS90" s="42"/>
      <c r="AT90" s="43"/>
      <c r="AU90" s="687">
        <f t="shared" si="14"/>
        <v>0</v>
      </c>
      <c r="AV90" s="42"/>
      <c r="AW90" s="42"/>
      <c r="AX90" s="42"/>
      <c r="AY90" s="43"/>
      <c r="AZ90" s="486"/>
      <c r="BA90" s="51"/>
      <c r="BB90" s="51"/>
      <c r="BC90" s="51"/>
      <c r="BD90" s="51"/>
      <c r="BE90" s="51"/>
      <c r="BF90" s="51"/>
      <c r="BG90" s="51"/>
      <c r="BH90" s="94"/>
      <c r="BI90" s="94"/>
      <c r="BJ90" s="94"/>
      <c r="BK90" s="94"/>
      <c r="BL90" s="94"/>
      <c r="BM90" s="483"/>
      <c r="BN90" s="94"/>
      <c r="BO90" s="94"/>
      <c r="BP90" s="94"/>
      <c r="BQ90" s="94"/>
      <c r="BR90" s="94"/>
      <c r="BS90" s="94"/>
      <c r="BT90" s="94"/>
      <c r="BU90" s="94"/>
      <c r="BV90" s="94"/>
      <c r="BW90" s="688">
        <f t="shared" si="10"/>
        <v>0</v>
      </c>
      <c r="BX90" s="51"/>
      <c r="BY90" s="51"/>
      <c r="BZ90" s="51"/>
      <c r="CA90" s="51"/>
      <c r="CB90" s="51"/>
      <c r="CC90" s="51"/>
      <c r="CD90" s="97"/>
      <c r="CE90" s="479"/>
      <c r="CF90" s="51"/>
      <c r="CG90" s="51"/>
      <c r="CH90" s="62"/>
      <c r="CI90" s="62"/>
      <c r="CJ90" s="51"/>
      <c r="CK90" s="51"/>
      <c r="CL90" s="95"/>
      <c r="CM90" s="93"/>
      <c r="CN90" s="51"/>
      <c r="CO90" s="51"/>
      <c r="CP90" s="51"/>
      <c r="CQ90" s="51"/>
      <c r="CR90" s="51"/>
      <c r="CS90" s="51"/>
      <c r="CT90" s="51"/>
      <c r="CU90" s="95"/>
      <c r="CV90" s="93"/>
      <c r="CW90" s="51"/>
      <c r="CX90" s="51"/>
      <c r="CY90" s="51"/>
      <c r="CZ90" s="51"/>
      <c r="DA90" s="51"/>
      <c r="DB90" s="51"/>
      <c r="DC90" s="51"/>
      <c r="DD90" s="95"/>
      <c r="DE90" s="93"/>
      <c r="DF90" s="51"/>
      <c r="DG90" s="51"/>
      <c r="DH90" s="51"/>
      <c r="DI90" s="51"/>
      <c r="DJ90" s="51"/>
      <c r="DK90" s="51"/>
      <c r="DL90" s="95"/>
      <c r="DM90" s="478"/>
      <c r="DN90" s="682">
        <f t="shared" si="15"/>
        <v>0</v>
      </c>
      <c r="DO90" s="683"/>
    </row>
    <row r="91" spans="1:119" ht="25.5" customHeight="1" thickTop="1" thickBot="1" x14ac:dyDescent="0.2">
      <c r="A91" s="676">
        <f t="shared" si="11"/>
        <v>76</v>
      </c>
      <c r="B91" s="1054"/>
      <c r="C91" s="1054"/>
      <c r="D91" s="83"/>
      <c r="E91" s="954"/>
      <c r="F91" s="52"/>
      <c r="G91" s="103"/>
      <c r="H91" s="1058"/>
      <c r="I91" s="684" t="str">
        <f t="shared" si="8"/>
        <v/>
      </c>
      <c r="J91" s="685">
        <f t="shared" si="9"/>
        <v>0</v>
      </c>
      <c r="K91" s="1252"/>
      <c r="L91" s="1251"/>
      <c r="M91" s="1257"/>
      <c r="N91" s="719" t="str">
        <f t="shared" si="12"/>
        <v/>
      </c>
      <c r="O91" s="720" t="str">
        <f>IF('Set up ~ Config'!$G$32=6,IF(OR($N91=7,$N91=8,$N91=9),1,IF(OR($N91=10,$N91=11,$N91=12),2,IF(OR($N91=1,$N91=2,$N91=3),3,IF(OR($N91=4,$N91=5,$N91=6),4,"")))),IF(OR($N91=9,$N91=10,$N91=11),1,IF(OR($N91=12,$N91=1,$N91=2),2,IF(OR($N91=3,$N91=4,$N91=5),3,IF(OR($N91=6,$N91=7,$N91=8),4,"")))))</f>
        <v/>
      </c>
      <c r="P91" s="99"/>
      <c r="Q91" s="62"/>
      <c r="R91" s="62"/>
      <c r="S91" s="51"/>
      <c r="T91" s="51"/>
      <c r="U91" s="51"/>
      <c r="V91" s="51"/>
      <c r="W91" s="51"/>
      <c r="X91" s="51"/>
      <c r="Y91" s="51"/>
      <c r="Z91" s="51"/>
      <c r="AA91" s="51"/>
      <c r="AB91" s="51"/>
      <c r="AC91" s="51"/>
      <c r="AD91" s="51"/>
      <c r="AE91" s="51"/>
      <c r="AF91" s="51"/>
      <c r="AG91" s="51"/>
      <c r="AH91" s="94"/>
      <c r="AI91" s="94"/>
      <c r="AJ91" s="94"/>
      <c r="AK91" s="94"/>
      <c r="AL91" s="94"/>
      <c r="AM91" s="94"/>
      <c r="AN91" s="94"/>
      <c r="AO91" s="95"/>
      <c r="AP91" s="686">
        <f t="shared" si="13"/>
        <v>0</v>
      </c>
      <c r="AQ91" s="42"/>
      <c r="AR91" s="42"/>
      <c r="AS91" s="42"/>
      <c r="AT91" s="43"/>
      <c r="AU91" s="687">
        <f t="shared" si="14"/>
        <v>0</v>
      </c>
      <c r="AV91" s="42"/>
      <c r="AW91" s="42"/>
      <c r="AX91" s="42"/>
      <c r="AY91" s="43"/>
      <c r="AZ91" s="486"/>
      <c r="BA91" s="51"/>
      <c r="BB91" s="51"/>
      <c r="BC91" s="51"/>
      <c r="BD91" s="51"/>
      <c r="BE91" s="51"/>
      <c r="BF91" s="51"/>
      <c r="BG91" s="51"/>
      <c r="BH91" s="94"/>
      <c r="BI91" s="94"/>
      <c r="BJ91" s="94"/>
      <c r="BK91" s="94"/>
      <c r="BL91" s="94"/>
      <c r="BM91" s="483"/>
      <c r="BN91" s="94"/>
      <c r="BO91" s="94"/>
      <c r="BP91" s="94"/>
      <c r="BQ91" s="94"/>
      <c r="BR91" s="94"/>
      <c r="BS91" s="94"/>
      <c r="BT91" s="94"/>
      <c r="BU91" s="94"/>
      <c r="BV91" s="94"/>
      <c r="BW91" s="688">
        <f t="shared" si="10"/>
        <v>0</v>
      </c>
      <c r="BX91" s="51"/>
      <c r="BY91" s="51"/>
      <c r="BZ91" s="51"/>
      <c r="CA91" s="51"/>
      <c r="CB91" s="51"/>
      <c r="CC91" s="51"/>
      <c r="CD91" s="97"/>
      <c r="CE91" s="479"/>
      <c r="CF91" s="51"/>
      <c r="CG91" s="51"/>
      <c r="CH91" s="62"/>
      <c r="CI91" s="62"/>
      <c r="CJ91" s="51"/>
      <c r="CK91" s="51"/>
      <c r="CL91" s="95"/>
      <c r="CM91" s="93"/>
      <c r="CN91" s="51"/>
      <c r="CO91" s="51"/>
      <c r="CP91" s="51"/>
      <c r="CQ91" s="51"/>
      <c r="CR91" s="51"/>
      <c r="CS91" s="51"/>
      <c r="CT91" s="51"/>
      <c r="CU91" s="95"/>
      <c r="CV91" s="93"/>
      <c r="CW91" s="51"/>
      <c r="CX91" s="51"/>
      <c r="CY91" s="51"/>
      <c r="CZ91" s="51"/>
      <c r="DA91" s="51"/>
      <c r="DB91" s="51"/>
      <c r="DC91" s="51"/>
      <c r="DD91" s="95"/>
      <c r="DE91" s="93"/>
      <c r="DF91" s="51"/>
      <c r="DG91" s="51"/>
      <c r="DH91" s="51"/>
      <c r="DI91" s="51"/>
      <c r="DJ91" s="51"/>
      <c r="DK91" s="51"/>
      <c r="DL91" s="95"/>
      <c r="DM91" s="478"/>
      <c r="DN91" s="682">
        <f t="shared" si="15"/>
        <v>0</v>
      </c>
      <c r="DO91" s="683"/>
    </row>
    <row r="92" spans="1:119" ht="25.5" customHeight="1" thickTop="1" thickBot="1" x14ac:dyDescent="0.2">
      <c r="A92" s="676">
        <f t="shared" si="11"/>
        <v>77</v>
      </c>
      <c r="B92" s="1054"/>
      <c r="C92" s="1054"/>
      <c r="D92" s="83"/>
      <c r="E92" s="954"/>
      <c r="F92" s="52"/>
      <c r="G92" s="103"/>
      <c r="H92" s="1058"/>
      <c r="I92" s="684" t="str">
        <f t="shared" si="8"/>
        <v/>
      </c>
      <c r="J92" s="685">
        <f t="shared" si="9"/>
        <v>0</v>
      </c>
      <c r="K92" s="1252"/>
      <c r="L92" s="1251"/>
      <c r="M92" s="1257"/>
      <c r="N92" s="719" t="str">
        <f t="shared" si="12"/>
        <v/>
      </c>
      <c r="O92" s="720" t="str">
        <f>IF('Set up ~ Config'!$G$32=6,IF(OR($N92=7,$N92=8,$N92=9),1,IF(OR($N92=10,$N92=11,$N92=12),2,IF(OR($N92=1,$N92=2,$N92=3),3,IF(OR($N92=4,$N92=5,$N92=6),4,"")))),IF(OR($N92=9,$N92=10,$N92=11),1,IF(OR($N92=12,$N92=1,$N92=2),2,IF(OR($N92=3,$N92=4,$N92=5),3,IF(OR($N92=6,$N92=7,$N92=8),4,"")))))</f>
        <v/>
      </c>
      <c r="P92" s="99"/>
      <c r="Q92" s="62"/>
      <c r="R92" s="62"/>
      <c r="S92" s="51"/>
      <c r="T92" s="51"/>
      <c r="U92" s="51"/>
      <c r="V92" s="51"/>
      <c r="W92" s="51"/>
      <c r="X92" s="51"/>
      <c r="Y92" s="51"/>
      <c r="Z92" s="51"/>
      <c r="AA92" s="51"/>
      <c r="AB92" s="51"/>
      <c r="AC92" s="51"/>
      <c r="AD92" s="51"/>
      <c r="AE92" s="51"/>
      <c r="AF92" s="51"/>
      <c r="AG92" s="51"/>
      <c r="AH92" s="94"/>
      <c r="AI92" s="94"/>
      <c r="AJ92" s="94"/>
      <c r="AK92" s="94"/>
      <c r="AL92" s="94"/>
      <c r="AM92" s="94"/>
      <c r="AN92" s="94"/>
      <c r="AO92" s="95"/>
      <c r="AP92" s="686">
        <f t="shared" si="13"/>
        <v>0</v>
      </c>
      <c r="AQ92" s="42"/>
      <c r="AR92" s="42"/>
      <c r="AS92" s="42"/>
      <c r="AT92" s="43"/>
      <c r="AU92" s="687">
        <f t="shared" si="14"/>
        <v>0</v>
      </c>
      <c r="AV92" s="42"/>
      <c r="AW92" s="42"/>
      <c r="AX92" s="42"/>
      <c r="AY92" s="43"/>
      <c r="AZ92" s="486"/>
      <c r="BA92" s="51"/>
      <c r="BB92" s="51"/>
      <c r="BC92" s="51"/>
      <c r="BD92" s="51"/>
      <c r="BE92" s="51"/>
      <c r="BF92" s="51"/>
      <c r="BG92" s="51"/>
      <c r="BH92" s="94"/>
      <c r="BI92" s="94"/>
      <c r="BJ92" s="94"/>
      <c r="BK92" s="94"/>
      <c r="BL92" s="94"/>
      <c r="BM92" s="483"/>
      <c r="BN92" s="94"/>
      <c r="BO92" s="94"/>
      <c r="BP92" s="94"/>
      <c r="BQ92" s="94"/>
      <c r="BR92" s="94"/>
      <c r="BS92" s="94"/>
      <c r="BT92" s="94"/>
      <c r="BU92" s="94"/>
      <c r="BV92" s="94"/>
      <c r="BW92" s="688">
        <f t="shared" si="10"/>
        <v>0</v>
      </c>
      <c r="BX92" s="51"/>
      <c r="BY92" s="51"/>
      <c r="BZ92" s="51"/>
      <c r="CA92" s="51"/>
      <c r="CB92" s="51"/>
      <c r="CC92" s="51"/>
      <c r="CD92" s="97"/>
      <c r="CE92" s="479"/>
      <c r="CF92" s="51"/>
      <c r="CG92" s="51"/>
      <c r="CH92" s="62"/>
      <c r="CI92" s="62"/>
      <c r="CJ92" s="51"/>
      <c r="CK92" s="51"/>
      <c r="CL92" s="95"/>
      <c r="CM92" s="93"/>
      <c r="CN92" s="51"/>
      <c r="CO92" s="51"/>
      <c r="CP92" s="51"/>
      <c r="CQ92" s="51"/>
      <c r="CR92" s="51"/>
      <c r="CS92" s="51"/>
      <c r="CT92" s="51"/>
      <c r="CU92" s="95"/>
      <c r="CV92" s="93"/>
      <c r="CW92" s="51"/>
      <c r="CX92" s="51"/>
      <c r="CY92" s="51"/>
      <c r="CZ92" s="51"/>
      <c r="DA92" s="51"/>
      <c r="DB92" s="51"/>
      <c r="DC92" s="51"/>
      <c r="DD92" s="95"/>
      <c r="DE92" s="93"/>
      <c r="DF92" s="51"/>
      <c r="DG92" s="51"/>
      <c r="DH92" s="51"/>
      <c r="DI92" s="51"/>
      <c r="DJ92" s="51"/>
      <c r="DK92" s="51"/>
      <c r="DL92" s="95"/>
      <c r="DM92" s="478"/>
      <c r="DN92" s="682">
        <f t="shared" si="15"/>
        <v>0</v>
      </c>
      <c r="DO92" s="683"/>
    </row>
    <row r="93" spans="1:119" ht="25.5" customHeight="1" thickTop="1" thickBot="1" x14ac:dyDescent="0.2">
      <c r="A93" s="676">
        <f t="shared" si="11"/>
        <v>78</v>
      </c>
      <c r="B93" s="1054"/>
      <c r="C93" s="1054"/>
      <c r="D93" s="83"/>
      <c r="E93" s="954"/>
      <c r="F93" s="52"/>
      <c r="G93" s="103"/>
      <c r="H93" s="1058"/>
      <c r="I93" s="684" t="str">
        <f t="shared" si="8"/>
        <v/>
      </c>
      <c r="J93" s="685">
        <f t="shared" si="9"/>
        <v>0</v>
      </c>
      <c r="K93" s="1252"/>
      <c r="L93" s="1251"/>
      <c r="M93" s="1257"/>
      <c r="N93" s="719" t="str">
        <f t="shared" si="12"/>
        <v/>
      </c>
      <c r="O93" s="720" t="str">
        <f>IF('Set up ~ Config'!$G$32=6,IF(OR($N93=7,$N93=8,$N93=9),1,IF(OR($N93=10,$N93=11,$N93=12),2,IF(OR($N93=1,$N93=2,$N93=3),3,IF(OR($N93=4,$N93=5,$N93=6),4,"")))),IF(OR($N93=9,$N93=10,$N93=11),1,IF(OR($N93=12,$N93=1,$N93=2),2,IF(OR($N93=3,$N93=4,$N93=5),3,IF(OR($N93=6,$N93=7,$N93=8),4,"")))))</f>
        <v/>
      </c>
      <c r="P93" s="99"/>
      <c r="Q93" s="62"/>
      <c r="R93" s="62"/>
      <c r="S93" s="51"/>
      <c r="T93" s="51"/>
      <c r="U93" s="51"/>
      <c r="V93" s="51"/>
      <c r="W93" s="51"/>
      <c r="X93" s="51"/>
      <c r="Y93" s="51"/>
      <c r="Z93" s="51"/>
      <c r="AA93" s="51"/>
      <c r="AB93" s="51"/>
      <c r="AC93" s="51"/>
      <c r="AD93" s="51"/>
      <c r="AE93" s="51"/>
      <c r="AF93" s="51"/>
      <c r="AG93" s="51"/>
      <c r="AH93" s="94"/>
      <c r="AI93" s="94"/>
      <c r="AJ93" s="94"/>
      <c r="AK93" s="94"/>
      <c r="AL93" s="94"/>
      <c r="AM93" s="94"/>
      <c r="AN93" s="94"/>
      <c r="AO93" s="95"/>
      <c r="AP93" s="686">
        <f t="shared" si="13"/>
        <v>0</v>
      </c>
      <c r="AQ93" s="42"/>
      <c r="AR93" s="42"/>
      <c r="AS93" s="42"/>
      <c r="AT93" s="43"/>
      <c r="AU93" s="687">
        <f t="shared" si="14"/>
        <v>0</v>
      </c>
      <c r="AV93" s="42"/>
      <c r="AW93" s="42"/>
      <c r="AX93" s="42"/>
      <c r="AY93" s="43"/>
      <c r="AZ93" s="486"/>
      <c r="BA93" s="51"/>
      <c r="BB93" s="51"/>
      <c r="BC93" s="51"/>
      <c r="BD93" s="51"/>
      <c r="BE93" s="51"/>
      <c r="BF93" s="51"/>
      <c r="BG93" s="51"/>
      <c r="BH93" s="94"/>
      <c r="BI93" s="94"/>
      <c r="BJ93" s="94"/>
      <c r="BK93" s="94"/>
      <c r="BL93" s="94"/>
      <c r="BM93" s="483"/>
      <c r="BN93" s="94"/>
      <c r="BO93" s="94"/>
      <c r="BP93" s="94"/>
      <c r="BQ93" s="94"/>
      <c r="BR93" s="94"/>
      <c r="BS93" s="94"/>
      <c r="BT93" s="94"/>
      <c r="BU93" s="94"/>
      <c r="BV93" s="94"/>
      <c r="BW93" s="688">
        <f t="shared" si="10"/>
        <v>0</v>
      </c>
      <c r="BX93" s="51"/>
      <c r="BY93" s="51"/>
      <c r="BZ93" s="51"/>
      <c r="CA93" s="51"/>
      <c r="CB93" s="51"/>
      <c r="CC93" s="51"/>
      <c r="CD93" s="97"/>
      <c r="CE93" s="479"/>
      <c r="CF93" s="51"/>
      <c r="CG93" s="51"/>
      <c r="CH93" s="62"/>
      <c r="CI93" s="62"/>
      <c r="CJ93" s="51"/>
      <c r="CK93" s="51"/>
      <c r="CL93" s="95"/>
      <c r="CM93" s="93"/>
      <c r="CN93" s="51"/>
      <c r="CO93" s="51"/>
      <c r="CP93" s="51"/>
      <c r="CQ93" s="51"/>
      <c r="CR93" s="51"/>
      <c r="CS93" s="51"/>
      <c r="CT93" s="51"/>
      <c r="CU93" s="95"/>
      <c r="CV93" s="93"/>
      <c r="CW93" s="51"/>
      <c r="CX93" s="51"/>
      <c r="CY93" s="51"/>
      <c r="CZ93" s="51"/>
      <c r="DA93" s="51"/>
      <c r="DB93" s="51"/>
      <c r="DC93" s="51"/>
      <c r="DD93" s="95"/>
      <c r="DE93" s="93"/>
      <c r="DF93" s="51"/>
      <c r="DG93" s="51"/>
      <c r="DH93" s="51"/>
      <c r="DI93" s="51"/>
      <c r="DJ93" s="51"/>
      <c r="DK93" s="51"/>
      <c r="DL93" s="95"/>
      <c r="DM93" s="478"/>
      <c r="DN93" s="682">
        <f t="shared" si="15"/>
        <v>0</v>
      </c>
      <c r="DO93" s="683"/>
    </row>
    <row r="94" spans="1:119" ht="25.5" customHeight="1" thickTop="1" thickBot="1" x14ac:dyDescent="0.2">
      <c r="A94" s="676">
        <f t="shared" si="11"/>
        <v>79</v>
      </c>
      <c r="B94" s="1054"/>
      <c r="C94" s="1054"/>
      <c r="D94" s="83"/>
      <c r="E94" s="954"/>
      <c r="F94" s="52"/>
      <c r="G94" s="103"/>
      <c r="H94" s="1058"/>
      <c r="I94" s="684" t="str">
        <f t="shared" si="8"/>
        <v/>
      </c>
      <c r="J94" s="685">
        <f t="shared" si="9"/>
        <v>0</v>
      </c>
      <c r="K94" s="1252"/>
      <c r="L94" s="1251"/>
      <c r="M94" s="1257"/>
      <c r="N94" s="719" t="str">
        <f t="shared" si="12"/>
        <v/>
      </c>
      <c r="O94" s="720" t="str">
        <f>IF('Set up ~ Config'!$G$32=6,IF(OR($N94=7,$N94=8,$N94=9),1,IF(OR($N94=10,$N94=11,$N94=12),2,IF(OR($N94=1,$N94=2,$N94=3),3,IF(OR($N94=4,$N94=5,$N94=6),4,"")))),IF(OR($N94=9,$N94=10,$N94=11),1,IF(OR($N94=12,$N94=1,$N94=2),2,IF(OR($N94=3,$N94=4,$N94=5),3,IF(OR($N94=6,$N94=7,$N94=8),4,"")))))</f>
        <v/>
      </c>
      <c r="P94" s="99"/>
      <c r="Q94" s="62"/>
      <c r="R94" s="62"/>
      <c r="S94" s="51"/>
      <c r="T94" s="51"/>
      <c r="U94" s="51"/>
      <c r="V94" s="51"/>
      <c r="W94" s="51"/>
      <c r="X94" s="51"/>
      <c r="Y94" s="51"/>
      <c r="Z94" s="51"/>
      <c r="AA94" s="51"/>
      <c r="AB94" s="51"/>
      <c r="AC94" s="51"/>
      <c r="AD94" s="51"/>
      <c r="AE94" s="51"/>
      <c r="AF94" s="51"/>
      <c r="AG94" s="51"/>
      <c r="AH94" s="94"/>
      <c r="AI94" s="94"/>
      <c r="AJ94" s="94"/>
      <c r="AK94" s="94"/>
      <c r="AL94" s="94"/>
      <c r="AM94" s="94"/>
      <c r="AN94" s="94"/>
      <c r="AO94" s="95"/>
      <c r="AP94" s="686">
        <f t="shared" si="13"/>
        <v>0</v>
      </c>
      <c r="AQ94" s="42"/>
      <c r="AR94" s="42"/>
      <c r="AS94" s="42"/>
      <c r="AT94" s="43"/>
      <c r="AU94" s="687">
        <f t="shared" si="14"/>
        <v>0</v>
      </c>
      <c r="AV94" s="42"/>
      <c r="AW94" s="42"/>
      <c r="AX94" s="42"/>
      <c r="AY94" s="43"/>
      <c r="AZ94" s="486"/>
      <c r="BA94" s="51"/>
      <c r="BB94" s="51"/>
      <c r="BC94" s="51"/>
      <c r="BD94" s="51"/>
      <c r="BE94" s="51"/>
      <c r="BF94" s="51"/>
      <c r="BG94" s="51"/>
      <c r="BH94" s="94"/>
      <c r="BI94" s="94"/>
      <c r="BJ94" s="94"/>
      <c r="BK94" s="94"/>
      <c r="BL94" s="94"/>
      <c r="BM94" s="483"/>
      <c r="BN94" s="94"/>
      <c r="BO94" s="94"/>
      <c r="BP94" s="94"/>
      <c r="BQ94" s="94"/>
      <c r="BR94" s="94"/>
      <c r="BS94" s="94"/>
      <c r="BT94" s="94"/>
      <c r="BU94" s="94"/>
      <c r="BV94" s="94"/>
      <c r="BW94" s="688">
        <f t="shared" si="10"/>
        <v>0</v>
      </c>
      <c r="BX94" s="51"/>
      <c r="BY94" s="51"/>
      <c r="BZ94" s="51"/>
      <c r="CA94" s="51"/>
      <c r="CB94" s="51"/>
      <c r="CC94" s="51"/>
      <c r="CD94" s="97"/>
      <c r="CE94" s="479"/>
      <c r="CF94" s="51"/>
      <c r="CG94" s="51"/>
      <c r="CH94" s="62"/>
      <c r="CI94" s="62"/>
      <c r="CJ94" s="51"/>
      <c r="CK94" s="51"/>
      <c r="CL94" s="95"/>
      <c r="CM94" s="93"/>
      <c r="CN94" s="51"/>
      <c r="CO94" s="51"/>
      <c r="CP94" s="51"/>
      <c r="CQ94" s="51"/>
      <c r="CR94" s="51"/>
      <c r="CS94" s="51"/>
      <c r="CT94" s="51"/>
      <c r="CU94" s="95"/>
      <c r="CV94" s="93"/>
      <c r="CW94" s="51"/>
      <c r="CX94" s="51"/>
      <c r="CY94" s="51"/>
      <c r="CZ94" s="51"/>
      <c r="DA94" s="51"/>
      <c r="DB94" s="51"/>
      <c r="DC94" s="51"/>
      <c r="DD94" s="95"/>
      <c r="DE94" s="93"/>
      <c r="DF94" s="51"/>
      <c r="DG94" s="51"/>
      <c r="DH94" s="51"/>
      <c r="DI94" s="51"/>
      <c r="DJ94" s="51"/>
      <c r="DK94" s="51"/>
      <c r="DL94" s="95"/>
      <c r="DM94" s="478"/>
      <c r="DN94" s="682">
        <f t="shared" si="15"/>
        <v>0</v>
      </c>
      <c r="DO94" s="683"/>
    </row>
    <row r="95" spans="1:119" ht="25.5" customHeight="1" thickTop="1" thickBot="1" x14ac:dyDescent="0.2">
      <c r="A95" s="676">
        <f t="shared" si="11"/>
        <v>80</v>
      </c>
      <c r="B95" s="1054"/>
      <c r="C95" s="1054"/>
      <c r="D95" s="83"/>
      <c r="E95" s="954"/>
      <c r="F95" s="52"/>
      <c r="G95" s="103"/>
      <c r="H95" s="1058"/>
      <c r="I95" s="684" t="str">
        <f t="shared" si="8"/>
        <v/>
      </c>
      <c r="J95" s="685">
        <f t="shared" si="9"/>
        <v>0</v>
      </c>
      <c r="K95" s="1252"/>
      <c r="L95" s="1251"/>
      <c r="M95" s="1257"/>
      <c r="N95" s="719" t="str">
        <f t="shared" si="12"/>
        <v/>
      </c>
      <c r="O95" s="720" t="str">
        <f>IF('Set up ~ Config'!$G$32=6,IF(OR($N95=7,$N95=8,$N95=9),1,IF(OR($N95=10,$N95=11,$N95=12),2,IF(OR($N95=1,$N95=2,$N95=3),3,IF(OR($N95=4,$N95=5,$N95=6),4,"")))),IF(OR($N95=9,$N95=10,$N95=11),1,IF(OR($N95=12,$N95=1,$N95=2),2,IF(OR($N95=3,$N95=4,$N95=5),3,IF(OR($N95=6,$N95=7,$N95=8),4,"")))))</f>
        <v/>
      </c>
      <c r="P95" s="99"/>
      <c r="Q95" s="62"/>
      <c r="R95" s="62"/>
      <c r="S95" s="51"/>
      <c r="T95" s="51"/>
      <c r="U95" s="51"/>
      <c r="V95" s="51"/>
      <c r="W95" s="51"/>
      <c r="X95" s="51"/>
      <c r="Y95" s="51"/>
      <c r="Z95" s="51"/>
      <c r="AA95" s="51"/>
      <c r="AB95" s="51"/>
      <c r="AC95" s="51"/>
      <c r="AD95" s="51"/>
      <c r="AE95" s="51"/>
      <c r="AF95" s="51"/>
      <c r="AG95" s="51"/>
      <c r="AH95" s="94"/>
      <c r="AI95" s="94"/>
      <c r="AJ95" s="94"/>
      <c r="AK95" s="94"/>
      <c r="AL95" s="94"/>
      <c r="AM95" s="94"/>
      <c r="AN95" s="94"/>
      <c r="AO95" s="95"/>
      <c r="AP95" s="686">
        <f t="shared" si="13"/>
        <v>0</v>
      </c>
      <c r="AQ95" s="42"/>
      <c r="AR95" s="42"/>
      <c r="AS95" s="42"/>
      <c r="AT95" s="43"/>
      <c r="AU95" s="687">
        <f t="shared" si="14"/>
        <v>0</v>
      </c>
      <c r="AV95" s="42"/>
      <c r="AW95" s="42"/>
      <c r="AX95" s="42"/>
      <c r="AY95" s="43"/>
      <c r="AZ95" s="486"/>
      <c r="BA95" s="51"/>
      <c r="BB95" s="51"/>
      <c r="BC95" s="51"/>
      <c r="BD95" s="51"/>
      <c r="BE95" s="51"/>
      <c r="BF95" s="51"/>
      <c r="BG95" s="51"/>
      <c r="BH95" s="94"/>
      <c r="BI95" s="94"/>
      <c r="BJ95" s="94"/>
      <c r="BK95" s="94"/>
      <c r="BL95" s="94"/>
      <c r="BM95" s="483"/>
      <c r="BN95" s="94"/>
      <c r="BO95" s="94"/>
      <c r="BP95" s="94"/>
      <c r="BQ95" s="94"/>
      <c r="BR95" s="94"/>
      <c r="BS95" s="94"/>
      <c r="BT95" s="94"/>
      <c r="BU95" s="94"/>
      <c r="BV95" s="94"/>
      <c r="BW95" s="688">
        <f t="shared" si="10"/>
        <v>0</v>
      </c>
      <c r="BX95" s="51"/>
      <c r="BY95" s="51"/>
      <c r="BZ95" s="51"/>
      <c r="CA95" s="51"/>
      <c r="CB95" s="51"/>
      <c r="CC95" s="51"/>
      <c r="CD95" s="97"/>
      <c r="CE95" s="479"/>
      <c r="CF95" s="51"/>
      <c r="CG95" s="51"/>
      <c r="CH95" s="62"/>
      <c r="CI95" s="62"/>
      <c r="CJ95" s="51"/>
      <c r="CK95" s="51"/>
      <c r="CL95" s="95"/>
      <c r="CM95" s="93"/>
      <c r="CN95" s="51"/>
      <c r="CO95" s="51"/>
      <c r="CP95" s="51"/>
      <c r="CQ95" s="51"/>
      <c r="CR95" s="51"/>
      <c r="CS95" s="51"/>
      <c r="CT95" s="51"/>
      <c r="CU95" s="95"/>
      <c r="CV95" s="93"/>
      <c r="CW95" s="51"/>
      <c r="CX95" s="51"/>
      <c r="CY95" s="51"/>
      <c r="CZ95" s="51"/>
      <c r="DA95" s="51"/>
      <c r="DB95" s="51"/>
      <c r="DC95" s="51"/>
      <c r="DD95" s="95"/>
      <c r="DE95" s="93"/>
      <c r="DF95" s="51"/>
      <c r="DG95" s="51"/>
      <c r="DH95" s="51"/>
      <c r="DI95" s="51"/>
      <c r="DJ95" s="51"/>
      <c r="DK95" s="51"/>
      <c r="DL95" s="95"/>
      <c r="DM95" s="478"/>
      <c r="DN95" s="682">
        <f t="shared" si="15"/>
        <v>0</v>
      </c>
      <c r="DO95" s="683"/>
    </row>
    <row r="96" spans="1:119" ht="25.5" customHeight="1" thickTop="1" thickBot="1" x14ac:dyDescent="0.2">
      <c r="A96" s="676">
        <f t="shared" si="11"/>
        <v>81</v>
      </c>
      <c r="B96" s="1054"/>
      <c r="C96" s="1054"/>
      <c r="D96" s="83"/>
      <c r="E96" s="954"/>
      <c r="F96" s="52"/>
      <c r="G96" s="103"/>
      <c r="H96" s="1058"/>
      <c r="I96" s="684" t="str">
        <f t="shared" si="8"/>
        <v/>
      </c>
      <c r="J96" s="685">
        <f t="shared" si="9"/>
        <v>0</v>
      </c>
      <c r="K96" s="1252"/>
      <c r="L96" s="1251"/>
      <c r="M96" s="1257"/>
      <c r="N96" s="719" t="str">
        <f t="shared" si="12"/>
        <v/>
      </c>
      <c r="O96" s="720" t="str">
        <f>IF('Set up ~ Config'!$G$32=6,IF(OR($N96=7,$N96=8,$N96=9),1,IF(OR($N96=10,$N96=11,$N96=12),2,IF(OR($N96=1,$N96=2,$N96=3),3,IF(OR($N96=4,$N96=5,$N96=6),4,"")))),IF(OR($N96=9,$N96=10,$N96=11),1,IF(OR($N96=12,$N96=1,$N96=2),2,IF(OR($N96=3,$N96=4,$N96=5),3,IF(OR($N96=6,$N96=7,$N96=8),4,"")))))</f>
        <v/>
      </c>
      <c r="P96" s="99"/>
      <c r="Q96" s="62"/>
      <c r="R96" s="62"/>
      <c r="S96" s="51"/>
      <c r="T96" s="51"/>
      <c r="U96" s="51"/>
      <c r="V96" s="51"/>
      <c r="W96" s="51"/>
      <c r="X96" s="51"/>
      <c r="Y96" s="51"/>
      <c r="Z96" s="51"/>
      <c r="AA96" s="51"/>
      <c r="AB96" s="51"/>
      <c r="AC96" s="51"/>
      <c r="AD96" s="51"/>
      <c r="AE96" s="51"/>
      <c r="AF96" s="51"/>
      <c r="AG96" s="51"/>
      <c r="AH96" s="94"/>
      <c r="AI96" s="94"/>
      <c r="AJ96" s="94"/>
      <c r="AK96" s="94"/>
      <c r="AL96" s="94"/>
      <c r="AM96" s="94"/>
      <c r="AN96" s="94"/>
      <c r="AO96" s="95"/>
      <c r="AP96" s="686">
        <f t="shared" si="13"/>
        <v>0</v>
      </c>
      <c r="AQ96" s="42"/>
      <c r="AR96" s="42"/>
      <c r="AS96" s="42"/>
      <c r="AT96" s="43"/>
      <c r="AU96" s="687">
        <f t="shared" si="14"/>
        <v>0</v>
      </c>
      <c r="AV96" s="42"/>
      <c r="AW96" s="42"/>
      <c r="AX96" s="42"/>
      <c r="AY96" s="43"/>
      <c r="AZ96" s="486"/>
      <c r="BA96" s="51"/>
      <c r="BB96" s="51"/>
      <c r="BC96" s="51"/>
      <c r="BD96" s="51"/>
      <c r="BE96" s="51"/>
      <c r="BF96" s="51"/>
      <c r="BG96" s="51"/>
      <c r="BH96" s="94"/>
      <c r="BI96" s="94"/>
      <c r="BJ96" s="94"/>
      <c r="BK96" s="94"/>
      <c r="BL96" s="94"/>
      <c r="BM96" s="483"/>
      <c r="BN96" s="94"/>
      <c r="BO96" s="94"/>
      <c r="BP96" s="94"/>
      <c r="BQ96" s="94"/>
      <c r="BR96" s="94"/>
      <c r="BS96" s="94"/>
      <c r="BT96" s="94"/>
      <c r="BU96" s="94"/>
      <c r="BV96" s="94"/>
      <c r="BW96" s="688">
        <f t="shared" si="10"/>
        <v>0</v>
      </c>
      <c r="BX96" s="51"/>
      <c r="BY96" s="51"/>
      <c r="BZ96" s="51"/>
      <c r="CA96" s="51"/>
      <c r="CB96" s="51"/>
      <c r="CC96" s="51"/>
      <c r="CD96" s="97"/>
      <c r="CE96" s="479"/>
      <c r="CF96" s="51"/>
      <c r="CG96" s="51"/>
      <c r="CH96" s="62"/>
      <c r="CI96" s="62"/>
      <c r="CJ96" s="51"/>
      <c r="CK96" s="51"/>
      <c r="CL96" s="95"/>
      <c r="CM96" s="93"/>
      <c r="CN96" s="51"/>
      <c r="CO96" s="51"/>
      <c r="CP96" s="51"/>
      <c r="CQ96" s="51"/>
      <c r="CR96" s="51"/>
      <c r="CS96" s="51"/>
      <c r="CT96" s="51"/>
      <c r="CU96" s="95"/>
      <c r="CV96" s="93"/>
      <c r="CW96" s="51"/>
      <c r="CX96" s="51"/>
      <c r="CY96" s="51"/>
      <c r="CZ96" s="51"/>
      <c r="DA96" s="51"/>
      <c r="DB96" s="51"/>
      <c r="DC96" s="51"/>
      <c r="DD96" s="95"/>
      <c r="DE96" s="93"/>
      <c r="DF96" s="51"/>
      <c r="DG96" s="51"/>
      <c r="DH96" s="51"/>
      <c r="DI96" s="51"/>
      <c r="DJ96" s="51"/>
      <c r="DK96" s="51"/>
      <c r="DL96" s="95"/>
      <c r="DM96" s="478"/>
      <c r="DN96" s="682">
        <f t="shared" si="15"/>
        <v>0</v>
      </c>
      <c r="DO96" s="683"/>
    </row>
    <row r="97" spans="1:119" ht="25.5" customHeight="1" thickTop="1" thickBot="1" x14ac:dyDescent="0.2">
      <c r="A97" s="676">
        <f t="shared" si="11"/>
        <v>82</v>
      </c>
      <c r="B97" s="1054"/>
      <c r="C97" s="1054"/>
      <c r="D97" s="83"/>
      <c r="E97" s="954"/>
      <c r="F97" s="52"/>
      <c r="G97" s="103"/>
      <c r="H97" s="1058"/>
      <c r="I97" s="684" t="str">
        <f t="shared" si="8"/>
        <v/>
      </c>
      <c r="J97" s="685">
        <f t="shared" si="9"/>
        <v>0</v>
      </c>
      <c r="K97" s="1252"/>
      <c r="L97" s="1251"/>
      <c r="M97" s="1257"/>
      <c r="N97" s="719" t="str">
        <f t="shared" si="12"/>
        <v/>
      </c>
      <c r="O97" s="720" t="str">
        <f>IF('Set up ~ Config'!$G$32=6,IF(OR($N97=7,$N97=8,$N97=9),1,IF(OR($N97=10,$N97=11,$N97=12),2,IF(OR($N97=1,$N97=2,$N97=3),3,IF(OR($N97=4,$N97=5,$N97=6),4,"")))),IF(OR($N97=9,$N97=10,$N97=11),1,IF(OR($N97=12,$N97=1,$N97=2),2,IF(OR($N97=3,$N97=4,$N97=5),3,IF(OR($N97=6,$N97=7,$N97=8),4,"")))))</f>
        <v/>
      </c>
      <c r="P97" s="99"/>
      <c r="Q97" s="62"/>
      <c r="R97" s="62"/>
      <c r="S97" s="51"/>
      <c r="T97" s="51"/>
      <c r="U97" s="51"/>
      <c r="V97" s="51"/>
      <c r="W97" s="51"/>
      <c r="X97" s="51"/>
      <c r="Y97" s="51"/>
      <c r="Z97" s="51"/>
      <c r="AA97" s="51"/>
      <c r="AB97" s="51"/>
      <c r="AC97" s="51"/>
      <c r="AD97" s="51"/>
      <c r="AE97" s="51"/>
      <c r="AF97" s="51"/>
      <c r="AG97" s="51"/>
      <c r="AH97" s="94"/>
      <c r="AI97" s="94"/>
      <c r="AJ97" s="94"/>
      <c r="AK97" s="94"/>
      <c r="AL97" s="94"/>
      <c r="AM97" s="94"/>
      <c r="AN97" s="94"/>
      <c r="AO97" s="95"/>
      <c r="AP97" s="686">
        <f t="shared" si="13"/>
        <v>0</v>
      </c>
      <c r="AQ97" s="42"/>
      <c r="AR97" s="42"/>
      <c r="AS97" s="42"/>
      <c r="AT97" s="43"/>
      <c r="AU97" s="687">
        <f t="shared" si="14"/>
        <v>0</v>
      </c>
      <c r="AV97" s="42"/>
      <c r="AW97" s="42"/>
      <c r="AX97" s="42"/>
      <c r="AY97" s="43"/>
      <c r="AZ97" s="486"/>
      <c r="BA97" s="51"/>
      <c r="BB97" s="51"/>
      <c r="BC97" s="51"/>
      <c r="BD97" s="51"/>
      <c r="BE97" s="51"/>
      <c r="BF97" s="51"/>
      <c r="BG97" s="51"/>
      <c r="BH97" s="94"/>
      <c r="BI97" s="94"/>
      <c r="BJ97" s="94"/>
      <c r="BK97" s="94"/>
      <c r="BL97" s="94"/>
      <c r="BM97" s="483"/>
      <c r="BN97" s="94"/>
      <c r="BO97" s="94"/>
      <c r="BP97" s="94"/>
      <c r="BQ97" s="94"/>
      <c r="BR97" s="94"/>
      <c r="BS97" s="94"/>
      <c r="BT97" s="94"/>
      <c r="BU97" s="94"/>
      <c r="BV97" s="94"/>
      <c r="BW97" s="688">
        <f t="shared" si="10"/>
        <v>0</v>
      </c>
      <c r="BX97" s="51"/>
      <c r="BY97" s="51"/>
      <c r="BZ97" s="51"/>
      <c r="CA97" s="51"/>
      <c r="CB97" s="51"/>
      <c r="CC97" s="51"/>
      <c r="CD97" s="97"/>
      <c r="CE97" s="479"/>
      <c r="CF97" s="51"/>
      <c r="CG97" s="51"/>
      <c r="CH97" s="62"/>
      <c r="CI97" s="62"/>
      <c r="CJ97" s="51"/>
      <c r="CK97" s="51"/>
      <c r="CL97" s="95"/>
      <c r="CM97" s="93"/>
      <c r="CN97" s="51"/>
      <c r="CO97" s="51"/>
      <c r="CP97" s="51"/>
      <c r="CQ97" s="51"/>
      <c r="CR97" s="51"/>
      <c r="CS97" s="51"/>
      <c r="CT97" s="51"/>
      <c r="CU97" s="95"/>
      <c r="CV97" s="93"/>
      <c r="CW97" s="51"/>
      <c r="CX97" s="51"/>
      <c r="CY97" s="51"/>
      <c r="CZ97" s="51"/>
      <c r="DA97" s="51"/>
      <c r="DB97" s="51"/>
      <c r="DC97" s="51"/>
      <c r="DD97" s="95"/>
      <c r="DE97" s="93"/>
      <c r="DF97" s="51"/>
      <c r="DG97" s="51"/>
      <c r="DH97" s="51"/>
      <c r="DI97" s="51"/>
      <c r="DJ97" s="51"/>
      <c r="DK97" s="51"/>
      <c r="DL97" s="95"/>
      <c r="DM97" s="478"/>
      <c r="DN97" s="682">
        <f t="shared" si="15"/>
        <v>0</v>
      </c>
      <c r="DO97" s="683"/>
    </row>
    <row r="98" spans="1:119" ht="25.5" customHeight="1" thickTop="1" thickBot="1" x14ac:dyDescent="0.2">
      <c r="A98" s="676">
        <f t="shared" si="11"/>
        <v>83</v>
      </c>
      <c r="B98" s="1054"/>
      <c r="C98" s="1054"/>
      <c r="D98" s="83"/>
      <c r="E98" s="954"/>
      <c r="F98" s="52"/>
      <c r="G98" s="103"/>
      <c r="H98" s="1058"/>
      <c r="I98" s="684" t="str">
        <f t="shared" si="8"/>
        <v/>
      </c>
      <c r="J98" s="685">
        <f t="shared" si="9"/>
        <v>0</v>
      </c>
      <c r="K98" s="1252"/>
      <c r="L98" s="1251"/>
      <c r="M98" s="1257"/>
      <c r="N98" s="719" t="str">
        <f t="shared" si="12"/>
        <v/>
      </c>
      <c r="O98" s="720" t="str">
        <f>IF('Set up ~ Config'!$G$32=6,IF(OR($N98=7,$N98=8,$N98=9),1,IF(OR($N98=10,$N98=11,$N98=12),2,IF(OR($N98=1,$N98=2,$N98=3),3,IF(OR($N98=4,$N98=5,$N98=6),4,"")))),IF(OR($N98=9,$N98=10,$N98=11),1,IF(OR($N98=12,$N98=1,$N98=2),2,IF(OR($N98=3,$N98=4,$N98=5),3,IF(OR($N98=6,$N98=7,$N98=8),4,"")))))</f>
        <v/>
      </c>
      <c r="P98" s="99"/>
      <c r="Q98" s="62"/>
      <c r="R98" s="62"/>
      <c r="S98" s="51"/>
      <c r="T98" s="51"/>
      <c r="U98" s="51"/>
      <c r="V98" s="51"/>
      <c r="W98" s="51"/>
      <c r="X98" s="51"/>
      <c r="Y98" s="51"/>
      <c r="Z98" s="51"/>
      <c r="AA98" s="51"/>
      <c r="AB98" s="51"/>
      <c r="AC98" s="51"/>
      <c r="AD98" s="51"/>
      <c r="AE98" s="51"/>
      <c r="AF98" s="51"/>
      <c r="AG98" s="51"/>
      <c r="AH98" s="94"/>
      <c r="AI98" s="94"/>
      <c r="AJ98" s="94"/>
      <c r="AK98" s="94"/>
      <c r="AL98" s="94"/>
      <c r="AM98" s="94"/>
      <c r="AN98" s="94"/>
      <c r="AO98" s="95"/>
      <c r="AP98" s="686">
        <f t="shared" si="13"/>
        <v>0</v>
      </c>
      <c r="AQ98" s="42"/>
      <c r="AR98" s="42"/>
      <c r="AS98" s="42"/>
      <c r="AT98" s="43"/>
      <c r="AU98" s="687">
        <f t="shared" si="14"/>
        <v>0</v>
      </c>
      <c r="AV98" s="42"/>
      <c r="AW98" s="42"/>
      <c r="AX98" s="42"/>
      <c r="AY98" s="43"/>
      <c r="AZ98" s="486"/>
      <c r="BA98" s="51"/>
      <c r="BB98" s="51"/>
      <c r="BC98" s="51"/>
      <c r="BD98" s="51"/>
      <c r="BE98" s="51"/>
      <c r="BF98" s="51"/>
      <c r="BG98" s="51"/>
      <c r="BH98" s="94"/>
      <c r="BI98" s="94"/>
      <c r="BJ98" s="94"/>
      <c r="BK98" s="94"/>
      <c r="BL98" s="94"/>
      <c r="BM98" s="483"/>
      <c r="BN98" s="94"/>
      <c r="BO98" s="94"/>
      <c r="BP98" s="94"/>
      <c r="BQ98" s="94"/>
      <c r="BR98" s="94"/>
      <c r="BS98" s="94"/>
      <c r="BT98" s="94"/>
      <c r="BU98" s="94"/>
      <c r="BV98" s="94"/>
      <c r="BW98" s="688">
        <f t="shared" si="10"/>
        <v>0</v>
      </c>
      <c r="BX98" s="51"/>
      <c r="BY98" s="51"/>
      <c r="BZ98" s="51"/>
      <c r="CA98" s="51"/>
      <c r="CB98" s="51"/>
      <c r="CC98" s="51"/>
      <c r="CD98" s="97"/>
      <c r="CE98" s="479"/>
      <c r="CF98" s="51"/>
      <c r="CG98" s="51"/>
      <c r="CH98" s="62"/>
      <c r="CI98" s="62"/>
      <c r="CJ98" s="51"/>
      <c r="CK98" s="51"/>
      <c r="CL98" s="95"/>
      <c r="CM98" s="93"/>
      <c r="CN98" s="51"/>
      <c r="CO98" s="51"/>
      <c r="CP98" s="51"/>
      <c r="CQ98" s="51"/>
      <c r="CR98" s="51"/>
      <c r="CS98" s="51"/>
      <c r="CT98" s="51"/>
      <c r="CU98" s="95"/>
      <c r="CV98" s="93"/>
      <c r="CW98" s="51"/>
      <c r="CX98" s="51"/>
      <c r="CY98" s="51"/>
      <c r="CZ98" s="51"/>
      <c r="DA98" s="51"/>
      <c r="DB98" s="51"/>
      <c r="DC98" s="51"/>
      <c r="DD98" s="95"/>
      <c r="DE98" s="93"/>
      <c r="DF98" s="51"/>
      <c r="DG98" s="51"/>
      <c r="DH98" s="51"/>
      <c r="DI98" s="51"/>
      <c r="DJ98" s="51"/>
      <c r="DK98" s="51"/>
      <c r="DL98" s="95"/>
      <c r="DM98" s="478"/>
      <c r="DN98" s="682">
        <f t="shared" si="15"/>
        <v>0</v>
      </c>
      <c r="DO98" s="683"/>
    </row>
    <row r="99" spans="1:119" ht="25.5" customHeight="1" thickTop="1" thickBot="1" x14ac:dyDescent="0.2">
      <c r="A99" s="676">
        <f t="shared" si="11"/>
        <v>84</v>
      </c>
      <c r="B99" s="1054"/>
      <c r="C99" s="1054"/>
      <c r="D99" s="83"/>
      <c r="E99" s="954"/>
      <c r="F99" s="52"/>
      <c r="G99" s="103"/>
      <c r="H99" s="1058"/>
      <c r="I99" s="684" t="str">
        <f t="shared" si="8"/>
        <v/>
      </c>
      <c r="J99" s="685">
        <f t="shared" si="9"/>
        <v>0</v>
      </c>
      <c r="K99" s="1252"/>
      <c r="L99" s="1251"/>
      <c r="M99" s="1257"/>
      <c r="N99" s="719" t="str">
        <f t="shared" si="12"/>
        <v/>
      </c>
      <c r="O99" s="720" t="str">
        <f>IF('Set up ~ Config'!$G$32=6,IF(OR($N99=7,$N99=8,$N99=9),1,IF(OR($N99=10,$N99=11,$N99=12),2,IF(OR($N99=1,$N99=2,$N99=3),3,IF(OR($N99=4,$N99=5,$N99=6),4,"")))),IF(OR($N99=9,$N99=10,$N99=11),1,IF(OR($N99=12,$N99=1,$N99=2),2,IF(OR($N99=3,$N99=4,$N99=5),3,IF(OR($N99=6,$N99=7,$N99=8),4,"")))))</f>
        <v/>
      </c>
      <c r="P99" s="99"/>
      <c r="Q99" s="62"/>
      <c r="R99" s="62"/>
      <c r="S99" s="51"/>
      <c r="T99" s="51"/>
      <c r="U99" s="51"/>
      <c r="V99" s="51"/>
      <c r="W99" s="51"/>
      <c r="X99" s="51"/>
      <c r="Y99" s="51"/>
      <c r="Z99" s="51"/>
      <c r="AA99" s="51"/>
      <c r="AB99" s="51"/>
      <c r="AC99" s="51"/>
      <c r="AD99" s="51"/>
      <c r="AE99" s="51"/>
      <c r="AF99" s="51"/>
      <c r="AG99" s="51"/>
      <c r="AH99" s="94"/>
      <c r="AI99" s="94"/>
      <c r="AJ99" s="94"/>
      <c r="AK99" s="94"/>
      <c r="AL99" s="94"/>
      <c r="AM99" s="94"/>
      <c r="AN99" s="94"/>
      <c r="AO99" s="95"/>
      <c r="AP99" s="686">
        <f t="shared" si="13"/>
        <v>0</v>
      </c>
      <c r="AQ99" s="42"/>
      <c r="AR99" s="42"/>
      <c r="AS99" s="42"/>
      <c r="AT99" s="43"/>
      <c r="AU99" s="687">
        <f t="shared" si="14"/>
        <v>0</v>
      </c>
      <c r="AV99" s="42"/>
      <c r="AW99" s="42"/>
      <c r="AX99" s="42"/>
      <c r="AY99" s="43"/>
      <c r="AZ99" s="486"/>
      <c r="BA99" s="51"/>
      <c r="BB99" s="51"/>
      <c r="BC99" s="51"/>
      <c r="BD99" s="51"/>
      <c r="BE99" s="51"/>
      <c r="BF99" s="51"/>
      <c r="BG99" s="51"/>
      <c r="BH99" s="94"/>
      <c r="BI99" s="94"/>
      <c r="BJ99" s="94"/>
      <c r="BK99" s="94"/>
      <c r="BL99" s="94"/>
      <c r="BM99" s="483"/>
      <c r="BN99" s="94"/>
      <c r="BO99" s="94"/>
      <c r="BP99" s="94"/>
      <c r="BQ99" s="94"/>
      <c r="BR99" s="94"/>
      <c r="BS99" s="94"/>
      <c r="BT99" s="94"/>
      <c r="BU99" s="94"/>
      <c r="BV99" s="94"/>
      <c r="BW99" s="688">
        <f t="shared" si="10"/>
        <v>0</v>
      </c>
      <c r="BX99" s="51"/>
      <c r="BY99" s="51"/>
      <c r="BZ99" s="51"/>
      <c r="CA99" s="51"/>
      <c r="CB99" s="51"/>
      <c r="CC99" s="51"/>
      <c r="CD99" s="97"/>
      <c r="CE99" s="479"/>
      <c r="CF99" s="51"/>
      <c r="CG99" s="51"/>
      <c r="CH99" s="62"/>
      <c r="CI99" s="62"/>
      <c r="CJ99" s="51"/>
      <c r="CK99" s="51"/>
      <c r="CL99" s="95"/>
      <c r="CM99" s="93"/>
      <c r="CN99" s="51"/>
      <c r="CO99" s="51"/>
      <c r="CP99" s="51"/>
      <c r="CQ99" s="51"/>
      <c r="CR99" s="51"/>
      <c r="CS99" s="51"/>
      <c r="CT99" s="51"/>
      <c r="CU99" s="95"/>
      <c r="CV99" s="93"/>
      <c r="CW99" s="51"/>
      <c r="CX99" s="51"/>
      <c r="CY99" s="51"/>
      <c r="CZ99" s="51"/>
      <c r="DA99" s="51"/>
      <c r="DB99" s="51"/>
      <c r="DC99" s="51"/>
      <c r="DD99" s="95"/>
      <c r="DE99" s="93"/>
      <c r="DF99" s="51"/>
      <c r="DG99" s="51"/>
      <c r="DH99" s="51"/>
      <c r="DI99" s="51"/>
      <c r="DJ99" s="51"/>
      <c r="DK99" s="51"/>
      <c r="DL99" s="95"/>
      <c r="DM99" s="478"/>
      <c r="DN99" s="682">
        <f t="shared" si="15"/>
        <v>0</v>
      </c>
      <c r="DO99" s="683"/>
    </row>
    <row r="100" spans="1:119" ht="25.5" customHeight="1" thickTop="1" thickBot="1" x14ac:dyDescent="0.2">
      <c r="A100" s="676">
        <f t="shared" si="11"/>
        <v>85</v>
      </c>
      <c r="B100" s="1054"/>
      <c r="C100" s="1054"/>
      <c r="D100" s="83"/>
      <c r="E100" s="954"/>
      <c r="F100" s="52"/>
      <c r="G100" s="103"/>
      <c r="H100" s="1058"/>
      <c r="I100" s="684" t="str">
        <f t="shared" si="8"/>
        <v/>
      </c>
      <c r="J100" s="685">
        <f t="shared" si="9"/>
        <v>0</v>
      </c>
      <c r="K100" s="1252"/>
      <c r="L100" s="1251"/>
      <c r="M100" s="1257"/>
      <c r="N100" s="719" t="str">
        <f t="shared" si="12"/>
        <v/>
      </c>
      <c r="O100" s="720" t="str">
        <f>IF('Set up ~ Config'!$G$32=6,IF(OR($N100=7,$N100=8,$N100=9),1,IF(OR($N100=10,$N100=11,$N100=12),2,IF(OR($N100=1,$N100=2,$N100=3),3,IF(OR($N100=4,$N100=5,$N100=6),4,"")))),IF(OR($N100=9,$N100=10,$N100=11),1,IF(OR($N100=12,$N100=1,$N100=2),2,IF(OR($N100=3,$N100=4,$N100=5),3,IF(OR($N100=6,$N100=7,$N100=8),4,"")))))</f>
        <v/>
      </c>
      <c r="P100" s="99"/>
      <c r="Q100" s="62"/>
      <c r="R100" s="62"/>
      <c r="S100" s="51"/>
      <c r="T100" s="51"/>
      <c r="U100" s="51"/>
      <c r="V100" s="51"/>
      <c r="W100" s="51"/>
      <c r="X100" s="51"/>
      <c r="Y100" s="51"/>
      <c r="Z100" s="51"/>
      <c r="AA100" s="51"/>
      <c r="AB100" s="51"/>
      <c r="AC100" s="51"/>
      <c r="AD100" s="51"/>
      <c r="AE100" s="51"/>
      <c r="AF100" s="51"/>
      <c r="AG100" s="51"/>
      <c r="AH100" s="94"/>
      <c r="AI100" s="94"/>
      <c r="AJ100" s="94"/>
      <c r="AK100" s="94"/>
      <c r="AL100" s="94"/>
      <c r="AM100" s="94"/>
      <c r="AN100" s="94"/>
      <c r="AO100" s="95"/>
      <c r="AP100" s="686">
        <f t="shared" si="13"/>
        <v>0</v>
      </c>
      <c r="AQ100" s="42"/>
      <c r="AR100" s="42"/>
      <c r="AS100" s="42"/>
      <c r="AT100" s="43"/>
      <c r="AU100" s="687">
        <f t="shared" si="14"/>
        <v>0</v>
      </c>
      <c r="AV100" s="42"/>
      <c r="AW100" s="42"/>
      <c r="AX100" s="42"/>
      <c r="AY100" s="43"/>
      <c r="AZ100" s="486"/>
      <c r="BA100" s="51"/>
      <c r="BB100" s="51"/>
      <c r="BC100" s="51"/>
      <c r="BD100" s="51"/>
      <c r="BE100" s="51"/>
      <c r="BF100" s="51"/>
      <c r="BG100" s="51"/>
      <c r="BH100" s="94"/>
      <c r="BI100" s="94"/>
      <c r="BJ100" s="94"/>
      <c r="BK100" s="94"/>
      <c r="BL100" s="94"/>
      <c r="BM100" s="483"/>
      <c r="BN100" s="94"/>
      <c r="BO100" s="94"/>
      <c r="BP100" s="94"/>
      <c r="BQ100" s="94"/>
      <c r="BR100" s="94"/>
      <c r="BS100" s="94"/>
      <c r="BT100" s="94"/>
      <c r="BU100" s="94"/>
      <c r="BV100" s="94"/>
      <c r="BW100" s="688">
        <f t="shared" si="10"/>
        <v>0</v>
      </c>
      <c r="BX100" s="51"/>
      <c r="BY100" s="51"/>
      <c r="BZ100" s="51"/>
      <c r="CA100" s="51"/>
      <c r="CB100" s="51"/>
      <c r="CC100" s="51"/>
      <c r="CD100" s="97"/>
      <c r="CE100" s="479"/>
      <c r="CF100" s="51"/>
      <c r="CG100" s="51"/>
      <c r="CH100" s="62"/>
      <c r="CI100" s="62"/>
      <c r="CJ100" s="51"/>
      <c r="CK100" s="51"/>
      <c r="CL100" s="95"/>
      <c r="CM100" s="93"/>
      <c r="CN100" s="51"/>
      <c r="CO100" s="51"/>
      <c r="CP100" s="51"/>
      <c r="CQ100" s="51"/>
      <c r="CR100" s="51"/>
      <c r="CS100" s="51"/>
      <c r="CT100" s="51"/>
      <c r="CU100" s="95"/>
      <c r="CV100" s="93"/>
      <c r="CW100" s="51"/>
      <c r="CX100" s="51"/>
      <c r="CY100" s="51"/>
      <c r="CZ100" s="51"/>
      <c r="DA100" s="51"/>
      <c r="DB100" s="51"/>
      <c r="DC100" s="51"/>
      <c r="DD100" s="95"/>
      <c r="DE100" s="93"/>
      <c r="DF100" s="51"/>
      <c r="DG100" s="51"/>
      <c r="DH100" s="51"/>
      <c r="DI100" s="51"/>
      <c r="DJ100" s="51"/>
      <c r="DK100" s="51"/>
      <c r="DL100" s="95"/>
      <c r="DM100" s="478"/>
      <c r="DN100" s="682">
        <f t="shared" si="15"/>
        <v>0</v>
      </c>
      <c r="DO100" s="683"/>
    </row>
    <row r="101" spans="1:119" ht="25.5" customHeight="1" thickTop="1" thickBot="1" x14ac:dyDescent="0.2">
      <c r="A101" s="676">
        <f t="shared" si="11"/>
        <v>86</v>
      </c>
      <c r="B101" s="1054"/>
      <c r="C101" s="1054"/>
      <c r="D101" s="83"/>
      <c r="E101" s="954"/>
      <c r="F101" s="52"/>
      <c r="G101" s="103"/>
      <c r="H101" s="1058"/>
      <c r="I101" s="684" t="str">
        <f t="shared" si="8"/>
        <v/>
      </c>
      <c r="J101" s="685">
        <f t="shared" si="9"/>
        <v>0</v>
      </c>
      <c r="K101" s="1252"/>
      <c r="L101" s="1251"/>
      <c r="M101" s="1257"/>
      <c r="N101" s="719" t="str">
        <f t="shared" si="12"/>
        <v/>
      </c>
      <c r="O101" s="720" t="str">
        <f>IF('Set up ~ Config'!$G$32=6,IF(OR($N101=7,$N101=8,$N101=9),1,IF(OR($N101=10,$N101=11,$N101=12),2,IF(OR($N101=1,$N101=2,$N101=3),3,IF(OR($N101=4,$N101=5,$N101=6),4,"")))),IF(OR($N101=9,$N101=10,$N101=11),1,IF(OR($N101=12,$N101=1,$N101=2),2,IF(OR($N101=3,$N101=4,$N101=5),3,IF(OR($N101=6,$N101=7,$N101=8),4,"")))))</f>
        <v/>
      </c>
      <c r="P101" s="99"/>
      <c r="Q101" s="62"/>
      <c r="R101" s="62"/>
      <c r="S101" s="51"/>
      <c r="T101" s="51"/>
      <c r="U101" s="51"/>
      <c r="V101" s="51"/>
      <c r="W101" s="51"/>
      <c r="X101" s="51"/>
      <c r="Y101" s="51"/>
      <c r="Z101" s="51"/>
      <c r="AA101" s="51"/>
      <c r="AB101" s="51"/>
      <c r="AC101" s="51"/>
      <c r="AD101" s="51"/>
      <c r="AE101" s="51"/>
      <c r="AF101" s="51"/>
      <c r="AG101" s="51"/>
      <c r="AH101" s="94"/>
      <c r="AI101" s="94"/>
      <c r="AJ101" s="94"/>
      <c r="AK101" s="94"/>
      <c r="AL101" s="94"/>
      <c r="AM101" s="94"/>
      <c r="AN101" s="94"/>
      <c r="AO101" s="95"/>
      <c r="AP101" s="686">
        <f t="shared" si="13"/>
        <v>0</v>
      </c>
      <c r="AQ101" s="42"/>
      <c r="AR101" s="42"/>
      <c r="AS101" s="42"/>
      <c r="AT101" s="43"/>
      <c r="AU101" s="687">
        <f t="shared" si="14"/>
        <v>0</v>
      </c>
      <c r="AV101" s="42"/>
      <c r="AW101" s="42"/>
      <c r="AX101" s="42"/>
      <c r="AY101" s="43"/>
      <c r="AZ101" s="486"/>
      <c r="BA101" s="51"/>
      <c r="BB101" s="51"/>
      <c r="BC101" s="51"/>
      <c r="BD101" s="51"/>
      <c r="BE101" s="51"/>
      <c r="BF101" s="51"/>
      <c r="BG101" s="51"/>
      <c r="BH101" s="94"/>
      <c r="BI101" s="94"/>
      <c r="BJ101" s="94"/>
      <c r="BK101" s="94"/>
      <c r="BL101" s="94"/>
      <c r="BM101" s="483"/>
      <c r="BN101" s="94"/>
      <c r="BO101" s="94"/>
      <c r="BP101" s="94"/>
      <c r="BQ101" s="94"/>
      <c r="BR101" s="94"/>
      <c r="BS101" s="94"/>
      <c r="BT101" s="94"/>
      <c r="BU101" s="94"/>
      <c r="BV101" s="94"/>
      <c r="BW101" s="688">
        <f t="shared" si="10"/>
        <v>0</v>
      </c>
      <c r="BX101" s="51"/>
      <c r="BY101" s="51"/>
      <c r="BZ101" s="51"/>
      <c r="CA101" s="51"/>
      <c r="CB101" s="51"/>
      <c r="CC101" s="51"/>
      <c r="CD101" s="97"/>
      <c r="CE101" s="479"/>
      <c r="CF101" s="51"/>
      <c r="CG101" s="51"/>
      <c r="CH101" s="62"/>
      <c r="CI101" s="62"/>
      <c r="CJ101" s="51"/>
      <c r="CK101" s="51"/>
      <c r="CL101" s="95"/>
      <c r="CM101" s="93"/>
      <c r="CN101" s="51"/>
      <c r="CO101" s="51"/>
      <c r="CP101" s="51"/>
      <c r="CQ101" s="51"/>
      <c r="CR101" s="51"/>
      <c r="CS101" s="51"/>
      <c r="CT101" s="51"/>
      <c r="CU101" s="95"/>
      <c r="CV101" s="93"/>
      <c r="CW101" s="51"/>
      <c r="CX101" s="51"/>
      <c r="CY101" s="51"/>
      <c r="CZ101" s="51"/>
      <c r="DA101" s="51"/>
      <c r="DB101" s="51"/>
      <c r="DC101" s="51"/>
      <c r="DD101" s="95"/>
      <c r="DE101" s="93"/>
      <c r="DF101" s="51"/>
      <c r="DG101" s="51"/>
      <c r="DH101" s="51"/>
      <c r="DI101" s="51"/>
      <c r="DJ101" s="51"/>
      <c r="DK101" s="51"/>
      <c r="DL101" s="95"/>
      <c r="DM101" s="478"/>
      <c r="DN101" s="682">
        <f t="shared" si="15"/>
        <v>0</v>
      </c>
      <c r="DO101" s="683"/>
    </row>
    <row r="102" spans="1:119" ht="25.5" customHeight="1" thickTop="1" thickBot="1" x14ac:dyDescent="0.2">
      <c r="A102" s="676">
        <f t="shared" si="11"/>
        <v>87</v>
      </c>
      <c r="B102" s="1054"/>
      <c r="C102" s="1054"/>
      <c r="D102" s="83"/>
      <c r="E102" s="954"/>
      <c r="F102" s="52"/>
      <c r="G102" s="103"/>
      <c r="H102" s="1058"/>
      <c r="I102" s="684" t="str">
        <f t="shared" si="8"/>
        <v/>
      </c>
      <c r="J102" s="685">
        <f t="shared" si="9"/>
        <v>0</v>
      </c>
      <c r="K102" s="1252"/>
      <c r="L102" s="1251"/>
      <c r="M102" s="1257"/>
      <c r="N102" s="719" t="str">
        <f t="shared" si="12"/>
        <v/>
      </c>
      <c r="O102" s="720" t="str">
        <f>IF('Set up ~ Config'!$G$32=6,IF(OR($N102=7,$N102=8,$N102=9),1,IF(OR($N102=10,$N102=11,$N102=12),2,IF(OR($N102=1,$N102=2,$N102=3),3,IF(OR($N102=4,$N102=5,$N102=6),4,"")))),IF(OR($N102=9,$N102=10,$N102=11),1,IF(OR($N102=12,$N102=1,$N102=2),2,IF(OR($N102=3,$N102=4,$N102=5),3,IF(OR($N102=6,$N102=7,$N102=8),4,"")))))</f>
        <v/>
      </c>
      <c r="P102" s="99"/>
      <c r="Q102" s="62"/>
      <c r="R102" s="62"/>
      <c r="S102" s="51"/>
      <c r="T102" s="51"/>
      <c r="U102" s="51"/>
      <c r="V102" s="51"/>
      <c r="W102" s="51"/>
      <c r="X102" s="51"/>
      <c r="Y102" s="51"/>
      <c r="Z102" s="51"/>
      <c r="AA102" s="51"/>
      <c r="AB102" s="51"/>
      <c r="AC102" s="51"/>
      <c r="AD102" s="51"/>
      <c r="AE102" s="51"/>
      <c r="AF102" s="51"/>
      <c r="AG102" s="51"/>
      <c r="AH102" s="94"/>
      <c r="AI102" s="94"/>
      <c r="AJ102" s="94"/>
      <c r="AK102" s="94"/>
      <c r="AL102" s="94"/>
      <c r="AM102" s="94"/>
      <c r="AN102" s="94"/>
      <c r="AO102" s="95"/>
      <c r="AP102" s="686">
        <f t="shared" si="13"/>
        <v>0</v>
      </c>
      <c r="AQ102" s="42"/>
      <c r="AR102" s="42"/>
      <c r="AS102" s="42"/>
      <c r="AT102" s="43"/>
      <c r="AU102" s="687">
        <f t="shared" si="14"/>
        <v>0</v>
      </c>
      <c r="AV102" s="42"/>
      <c r="AW102" s="42"/>
      <c r="AX102" s="42"/>
      <c r="AY102" s="43"/>
      <c r="AZ102" s="486"/>
      <c r="BA102" s="51"/>
      <c r="BB102" s="51"/>
      <c r="BC102" s="51"/>
      <c r="BD102" s="51"/>
      <c r="BE102" s="51"/>
      <c r="BF102" s="51"/>
      <c r="BG102" s="51"/>
      <c r="BH102" s="94"/>
      <c r="BI102" s="94"/>
      <c r="BJ102" s="94"/>
      <c r="BK102" s="94"/>
      <c r="BL102" s="94"/>
      <c r="BM102" s="483"/>
      <c r="BN102" s="94"/>
      <c r="BO102" s="94"/>
      <c r="BP102" s="94"/>
      <c r="BQ102" s="94"/>
      <c r="BR102" s="94"/>
      <c r="BS102" s="94"/>
      <c r="BT102" s="94"/>
      <c r="BU102" s="94"/>
      <c r="BV102" s="94"/>
      <c r="BW102" s="688">
        <f t="shared" si="10"/>
        <v>0</v>
      </c>
      <c r="BX102" s="51"/>
      <c r="BY102" s="51"/>
      <c r="BZ102" s="51"/>
      <c r="CA102" s="51"/>
      <c r="CB102" s="51"/>
      <c r="CC102" s="51"/>
      <c r="CD102" s="97"/>
      <c r="CE102" s="479"/>
      <c r="CF102" s="51"/>
      <c r="CG102" s="51"/>
      <c r="CH102" s="62"/>
      <c r="CI102" s="62"/>
      <c r="CJ102" s="51"/>
      <c r="CK102" s="51"/>
      <c r="CL102" s="95"/>
      <c r="CM102" s="93"/>
      <c r="CN102" s="51"/>
      <c r="CO102" s="51"/>
      <c r="CP102" s="51"/>
      <c r="CQ102" s="51"/>
      <c r="CR102" s="51"/>
      <c r="CS102" s="51"/>
      <c r="CT102" s="51"/>
      <c r="CU102" s="95"/>
      <c r="CV102" s="93"/>
      <c r="CW102" s="51"/>
      <c r="CX102" s="51"/>
      <c r="CY102" s="51"/>
      <c r="CZ102" s="51"/>
      <c r="DA102" s="51"/>
      <c r="DB102" s="51"/>
      <c r="DC102" s="51"/>
      <c r="DD102" s="95"/>
      <c r="DE102" s="93"/>
      <c r="DF102" s="51"/>
      <c r="DG102" s="51"/>
      <c r="DH102" s="51"/>
      <c r="DI102" s="51"/>
      <c r="DJ102" s="51"/>
      <c r="DK102" s="51"/>
      <c r="DL102" s="95"/>
      <c r="DM102" s="478"/>
      <c r="DN102" s="682">
        <f t="shared" si="15"/>
        <v>0</v>
      </c>
      <c r="DO102" s="683"/>
    </row>
    <row r="103" spans="1:119" ht="25.5" customHeight="1" thickTop="1" thickBot="1" x14ac:dyDescent="0.2">
      <c r="A103" s="676">
        <f t="shared" si="11"/>
        <v>88</v>
      </c>
      <c r="B103" s="1054"/>
      <c r="C103" s="1054"/>
      <c r="D103" s="83"/>
      <c r="E103" s="954"/>
      <c r="F103" s="52"/>
      <c r="G103" s="103"/>
      <c r="H103" s="1058"/>
      <c r="I103" s="684" t="str">
        <f t="shared" si="8"/>
        <v/>
      </c>
      <c r="J103" s="685">
        <f t="shared" si="9"/>
        <v>0</v>
      </c>
      <c r="K103" s="1252"/>
      <c r="L103" s="1251"/>
      <c r="M103" s="1257"/>
      <c r="N103" s="719" t="str">
        <f t="shared" si="12"/>
        <v/>
      </c>
      <c r="O103" s="720" t="str">
        <f>IF('Set up ~ Config'!$G$32=6,IF(OR($N103=7,$N103=8,$N103=9),1,IF(OR($N103=10,$N103=11,$N103=12),2,IF(OR($N103=1,$N103=2,$N103=3),3,IF(OR($N103=4,$N103=5,$N103=6),4,"")))),IF(OR($N103=9,$N103=10,$N103=11),1,IF(OR($N103=12,$N103=1,$N103=2),2,IF(OR($N103=3,$N103=4,$N103=5),3,IF(OR($N103=6,$N103=7,$N103=8),4,"")))))</f>
        <v/>
      </c>
      <c r="P103" s="99"/>
      <c r="Q103" s="62"/>
      <c r="R103" s="62"/>
      <c r="S103" s="51"/>
      <c r="T103" s="51"/>
      <c r="U103" s="51"/>
      <c r="V103" s="51"/>
      <c r="W103" s="51"/>
      <c r="X103" s="51"/>
      <c r="Y103" s="51"/>
      <c r="Z103" s="51"/>
      <c r="AA103" s="51"/>
      <c r="AB103" s="51"/>
      <c r="AC103" s="51"/>
      <c r="AD103" s="51"/>
      <c r="AE103" s="51"/>
      <c r="AF103" s="51"/>
      <c r="AG103" s="51"/>
      <c r="AH103" s="94"/>
      <c r="AI103" s="94"/>
      <c r="AJ103" s="94"/>
      <c r="AK103" s="94"/>
      <c r="AL103" s="94"/>
      <c r="AM103" s="94"/>
      <c r="AN103" s="94"/>
      <c r="AO103" s="95"/>
      <c r="AP103" s="686">
        <f t="shared" si="13"/>
        <v>0</v>
      </c>
      <c r="AQ103" s="42"/>
      <c r="AR103" s="42"/>
      <c r="AS103" s="42"/>
      <c r="AT103" s="43"/>
      <c r="AU103" s="687">
        <f t="shared" si="14"/>
        <v>0</v>
      </c>
      <c r="AV103" s="42"/>
      <c r="AW103" s="42"/>
      <c r="AX103" s="42"/>
      <c r="AY103" s="43"/>
      <c r="AZ103" s="486"/>
      <c r="BA103" s="51"/>
      <c r="BB103" s="51"/>
      <c r="BC103" s="51"/>
      <c r="BD103" s="51"/>
      <c r="BE103" s="51"/>
      <c r="BF103" s="51"/>
      <c r="BG103" s="51"/>
      <c r="BH103" s="94"/>
      <c r="BI103" s="94"/>
      <c r="BJ103" s="94"/>
      <c r="BK103" s="94"/>
      <c r="BL103" s="94"/>
      <c r="BM103" s="483"/>
      <c r="BN103" s="94"/>
      <c r="BO103" s="94"/>
      <c r="BP103" s="94"/>
      <c r="BQ103" s="94"/>
      <c r="BR103" s="94"/>
      <c r="BS103" s="94"/>
      <c r="BT103" s="94"/>
      <c r="BU103" s="94"/>
      <c r="BV103" s="94"/>
      <c r="BW103" s="688">
        <f t="shared" si="10"/>
        <v>0</v>
      </c>
      <c r="BX103" s="51"/>
      <c r="BY103" s="51"/>
      <c r="BZ103" s="51"/>
      <c r="CA103" s="51"/>
      <c r="CB103" s="51"/>
      <c r="CC103" s="51"/>
      <c r="CD103" s="97"/>
      <c r="CE103" s="479"/>
      <c r="CF103" s="51"/>
      <c r="CG103" s="51"/>
      <c r="CH103" s="62"/>
      <c r="CI103" s="62"/>
      <c r="CJ103" s="51"/>
      <c r="CK103" s="51"/>
      <c r="CL103" s="95"/>
      <c r="CM103" s="93"/>
      <c r="CN103" s="51"/>
      <c r="CO103" s="51"/>
      <c r="CP103" s="51"/>
      <c r="CQ103" s="51"/>
      <c r="CR103" s="51"/>
      <c r="CS103" s="51"/>
      <c r="CT103" s="51"/>
      <c r="CU103" s="95"/>
      <c r="CV103" s="93"/>
      <c r="CW103" s="51"/>
      <c r="CX103" s="51"/>
      <c r="CY103" s="51"/>
      <c r="CZ103" s="51"/>
      <c r="DA103" s="51"/>
      <c r="DB103" s="51"/>
      <c r="DC103" s="51"/>
      <c r="DD103" s="95"/>
      <c r="DE103" s="93"/>
      <c r="DF103" s="51"/>
      <c r="DG103" s="51"/>
      <c r="DH103" s="51"/>
      <c r="DI103" s="51"/>
      <c r="DJ103" s="51"/>
      <c r="DK103" s="51"/>
      <c r="DL103" s="95"/>
      <c r="DM103" s="478"/>
      <c r="DN103" s="682">
        <f t="shared" si="15"/>
        <v>0</v>
      </c>
      <c r="DO103" s="683"/>
    </row>
    <row r="104" spans="1:119" ht="25.5" customHeight="1" thickTop="1" thickBot="1" x14ac:dyDescent="0.2">
      <c r="A104" s="676">
        <f t="shared" si="11"/>
        <v>89</v>
      </c>
      <c r="B104" s="1054"/>
      <c r="C104" s="1054"/>
      <c r="D104" s="83"/>
      <c r="E104" s="954"/>
      <c r="F104" s="52"/>
      <c r="G104" s="103"/>
      <c r="H104" s="1058"/>
      <c r="I104" s="684" t="str">
        <f t="shared" si="8"/>
        <v/>
      </c>
      <c r="J104" s="685">
        <f t="shared" si="9"/>
        <v>0</v>
      </c>
      <c r="K104" s="1252"/>
      <c r="L104" s="1251"/>
      <c r="M104" s="1257"/>
      <c r="N104" s="719" t="str">
        <f t="shared" si="12"/>
        <v/>
      </c>
      <c r="O104" s="720" t="str">
        <f>IF('Set up ~ Config'!$G$32=6,IF(OR($N104=7,$N104=8,$N104=9),1,IF(OR($N104=10,$N104=11,$N104=12),2,IF(OR($N104=1,$N104=2,$N104=3),3,IF(OR($N104=4,$N104=5,$N104=6),4,"")))),IF(OR($N104=9,$N104=10,$N104=11),1,IF(OR($N104=12,$N104=1,$N104=2),2,IF(OR($N104=3,$N104=4,$N104=5),3,IF(OR($N104=6,$N104=7,$N104=8),4,"")))))</f>
        <v/>
      </c>
      <c r="P104" s="99"/>
      <c r="Q104" s="62"/>
      <c r="R104" s="62"/>
      <c r="S104" s="51"/>
      <c r="T104" s="51"/>
      <c r="U104" s="51"/>
      <c r="V104" s="51"/>
      <c r="W104" s="51"/>
      <c r="X104" s="51"/>
      <c r="Y104" s="51"/>
      <c r="Z104" s="51"/>
      <c r="AA104" s="51"/>
      <c r="AB104" s="51"/>
      <c r="AC104" s="51"/>
      <c r="AD104" s="51"/>
      <c r="AE104" s="51"/>
      <c r="AF104" s="51"/>
      <c r="AG104" s="51"/>
      <c r="AH104" s="94"/>
      <c r="AI104" s="94"/>
      <c r="AJ104" s="94"/>
      <c r="AK104" s="94"/>
      <c r="AL104" s="94"/>
      <c r="AM104" s="94"/>
      <c r="AN104" s="94"/>
      <c r="AO104" s="95"/>
      <c r="AP104" s="686">
        <f t="shared" si="13"/>
        <v>0</v>
      </c>
      <c r="AQ104" s="42"/>
      <c r="AR104" s="42"/>
      <c r="AS104" s="42"/>
      <c r="AT104" s="43"/>
      <c r="AU104" s="687">
        <f t="shared" si="14"/>
        <v>0</v>
      </c>
      <c r="AV104" s="42"/>
      <c r="AW104" s="42"/>
      <c r="AX104" s="42"/>
      <c r="AY104" s="43"/>
      <c r="AZ104" s="486"/>
      <c r="BA104" s="51"/>
      <c r="BB104" s="51"/>
      <c r="BC104" s="51"/>
      <c r="BD104" s="51"/>
      <c r="BE104" s="51"/>
      <c r="BF104" s="51"/>
      <c r="BG104" s="51"/>
      <c r="BH104" s="94"/>
      <c r="BI104" s="94"/>
      <c r="BJ104" s="94"/>
      <c r="BK104" s="94"/>
      <c r="BL104" s="94"/>
      <c r="BM104" s="483"/>
      <c r="BN104" s="94"/>
      <c r="BO104" s="94"/>
      <c r="BP104" s="94"/>
      <c r="BQ104" s="94"/>
      <c r="BR104" s="94"/>
      <c r="BS104" s="94"/>
      <c r="BT104" s="94"/>
      <c r="BU104" s="94"/>
      <c r="BV104" s="94"/>
      <c r="BW104" s="688">
        <f t="shared" si="10"/>
        <v>0</v>
      </c>
      <c r="BX104" s="51"/>
      <c r="BY104" s="51"/>
      <c r="BZ104" s="51"/>
      <c r="CA104" s="51"/>
      <c r="CB104" s="51"/>
      <c r="CC104" s="51"/>
      <c r="CD104" s="97"/>
      <c r="CE104" s="479"/>
      <c r="CF104" s="51"/>
      <c r="CG104" s="51"/>
      <c r="CH104" s="62"/>
      <c r="CI104" s="62"/>
      <c r="CJ104" s="51"/>
      <c r="CK104" s="51"/>
      <c r="CL104" s="95"/>
      <c r="CM104" s="93"/>
      <c r="CN104" s="51"/>
      <c r="CO104" s="51"/>
      <c r="CP104" s="51"/>
      <c r="CQ104" s="51"/>
      <c r="CR104" s="51"/>
      <c r="CS104" s="51"/>
      <c r="CT104" s="51"/>
      <c r="CU104" s="95"/>
      <c r="CV104" s="93"/>
      <c r="CW104" s="51"/>
      <c r="CX104" s="51"/>
      <c r="CY104" s="51"/>
      <c r="CZ104" s="51"/>
      <c r="DA104" s="51"/>
      <c r="DB104" s="51"/>
      <c r="DC104" s="51"/>
      <c r="DD104" s="95"/>
      <c r="DE104" s="93"/>
      <c r="DF104" s="51"/>
      <c r="DG104" s="51"/>
      <c r="DH104" s="51"/>
      <c r="DI104" s="51"/>
      <c r="DJ104" s="51"/>
      <c r="DK104" s="51"/>
      <c r="DL104" s="95"/>
      <c r="DM104" s="478"/>
      <c r="DN104" s="682">
        <f t="shared" si="15"/>
        <v>0</v>
      </c>
      <c r="DO104" s="683"/>
    </row>
    <row r="105" spans="1:119" ht="25.5" customHeight="1" thickTop="1" thickBot="1" x14ac:dyDescent="0.2">
      <c r="A105" s="676">
        <f t="shared" si="11"/>
        <v>90</v>
      </c>
      <c r="B105" s="1054"/>
      <c r="C105" s="1054"/>
      <c r="D105" s="83"/>
      <c r="E105" s="954"/>
      <c r="F105" s="52"/>
      <c r="G105" s="103"/>
      <c r="H105" s="1058"/>
      <c r="I105" s="684" t="str">
        <f t="shared" si="8"/>
        <v/>
      </c>
      <c r="J105" s="685">
        <f t="shared" si="9"/>
        <v>0</v>
      </c>
      <c r="K105" s="1252"/>
      <c r="L105" s="1251"/>
      <c r="M105" s="1257"/>
      <c r="N105" s="719" t="str">
        <f t="shared" si="12"/>
        <v/>
      </c>
      <c r="O105" s="720" t="str">
        <f>IF('Set up ~ Config'!$G$32=6,IF(OR($N105=7,$N105=8,$N105=9),1,IF(OR($N105=10,$N105=11,$N105=12),2,IF(OR($N105=1,$N105=2,$N105=3),3,IF(OR($N105=4,$N105=5,$N105=6),4,"")))),IF(OR($N105=9,$N105=10,$N105=11),1,IF(OR($N105=12,$N105=1,$N105=2),2,IF(OR($N105=3,$N105=4,$N105=5),3,IF(OR($N105=6,$N105=7,$N105=8),4,"")))))</f>
        <v/>
      </c>
      <c r="P105" s="99"/>
      <c r="Q105" s="62"/>
      <c r="R105" s="62"/>
      <c r="S105" s="51"/>
      <c r="T105" s="51"/>
      <c r="U105" s="51"/>
      <c r="V105" s="51"/>
      <c r="W105" s="51"/>
      <c r="X105" s="51"/>
      <c r="Y105" s="51"/>
      <c r="Z105" s="51"/>
      <c r="AA105" s="51"/>
      <c r="AB105" s="51"/>
      <c r="AC105" s="51"/>
      <c r="AD105" s="51"/>
      <c r="AE105" s="51"/>
      <c r="AF105" s="51"/>
      <c r="AG105" s="51"/>
      <c r="AH105" s="94"/>
      <c r="AI105" s="94"/>
      <c r="AJ105" s="94"/>
      <c r="AK105" s="94"/>
      <c r="AL105" s="94"/>
      <c r="AM105" s="94"/>
      <c r="AN105" s="94"/>
      <c r="AO105" s="95"/>
      <c r="AP105" s="686">
        <f t="shared" si="13"/>
        <v>0</v>
      </c>
      <c r="AQ105" s="42"/>
      <c r="AR105" s="42"/>
      <c r="AS105" s="42"/>
      <c r="AT105" s="43"/>
      <c r="AU105" s="687">
        <f t="shared" si="14"/>
        <v>0</v>
      </c>
      <c r="AV105" s="42"/>
      <c r="AW105" s="42"/>
      <c r="AX105" s="42"/>
      <c r="AY105" s="43"/>
      <c r="AZ105" s="486"/>
      <c r="BA105" s="51"/>
      <c r="BB105" s="51"/>
      <c r="BC105" s="51"/>
      <c r="BD105" s="51"/>
      <c r="BE105" s="51"/>
      <c r="BF105" s="51"/>
      <c r="BG105" s="51"/>
      <c r="BH105" s="94"/>
      <c r="BI105" s="94"/>
      <c r="BJ105" s="94"/>
      <c r="BK105" s="94"/>
      <c r="BL105" s="94"/>
      <c r="BM105" s="483"/>
      <c r="BN105" s="94"/>
      <c r="BO105" s="94"/>
      <c r="BP105" s="94"/>
      <c r="BQ105" s="94"/>
      <c r="BR105" s="94"/>
      <c r="BS105" s="94"/>
      <c r="BT105" s="94"/>
      <c r="BU105" s="94"/>
      <c r="BV105" s="94"/>
      <c r="BW105" s="688">
        <f t="shared" si="10"/>
        <v>0</v>
      </c>
      <c r="BX105" s="51"/>
      <c r="BY105" s="51"/>
      <c r="BZ105" s="51"/>
      <c r="CA105" s="51"/>
      <c r="CB105" s="51"/>
      <c r="CC105" s="51"/>
      <c r="CD105" s="97"/>
      <c r="CE105" s="479"/>
      <c r="CF105" s="51"/>
      <c r="CG105" s="51"/>
      <c r="CH105" s="62"/>
      <c r="CI105" s="62"/>
      <c r="CJ105" s="51"/>
      <c r="CK105" s="51"/>
      <c r="CL105" s="95"/>
      <c r="CM105" s="93"/>
      <c r="CN105" s="51"/>
      <c r="CO105" s="51"/>
      <c r="CP105" s="51"/>
      <c r="CQ105" s="51"/>
      <c r="CR105" s="51"/>
      <c r="CS105" s="51"/>
      <c r="CT105" s="51"/>
      <c r="CU105" s="95"/>
      <c r="CV105" s="93"/>
      <c r="CW105" s="51"/>
      <c r="CX105" s="51"/>
      <c r="CY105" s="51"/>
      <c r="CZ105" s="51"/>
      <c r="DA105" s="51"/>
      <c r="DB105" s="51"/>
      <c r="DC105" s="51"/>
      <c r="DD105" s="95"/>
      <c r="DE105" s="93"/>
      <c r="DF105" s="51"/>
      <c r="DG105" s="51"/>
      <c r="DH105" s="51"/>
      <c r="DI105" s="51"/>
      <c r="DJ105" s="51"/>
      <c r="DK105" s="51"/>
      <c r="DL105" s="95"/>
      <c r="DM105" s="478"/>
      <c r="DN105" s="682">
        <f t="shared" si="15"/>
        <v>0</v>
      </c>
      <c r="DO105" s="683"/>
    </row>
    <row r="106" spans="1:119" ht="25.5" customHeight="1" thickTop="1" thickBot="1" x14ac:dyDescent="0.2">
      <c r="A106" s="676">
        <f t="shared" si="11"/>
        <v>91</v>
      </c>
      <c r="B106" s="1054"/>
      <c r="C106" s="1054"/>
      <c r="D106" s="83"/>
      <c r="E106" s="954"/>
      <c r="F106" s="52"/>
      <c r="G106" s="103"/>
      <c r="H106" s="1058"/>
      <c r="I106" s="684" t="str">
        <f t="shared" si="8"/>
        <v/>
      </c>
      <c r="J106" s="685">
        <f t="shared" si="9"/>
        <v>0</v>
      </c>
      <c r="K106" s="1252"/>
      <c r="L106" s="1251"/>
      <c r="M106" s="1257"/>
      <c r="N106" s="719" t="str">
        <f t="shared" si="12"/>
        <v/>
      </c>
      <c r="O106" s="720" t="str">
        <f>IF('Set up ~ Config'!$G$32=6,IF(OR($N106=7,$N106=8,$N106=9),1,IF(OR($N106=10,$N106=11,$N106=12),2,IF(OR($N106=1,$N106=2,$N106=3),3,IF(OR($N106=4,$N106=5,$N106=6),4,"")))),IF(OR($N106=9,$N106=10,$N106=11),1,IF(OR($N106=12,$N106=1,$N106=2),2,IF(OR($N106=3,$N106=4,$N106=5),3,IF(OR($N106=6,$N106=7,$N106=8),4,"")))))</f>
        <v/>
      </c>
      <c r="P106" s="99"/>
      <c r="Q106" s="62"/>
      <c r="R106" s="62"/>
      <c r="S106" s="51"/>
      <c r="T106" s="51"/>
      <c r="U106" s="51"/>
      <c r="V106" s="51"/>
      <c r="W106" s="51"/>
      <c r="X106" s="51"/>
      <c r="Y106" s="51"/>
      <c r="Z106" s="51"/>
      <c r="AA106" s="51"/>
      <c r="AB106" s="51"/>
      <c r="AC106" s="51"/>
      <c r="AD106" s="51"/>
      <c r="AE106" s="51"/>
      <c r="AF106" s="51"/>
      <c r="AG106" s="51"/>
      <c r="AH106" s="94"/>
      <c r="AI106" s="94"/>
      <c r="AJ106" s="94"/>
      <c r="AK106" s="94"/>
      <c r="AL106" s="94"/>
      <c r="AM106" s="94"/>
      <c r="AN106" s="94"/>
      <c r="AO106" s="95"/>
      <c r="AP106" s="686">
        <f t="shared" si="13"/>
        <v>0</v>
      </c>
      <c r="AQ106" s="42"/>
      <c r="AR106" s="42"/>
      <c r="AS106" s="42"/>
      <c r="AT106" s="43"/>
      <c r="AU106" s="687">
        <f t="shared" si="14"/>
        <v>0</v>
      </c>
      <c r="AV106" s="42"/>
      <c r="AW106" s="42"/>
      <c r="AX106" s="42"/>
      <c r="AY106" s="43"/>
      <c r="AZ106" s="486"/>
      <c r="BA106" s="51"/>
      <c r="BB106" s="51"/>
      <c r="BC106" s="51"/>
      <c r="BD106" s="51"/>
      <c r="BE106" s="51"/>
      <c r="BF106" s="51"/>
      <c r="BG106" s="51"/>
      <c r="BH106" s="94"/>
      <c r="BI106" s="94"/>
      <c r="BJ106" s="94"/>
      <c r="BK106" s="94"/>
      <c r="BL106" s="94"/>
      <c r="BM106" s="483"/>
      <c r="BN106" s="94"/>
      <c r="BO106" s="94"/>
      <c r="BP106" s="94"/>
      <c r="BQ106" s="94"/>
      <c r="BR106" s="94"/>
      <c r="BS106" s="94"/>
      <c r="BT106" s="94"/>
      <c r="BU106" s="94"/>
      <c r="BV106" s="94"/>
      <c r="BW106" s="688">
        <f t="shared" si="10"/>
        <v>0</v>
      </c>
      <c r="BX106" s="51"/>
      <c r="BY106" s="51"/>
      <c r="BZ106" s="51"/>
      <c r="CA106" s="51"/>
      <c r="CB106" s="51"/>
      <c r="CC106" s="51"/>
      <c r="CD106" s="97"/>
      <c r="CE106" s="479"/>
      <c r="CF106" s="51"/>
      <c r="CG106" s="51"/>
      <c r="CH106" s="62"/>
      <c r="CI106" s="62"/>
      <c r="CJ106" s="51"/>
      <c r="CK106" s="51"/>
      <c r="CL106" s="95"/>
      <c r="CM106" s="93"/>
      <c r="CN106" s="51"/>
      <c r="CO106" s="51"/>
      <c r="CP106" s="51"/>
      <c r="CQ106" s="51"/>
      <c r="CR106" s="51"/>
      <c r="CS106" s="51"/>
      <c r="CT106" s="51"/>
      <c r="CU106" s="95"/>
      <c r="CV106" s="93"/>
      <c r="CW106" s="51"/>
      <c r="CX106" s="51"/>
      <c r="CY106" s="51"/>
      <c r="CZ106" s="51"/>
      <c r="DA106" s="51"/>
      <c r="DB106" s="51"/>
      <c r="DC106" s="51"/>
      <c r="DD106" s="95"/>
      <c r="DE106" s="93"/>
      <c r="DF106" s="51"/>
      <c r="DG106" s="51"/>
      <c r="DH106" s="51"/>
      <c r="DI106" s="51"/>
      <c r="DJ106" s="51"/>
      <c r="DK106" s="51"/>
      <c r="DL106" s="95"/>
      <c r="DM106" s="478"/>
      <c r="DN106" s="682">
        <f t="shared" si="15"/>
        <v>0</v>
      </c>
      <c r="DO106" s="683"/>
    </row>
    <row r="107" spans="1:119" ht="25.5" customHeight="1" thickTop="1" thickBot="1" x14ac:dyDescent="0.2">
      <c r="A107" s="676">
        <f t="shared" si="11"/>
        <v>92</v>
      </c>
      <c r="B107" s="1054"/>
      <c r="C107" s="1054"/>
      <c r="D107" s="83"/>
      <c r="E107" s="954"/>
      <c r="F107" s="52"/>
      <c r="G107" s="103"/>
      <c r="H107" s="1058"/>
      <c r="I107" s="684" t="str">
        <f t="shared" si="8"/>
        <v/>
      </c>
      <c r="J107" s="685">
        <f t="shared" si="9"/>
        <v>0</v>
      </c>
      <c r="K107" s="1252"/>
      <c r="L107" s="1251"/>
      <c r="M107" s="1257"/>
      <c r="N107" s="719" t="str">
        <f t="shared" si="12"/>
        <v/>
      </c>
      <c r="O107" s="720" t="str">
        <f>IF('Set up ~ Config'!$G$32=6,IF(OR($N107=7,$N107=8,$N107=9),1,IF(OR($N107=10,$N107=11,$N107=12),2,IF(OR($N107=1,$N107=2,$N107=3),3,IF(OR($N107=4,$N107=5,$N107=6),4,"")))),IF(OR($N107=9,$N107=10,$N107=11),1,IF(OR($N107=12,$N107=1,$N107=2),2,IF(OR($N107=3,$N107=4,$N107=5),3,IF(OR($N107=6,$N107=7,$N107=8),4,"")))))</f>
        <v/>
      </c>
      <c r="P107" s="99"/>
      <c r="Q107" s="62"/>
      <c r="R107" s="62"/>
      <c r="S107" s="51"/>
      <c r="T107" s="51"/>
      <c r="U107" s="51"/>
      <c r="V107" s="51"/>
      <c r="W107" s="51"/>
      <c r="X107" s="51"/>
      <c r="Y107" s="51"/>
      <c r="Z107" s="51"/>
      <c r="AA107" s="51"/>
      <c r="AB107" s="51"/>
      <c r="AC107" s="51"/>
      <c r="AD107" s="51"/>
      <c r="AE107" s="51"/>
      <c r="AF107" s="51"/>
      <c r="AG107" s="51"/>
      <c r="AH107" s="94"/>
      <c r="AI107" s="94"/>
      <c r="AJ107" s="94"/>
      <c r="AK107" s="94"/>
      <c r="AL107" s="94"/>
      <c r="AM107" s="94"/>
      <c r="AN107" s="94"/>
      <c r="AO107" s="95"/>
      <c r="AP107" s="686">
        <f t="shared" si="13"/>
        <v>0</v>
      </c>
      <c r="AQ107" s="42"/>
      <c r="AR107" s="42"/>
      <c r="AS107" s="42"/>
      <c r="AT107" s="43"/>
      <c r="AU107" s="687">
        <f t="shared" si="14"/>
        <v>0</v>
      </c>
      <c r="AV107" s="42"/>
      <c r="AW107" s="42"/>
      <c r="AX107" s="42"/>
      <c r="AY107" s="43"/>
      <c r="AZ107" s="486"/>
      <c r="BA107" s="51"/>
      <c r="BB107" s="51"/>
      <c r="BC107" s="51"/>
      <c r="BD107" s="51"/>
      <c r="BE107" s="51"/>
      <c r="BF107" s="51"/>
      <c r="BG107" s="51"/>
      <c r="BH107" s="94"/>
      <c r="BI107" s="94"/>
      <c r="BJ107" s="94"/>
      <c r="BK107" s="94"/>
      <c r="BL107" s="94"/>
      <c r="BM107" s="483"/>
      <c r="BN107" s="94"/>
      <c r="BO107" s="94"/>
      <c r="BP107" s="94"/>
      <c r="BQ107" s="94"/>
      <c r="BR107" s="94"/>
      <c r="BS107" s="94"/>
      <c r="BT107" s="94"/>
      <c r="BU107" s="94"/>
      <c r="BV107" s="94"/>
      <c r="BW107" s="688">
        <f t="shared" si="10"/>
        <v>0</v>
      </c>
      <c r="BX107" s="51"/>
      <c r="BY107" s="51"/>
      <c r="BZ107" s="51"/>
      <c r="CA107" s="51"/>
      <c r="CB107" s="51"/>
      <c r="CC107" s="51"/>
      <c r="CD107" s="97"/>
      <c r="CE107" s="479"/>
      <c r="CF107" s="51"/>
      <c r="CG107" s="51"/>
      <c r="CH107" s="62"/>
      <c r="CI107" s="62"/>
      <c r="CJ107" s="51"/>
      <c r="CK107" s="51"/>
      <c r="CL107" s="95"/>
      <c r="CM107" s="93"/>
      <c r="CN107" s="51"/>
      <c r="CO107" s="51"/>
      <c r="CP107" s="51"/>
      <c r="CQ107" s="51"/>
      <c r="CR107" s="51"/>
      <c r="CS107" s="51"/>
      <c r="CT107" s="51"/>
      <c r="CU107" s="95"/>
      <c r="CV107" s="93"/>
      <c r="CW107" s="51"/>
      <c r="CX107" s="51"/>
      <c r="CY107" s="51"/>
      <c r="CZ107" s="51"/>
      <c r="DA107" s="51"/>
      <c r="DB107" s="51"/>
      <c r="DC107" s="51"/>
      <c r="DD107" s="95"/>
      <c r="DE107" s="93"/>
      <c r="DF107" s="51"/>
      <c r="DG107" s="51"/>
      <c r="DH107" s="51"/>
      <c r="DI107" s="51"/>
      <c r="DJ107" s="51"/>
      <c r="DK107" s="51"/>
      <c r="DL107" s="95"/>
      <c r="DM107" s="478"/>
      <c r="DN107" s="682">
        <f t="shared" si="15"/>
        <v>0</v>
      </c>
      <c r="DO107" s="683"/>
    </row>
    <row r="108" spans="1:119" ht="25.5" customHeight="1" thickTop="1" thickBot="1" x14ac:dyDescent="0.2">
      <c r="A108" s="676">
        <f t="shared" si="11"/>
        <v>93</v>
      </c>
      <c r="B108" s="1054"/>
      <c r="C108" s="1054"/>
      <c r="D108" s="83"/>
      <c r="E108" s="954"/>
      <c r="F108" s="52"/>
      <c r="G108" s="103"/>
      <c r="H108" s="1058"/>
      <c r="I108" s="684" t="str">
        <f t="shared" si="8"/>
        <v/>
      </c>
      <c r="J108" s="685">
        <f t="shared" si="9"/>
        <v>0</v>
      </c>
      <c r="K108" s="1252"/>
      <c r="L108" s="1251"/>
      <c r="M108" s="1257"/>
      <c r="N108" s="719" t="str">
        <f t="shared" si="12"/>
        <v/>
      </c>
      <c r="O108" s="720" t="str">
        <f>IF('Set up ~ Config'!$G$32=6,IF(OR($N108=7,$N108=8,$N108=9),1,IF(OR($N108=10,$N108=11,$N108=12),2,IF(OR($N108=1,$N108=2,$N108=3),3,IF(OR($N108=4,$N108=5,$N108=6),4,"")))),IF(OR($N108=9,$N108=10,$N108=11),1,IF(OR($N108=12,$N108=1,$N108=2),2,IF(OR($N108=3,$N108=4,$N108=5),3,IF(OR($N108=6,$N108=7,$N108=8),4,"")))))</f>
        <v/>
      </c>
      <c r="P108" s="99"/>
      <c r="Q108" s="62"/>
      <c r="R108" s="62"/>
      <c r="S108" s="51"/>
      <c r="T108" s="51"/>
      <c r="U108" s="51"/>
      <c r="V108" s="51"/>
      <c r="W108" s="51"/>
      <c r="X108" s="51"/>
      <c r="Y108" s="51"/>
      <c r="Z108" s="51"/>
      <c r="AA108" s="51"/>
      <c r="AB108" s="51"/>
      <c r="AC108" s="51"/>
      <c r="AD108" s="51"/>
      <c r="AE108" s="51"/>
      <c r="AF108" s="51"/>
      <c r="AG108" s="51"/>
      <c r="AH108" s="94"/>
      <c r="AI108" s="94"/>
      <c r="AJ108" s="94"/>
      <c r="AK108" s="94"/>
      <c r="AL108" s="94"/>
      <c r="AM108" s="94"/>
      <c r="AN108" s="94"/>
      <c r="AO108" s="95"/>
      <c r="AP108" s="686">
        <f t="shared" si="13"/>
        <v>0</v>
      </c>
      <c r="AQ108" s="42"/>
      <c r="AR108" s="42"/>
      <c r="AS108" s="42"/>
      <c r="AT108" s="43"/>
      <c r="AU108" s="687">
        <f t="shared" si="14"/>
        <v>0</v>
      </c>
      <c r="AV108" s="42"/>
      <c r="AW108" s="42"/>
      <c r="AX108" s="42"/>
      <c r="AY108" s="43"/>
      <c r="AZ108" s="486"/>
      <c r="BA108" s="51"/>
      <c r="BB108" s="51"/>
      <c r="BC108" s="51"/>
      <c r="BD108" s="51"/>
      <c r="BE108" s="51"/>
      <c r="BF108" s="51"/>
      <c r="BG108" s="51"/>
      <c r="BH108" s="94"/>
      <c r="BI108" s="94"/>
      <c r="BJ108" s="94"/>
      <c r="BK108" s="94"/>
      <c r="BL108" s="94"/>
      <c r="BM108" s="483"/>
      <c r="BN108" s="94"/>
      <c r="BO108" s="94"/>
      <c r="BP108" s="94"/>
      <c r="BQ108" s="94"/>
      <c r="BR108" s="94"/>
      <c r="BS108" s="94"/>
      <c r="BT108" s="94"/>
      <c r="BU108" s="94"/>
      <c r="BV108" s="94"/>
      <c r="BW108" s="688">
        <f t="shared" si="10"/>
        <v>0</v>
      </c>
      <c r="BX108" s="51"/>
      <c r="BY108" s="51"/>
      <c r="BZ108" s="51"/>
      <c r="CA108" s="51"/>
      <c r="CB108" s="51"/>
      <c r="CC108" s="51"/>
      <c r="CD108" s="97"/>
      <c r="CE108" s="479"/>
      <c r="CF108" s="51"/>
      <c r="CG108" s="51"/>
      <c r="CH108" s="62"/>
      <c r="CI108" s="62"/>
      <c r="CJ108" s="51"/>
      <c r="CK108" s="51"/>
      <c r="CL108" s="95"/>
      <c r="CM108" s="93"/>
      <c r="CN108" s="51"/>
      <c r="CO108" s="51"/>
      <c r="CP108" s="51"/>
      <c r="CQ108" s="51"/>
      <c r="CR108" s="51"/>
      <c r="CS108" s="51"/>
      <c r="CT108" s="51"/>
      <c r="CU108" s="95"/>
      <c r="CV108" s="93"/>
      <c r="CW108" s="51"/>
      <c r="CX108" s="51"/>
      <c r="CY108" s="51"/>
      <c r="CZ108" s="51"/>
      <c r="DA108" s="51"/>
      <c r="DB108" s="51"/>
      <c r="DC108" s="51"/>
      <c r="DD108" s="95"/>
      <c r="DE108" s="93"/>
      <c r="DF108" s="51"/>
      <c r="DG108" s="51"/>
      <c r="DH108" s="51"/>
      <c r="DI108" s="51"/>
      <c r="DJ108" s="51"/>
      <c r="DK108" s="51"/>
      <c r="DL108" s="95"/>
      <c r="DM108" s="478"/>
      <c r="DN108" s="682">
        <f t="shared" si="15"/>
        <v>0</v>
      </c>
      <c r="DO108" s="683"/>
    </row>
    <row r="109" spans="1:119" ht="25.5" customHeight="1" thickTop="1" thickBot="1" x14ac:dyDescent="0.2">
      <c r="A109" s="676">
        <f t="shared" si="11"/>
        <v>94</v>
      </c>
      <c r="B109" s="1054"/>
      <c r="C109" s="1054"/>
      <c r="D109" s="83"/>
      <c r="E109" s="954"/>
      <c r="F109" s="52"/>
      <c r="G109" s="103"/>
      <c r="H109" s="1058"/>
      <c r="I109" s="684" t="str">
        <f t="shared" si="8"/>
        <v/>
      </c>
      <c r="J109" s="685">
        <f t="shared" si="9"/>
        <v>0</v>
      </c>
      <c r="K109" s="1252"/>
      <c r="L109" s="1251"/>
      <c r="M109" s="1257"/>
      <c r="N109" s="719" t="str">
        <f t="shared" si="12"/>
        <v/>
      </c>
      <c r="O109" s="720" t="str">
        <f>IF('Set up ~ Config'!$G$32=6,IF(OR($N109=7,$N109=8,$N109=9),1,IF(OR($N109=10,$N109=11,$N109=12),2,IF(OR($N109=1,$N109=2,$N109=3),3,IF(OR($N109=4,$N109=5,$N109=6),4,"")))),IF(OR($N109=9,$N109=10,$N109=11),1,IF(OR($N109=12,$N109=1,$N109=2),2,IF(OR($N109=3,$N109=4,$N109=5),3,IF(OR($N109=6,$N109=7,$N109=8),4,"")))))</f>
        <v/>
      </c>
      <c r="P109" s="99"/>
      <c r="Q109" s="62"/>
      <c r="R109" s="62"/>
      <c r="S109" s="51"/>
      <c r="T109" s="51"/>
      <c r="U109" s="51"/>
      <c r="V109" s="51"/>
      <c r="W109" s="51"/>
      <c r="X109" s="51"/>
      <c r="Y109" s="51"/>
      <c r="Z109" s="51"/>
      <c r="AA109" s="51"/>
      <c r="AB109" s="51"/>
      <c r="AC109" s="51"/>
      <c r="AD109" s="51"/>
      <c r="AE109" s="51"/>
      <c r="AF109" s="51"/>
      <c r="AG109" s="51"/>
      <c r="AH109" s="94"/>
      <c r="AI109" s="94"/>
      <c r="AJ109" s="94"/>
      <c r="AK109" s="94"/>
      <c r="AL109" s="94"/>
      <c r="AM109" s="94"/>
      <c r="AN109" s="94"/>
      <c r="AO109" s="95"/>
      <c r="AP109" s="686">
        <f t="shared" si="13"/>
        <v>0</v>
      </c>
      <c r="AQ109" s="42"/>
      <c r="AR109" s="42"/>
      <c r="AS109" s="42"/>
      <c r="AT109" s="43"/>
      <c r="AU109" s="687">
        <f t="shared" si="14"/>
        <v>0</v>
      </c>
      <c r="AV109" s="42"/>
      <c r="AW109" s="42"/>
      <c r="AX109" s="42"/>
      <c r="AY109" s="43"/>
      <c r="AZ109" s="486"/>
      <c r="BA109" s="51"/>
      <c r="BB109" s="51"/>
      <c r="BC109" s="51"/>
      <c r="BD109" s="51"/>
      <c r="BE109" s="51"/>
      <c r="BF109" s="51"/>
      <c r="BG109" s="51"/>
      <c r="BH109" s="94"/>
      <c r="BI109" s="94"/>
      <c r="BJ109" s="94"/>
      <c r="BK109" s="94"/>
      <c r="BL109" s="94"/>
      <c r="BM109" s="483"/>
      <c r="BN109" s="94"/>
      <c r="BO109" s="94"/>
      <c r="BP109" s="94"/>
      <c r="BQ109" s="94"/>
      <c r="BR109" s="94"/>
      <c r="BS109" s="94"/>
      <c r="BT109" s="94"/>
      <c r="BU109" s="94"/>
      <c r="BV109" s="94"/>
      <c r="BW109" s="688">
        <f t="shared" si="10"/>
        <v>0</v>
      </c>
      <c r="BX109" s="51"/>
      <c r="BY109" s="51"/>
      <c r="BZ109" s="51"/>
      <c r="CA109" s="51"/>
      <c r="CB109" s="51"/>
      <c r="CC109" s="51"/>
      <c r="CD109" s="97"/>
      <c r="CE109" s="479"/>
      <c r="CF109" s="51"/>
      <c r="CG109" s="51"/>
      <c r="CH109" s="62"/>
      <c r="CI109" s="62"/>
      <c r="CJ109" s="51"/>
      <c r="CK109" s="51"/>
      <c r="CL109" s="95"/>
      <c r="CM109" s="93"/>
      <c r="CN109" s="51"/>
      <c r="CO109" s="51"/>
      <c r="CP109" s="51"/>
      <c r="CQ109" s="51"/>
      <c r="CR109" s="51"/>
      <c r="CS109" s="51"/>
      <c r="CT109" s="51"/>
      <c r="CU109" s="95"/>
      <c r="CV109" s="93"/>
      <c r="CW109" s="51"/>
      <c r="CX109" s="51"/>
      <c r="CY109" s="51"/>
      <c r="CZ109" s="51"/>
      <c r="DA109" s="51"/>
      <c r="DB109" s="51"/>
      <c r="DC109" s="51"/>
      <c r="DD109" s="95"/>
      <c r="DE109" s="93"/>
      <c r="DF109" s="51"/>
      <c r="DG109" s="51"/>
      <c r="DH109" s="51"/>
      <c r="DI109" s="51"/>
      <c r="DJ109" s="51"/>
      <c r="DK109" s="51"/>
      <c r="DL109" s="95"/>
      <c r="DM109" s="478"/>
      <c r="DN109" s="682">
        <f t="shared" si="15"/>
        <v>0</v>
      </c>
      <c r="DO109" s="683"/>
    </row>
    <row r="110" spans="1:119" ht="25.5" customHeight="1" thickTop="1" thickBot="1" x14ac:dyDescent="0.2">
      <c r="A110" s="676">
        <f t="shared" si="11"/>
        <v>95</v>
      </c>
      <c r="B110" s="1054"/>
      <c r="C110" s="1054"/>
      <c r="D110" s="83"/>
      <c r="E110" s="954"/>
      <c r="F110" s="52"/>
      <c r="G110" s="103"/>
      <c r="H110" s="1058"/>
      <c r="I110" s="684" t="str">
        <f t="shared" si="8"/>
        <v/>
      </c>
      <c r="J110" s="685">
        <f t="shared" si="9"/>
        <v>0</v>
      </c>
      <c r="K110" s="1252"/>
      <c r="L110" s="1251"/>
      <c r="M110" s="1257"/>
      <c r="N110" s="719" t="str">
        <f t="shared" si="12"/>
        <v/>
      </c>
      <c r="O110" s="720" t="str">
        <f>IF('Set up ~ Config'!$G$32=6,IF(OR($N110=7,$N110=8,$N110=9),1,IF(OR($N110=10,$N110=11,$N110=12),2,IF(OR($N110=1,$N110=2,$N110=3),3,IF(OR($N110=4,$N110=5,$N110=6),4,"")))),IF(OR($N110=9,$N110=10,$N110=11),1,IF(OR($N110=12,$N110=1,$N110=2),2,IF(OR($N110=3,$N110=4,$N110=5),3,IF(OR($N110=6,$N110=7,$N110=8),4,"")))))</f>
        <v/>
      </c>
      <c r="P110" s="99"/>
      <c r="Q110" s="62"/>
      <c r="R110" s="62"/>
      <c r="S110" s="51"/>
      <c r="T110" s="51"/>
      <c r="U110" s="51"/>
      <c r="V110" s="51"/>
      <c r="W110" s="51"/>
      <c r="X110" s="51"/>
      <c r="Y110" s="51"/>
      <c r="Z110" s="51"/>
      <c r="AA110" s="51"/>
      <c r="AB110" s="51"/>
      <c r="AC110" s="51"/>
      <c r="AD110" s="51"/>
      <c r="AE110" s="51"/>
      <c r="AF110" s="51"/>
      <c r="AG110" s="51"/>
      <c r="AH110" s="94"/>
      <c r="AI110" s="94"/>
      <c r="AJ110" s="94"/>
      <c r="AK110" s="94"/>
      <c r="AL110" s="94"/>
      <c r="AM110" s="94"/>
      <c r="AN110" s="94"/>
      <c r="AO110" s="95"/>
      <c r="AP110" s="686">
        <f t="shared" si="13"/>
        <v>0</v>
      </c>
      <c r="AQ110" s="42"/>
      <c r="AR110" s="42"/>
      <c r="AS110" s="42"/>
      <c r="AT110" s="43"/>
      <c r="AU110" s="687">
        <f t="shared" si="14"/>
        <v>0</v>
      </c>
      <c r="AV110" s="42"/>
      <c r="AW110" s="42"/>
      <c r="AX110" s="42"/>
      <c r="AY110" s="43"/>
      <c r="AZ110" s="486"/>
      <c r="BA110" s="51"/>
      <c r="BB110" s="51"/>
      <c r="BC110" s="51"/>
      <c r="BD110" s="51"/>
      <c r="BE110" s="51"/>
      <c r="BF110" s="51"/>
      <c r="BG110" s="51"/>
      <c r="BH110" s="94"/>
      <c r="BI110" s="94"/>
      <c r="BJ110" s="94"/>
      <c r="BK110" s="94"/>
      <c r="BL110" s="94"/>
      <c r="BM110" s="483"/>
      <c r="BN110" s="94"/>
      <c r="BO110" s="94"/>
      <c r="BP110" s="94"/>
      <c r="BQ110" s="94"/>
      <c r="BR110" s="94"/>
      <c r="BS110" s="94"/>
      <c r="BT110" s="94"/>
      <c r="BU110" s="94"/>
      <c r="BV110" s="94"/>
      <c r="BW110" s="688">
        <f t="shared" si="10"/>
        <v>0</v>
      </c>
      <c r="BX110" s="51"/>
      <c r="BY110" s="51"/>
      <c r="BZ110" s="51"/>
      <c r="CA110" s="51"/>
      <c r="CB110" s="51"/>
      <c r="CC110" s="51"/>
      <c r="CD110" s="97"/>
      <c r="CE110" s="479"/>
      <c r="CF110" s="51"/>
      <c r="CG110" s="51"/>
      <c r="CH110" s="62"/>
      <c r="CI110" s="62"/>
      <c r="CJ110" s="51"/>
      <c r="CK110" s="51"/>
      <c r="CL110" s="95"/>
      <c r="CM110" s="93"/>
      <c r="CN110" s="51"/>
      <c r="CO110" s="51"/>
      <c r="CP110" s="51"/>
      <c r="CQ110" s="51"/>
      <c r="CR110" s="51"/>
      <c r="CS110" s="51"/>
      <c r="CT110" s="51"/>
      <c r="CU110" s="95"/>
      <c r="CV110" s="93"/>
      <c r="CW110" s="51"/>
      <c r="CX110" s="51"/>
      <c r="CY110" s="51"/>
      <c r="CZ110" s="51"/>
      <c r="DA110" s="51"/>
      <c r="DB110" s="51"/>
      <c r="DC110" s="51"/>
      <c r="DD110" s="95"/>
      <c r="DE110" s="93"/>
      <c r="DF110" s="51"/>
      <c r="DG110" s="51"/>
      <c r="DH110" s="51"/>
      <c r="DI110" s="51"/>
      <c r="DJ110" s="51"/>
      <c r="DK110" s="51"/>
      <c r="DL110" s="95"/>
      <c r="DM110" s="478"/>
      <c r="DN110" s="682">
        <f t="shared" si="15"/>
        <v>0</v>
      </c>
      <c r="DO110" s="683"/>
    </row>
    <row r="111" spans="1:119" ht="25.5" customHeight="1" thickTop="1" thickBot="1" x14ac:dyDescent="0.2">
      <c r="A111" s="676">
        <f t="shared" si="11"/>
        <v>96</v>
      </c>
      <c r="B111" s="1054"/>
      <c r="C111" s="1054"/>
      <c r="D111" s="83"/>
      <c r="E111" s="954"/>
      <c r="F111" s="52"/>
      <c r="G111" s="103"/>
      <c r="H111" s="1058"/>
      <c r="I111" s="684" t="str">
        <f t="shared" si="8"/>
        <v/>
      </c>
      <c r="J111" s="685">
        <f t="shared" si="9"/>
        <v>0</v>
      </c>
      <c r="K111" s="1252"/>
      <c r="L111" s="1251"/>
      <c r="M111" s="1257"/>
      <c r="N111" s="719" t="str">
        <f t="shared" si="12"/>
        <v/>
      </c>
      <c r="O111" s="720" t="str">
        <f>IF('Set up ~ Config'!$G$32=6,IF(OR($N111=7,$N111=8,$N111=9),1,IF(OR($N111=10,$N111=11,$N111=12),2,IF(OR($N111=1,$N111=2,$N111=3),3,IF(OR($N111=4,$N111=5,$N111=6),4,"")))),IF(OR($N111=9,$N111=10,$N111=11),1,IF(OR($N111=12,$N111=1,$N111=2),2,IF(OR($N111=3,$N111=4,$N111=5),3,IF(OR($N111=6,$N111=7,$N111=8),4,"")))))</f>
        <v/>
      </c>
      <c r="P111" s="99"/>
      <c r="Q111" s="62"/>
      <c r="R111" s="62"/>
      <c r="S111" s="51"/>
      <c r="T111" s="51"/>
      <c r="U111" s="51"/>
      <c r="V111" s="51"/>
      <c r="W111" s="51"/>
      <c r="X111" s="51"/>
      <c r="Y111" s="51"/>
      <c r="Z111" s="51"/>
      <c r="AA111" s="51"/>
      <c r="AB111" s="51"/>
      <c r="AC111" s="51"/>
      <c r="AD111" s="51"/>
      <c r="AE111" s="51"/>
      <c r="AF111" s="51"/>
      <c r="AG111" s="51"/>
      <c r="AH111" s="94"/>
      <c r="AI111" s="94"/>
      <c r="AJ111" s="94"/>
      <c r="AK111" s="94"/>
      <c r="AL111" s="94"/>
      <c r="AM111" s="94"/>
      <c r="AN111" s="94"/>
      <c r="AO111" s="95"/>
      <c r="AP111" s="686">
        <f t="shared" si="13"/>
        <v>0</v>
      </c>
      <c r="AQ111" s="42"/>
      <c r="AR111" s="42"/>
      <c r="AS111" s="42"/>
      <c r="AT111" s="43"/>
      <c r="AU111" s="687">
        <f t="shared" si="14"/>
        <v>0</v>
      </c>
      <c r="AV111" s="42"/>
      <c r="AW111" s="42"/>
      <c r="AX111" s="42"/>
      <c r="AY111" s="43"/>
      <c r="AZ111" s="486"/>
      <c r="BA111" s="51"/>
      <c r="BB111" s="51"/>
      <c r="BC111" s="51"/>
      <c r="BD111" s="51"/>
      <c r="BE111" s="51"/>
      <c r="BF111" s="51"/>
      <c r="BG111" s="51"/>
      <c r="BH111" s="94"/>
      <c r="BI111" s="94"/>
      <c r="BJ111" s="94"/>
      <c r="BK111" s="94"/>
      <c r="BL111" s="94"/>
      <c r="BM111" s="483"/>
      <c r="BN111" s="94"/>
      <c r="BO111" s="94"/>
      <c r="BP111" s="94"/>
      <c r="BQ111" s="94"/>
      <c r="BR111" s="94"/>
      <c r="BS111" s="94"/>
      <c r="BT111" s="94"/>
      <c r="BU111" s="94"/>
      <c r="BV111" s="94"/>
      <c r="BW111" s="688">
        <f t="shared" si="10"/>
        <v>0</v>
      </c>
      <c r="BX111" s="51"/>
      <c r="BY111" s="51"/>
      <c r="BZ111" s="51"/>
      <c r="CA111" s="51"/>
      <c r="CB111" s="51"/>
      <c r="CC111" s="51"/>
      <c r="CD111" s="97"/>
      <c r="CE111" s="479"/>
      <c r="CF111" s="51"/>
      <c r="CG111" s="51"/>
      <c r="CH111" s="62"/>
      <c r="CI111" s="62"/>
      <c r="CJ111" s="51"/>
      <c r="CK111" s="51"/>
      <c r="CL111" s="95"/>
      <c r="CM111" s="93"/>
      <c r="CN111" s="51"/>
      <c r="CO111" s="51"/>
      <c r="CP111" s="51"/>
      <c r="CQ111" s="51"/>
      <c r="CR111" s="51"/>
      <c r="CS111" s="51"/>
      <c r="CT111" s="51"/>
      <c r="CU111" s="95"/>
      <c r="CV111" s="93"/>
      <c r="CW111" s="51"/>
      <c r="CX111" s="51"/>
      <c r="CY111" s="51"/>
      <c r="CZ111" s="51"/>
      <c r="DA111" s="51"/>
      <c r="DB111" s="51"/>
      <c r="DC111" s="51"/>
      <c r="DD111" s="95"/>
      <c r="DE111" s="93"/>
      <c r="DF111" s="51"/>
      <c r="DG111" s="51"/>
      <c r="DH111" s="51"/>
      <c r="DI111" s="51"/>
      <c r="DJ111" s="51"/>
      <c r="DK111" s="51"/>
      <c r="DL111" s="95"/>
      <c r="DM111" s="478"/>
      <c r="DN111" s="682">
        <f t="shared" si="15"/>
        <v>0</v>
      </c>
      <c r="DO111" s="683"/>
    </row>
    <row r="112" spans="1:119" ht="25.5" customHeight="1" thickTop="1" thickBot="1" x14ac:dyDescent="0.2">
      <c r="A112" s="676">
        <f t="shared" si="11"/>
        <v>97</v>
      </c>
      <c r="B112" s="1054"/>
      <c r="C112" s="1054"/>
      <c r="D112" s="83"/>
      <c r="E112" s="954"/>
      <c r="F112" s="52"/>
      <c r="G112" s="103"/>
      <c r="H112" s="1058"/>
      <c r="I112" s="684" t="str">
        <f t="shared" si="8"/>
        <v/>
      </c>
      <c r="J112" s="685">
        <f t="shared" si="9"/>
        <v>0</v>
      </c>
      <c r="K112" s="1252"/>
      <c r="L112" s="1251"/>
      <c r="M112" s="1257"/>
      <c r="N112" s="719" t="str">
        <f t="shared" si="12"/>
        <v/>
      </c>
      <c r="O112" s="720" t="str">
        <f>IF('Set up ~ Config'!$G$32=6,IF(OR($N112=7,$N112=8,$N112=9),1,IF(OR($N112=10,$N112=11,$N112=12),2,IF(OR($N112=1,$N112=2,$N112=3),3,IF(OR($N112=4,$N112=5,$N112=6),4,"")))),IF(OR($N112=9,$N112=10,$N112=11),1,IF(OR($N112=12,$N112=1,$N112=2),2,IF(OR($N112=3,$N112=4,$N112=5),3,IF(OR($N112=6,$N112=7,$N112=8),4,"")))))</f>
        <v/>
      </c>
      <c r="P112" s="99"/>
      <c r="Q112" s="62"/>
      <c r="R112" s="62"/>
      <c r="S112" s="51"/>
      <c r="T112" s="51"/>
      <c r="U112" s="51"/>
      <c r="V112" s="51"/>
      <c r="W112" s="51"/>
      <c r="X112" s="51"/>
      <c r="Y112" s="51"/>
      <c r="Z112" s="51"/>
      <c r="AA112" s="51"/>
      <c r="AB112" s="51"/>
      <c r="AC112" s="51"/>
      <c r="AD112" s="51"/>
      <c r="AE112" s="51"/>
      <c r="AF112" s="51"/>
      <c r="AG112" s="51"/>
      <c r="AH112" s="94"/>
      <c r="AI112" s="94"/>
      <c r="AJ112" s="94"/>
      <c r="AK112" s="94"/>
      <c r="AL112" s="94"/>
      <c r="AM112" s="94"/>
      <c r="AN112" s="94"/>
      <c r="AO112" s="95"/>
      <c r="AP112" s="686">
        <f t="shared" si="13"/>
        <v>0</v>
      </c>
      <c r="AQ112" s="42"/>
      <c r="AR112" s="42"/>
      <c r="AS112" s="42"/>
      <c r="AT112" s="43"/>
      <c r="AU112" s="687">
        <f t="shared" si="14"/>
        <v>0</v>
      </c>
      <c r="AV112" s="42"/>
      <c r="AW112" s="42"/>
      <c r="AX112" s="42"/>
      <c r="AY112" s="43"/>
      <c r="AZ112" s="486"/>
      <c r="BA112" s="51"/>
      <c r="BB112" s="51"/>
      <c r="BC112" s="51"/>
      <c r="BD112" s="51"/>
      <c r="BE112" s="51"/>
      <c r="BF112" s="51"/>
      <c r="BG112" s="51"/>
      <c r="BH112" s="94"/>
      <c r="BI112" s="94"/>
      <c r="BJ112" s="94"/>
      <c r="BK112" s="94"/>
      <c r="BL112" s="94"/>
      <c r="BM112" s="483"/>
      <c r="BN112" s="94"/>
      <c r="BO112" s="94"/>
      <c r="BP112" s="94"/>
      <c r="BQ112" s="94"/>
      <c r="BR112" s="94"/>
      <c r="BS112" s="94"/>
      <c r="BT112" s="94"/>
      <c r="BU112" s="94"/>
      <c r="BV112" s="94"/>
      <c r="BW112" s="688">
        <f t="shared" si="10"/>
        <v>0</v>
      </c>
      <c r="BX112" s="51"/>
      <c r="BY112" s="51"/>
      <c r="BZ112" s="51"/>
      <c r="CA112" s="51"/>
      <c r="CB112" s="51"/>
      <c r="CC112" s="51"/>
      <c r="CD112" s="97"/>
      <c r="CE112" s="479"/>
      <c r="CF112" s="51"/>
      <c r="CG112" s="51"/>
      <c r="CH112" s="62"/>
      <c r="CI112" s="62"/>
      <c r="CJ112" s="51"/>
      <c r="CK112" s="51"/>
      <c r="CL112" s="95"/>
      <c r="CM112" s="93"/>
      <c r="CN112" s="51"/>
      <c r="CO112" s="51"/>
      <c r="CP112" s="51"/>
      <c r="CQ112" s="51"/>
      <c r="CR112" s="51"/>
      <c r="CS112" s="51"/>
      <c r="CT112" s="51"/>
      <c r="CU112" s="95"/>
      <c r="CV112" s="93"/>
      <c r="CW112" s="51"/>
      <c r="CX112" s="51"/>
      <c r="CY112" s="51"/>
      <c r="CZ112" s="51"/>
      <c r="DA112" s="51"/>
      <c r="DB112" s="51"/>
      <c r="DC112" s="51"/>
      <c r="DD112" s="95"/>
      <c r="DE112" s="93"/>
      <c r="DF112" s="51"/>
      <c r="DG112" s="51"/>
      <c r="DH112" s="51"/>
      <c r="DI112" s="51"/>
      <c r="DJ112" s="51"/>
      <c r="DK112" s="51"/>
      <c r="DL112" s="95"/>
      <c r="DM112" s="478"/>
      <c r="DN112" s="682">
        <f t="shared" si="15"/>
        <v>0</v>
      </c>
      <c r="DO112" s="683"/>
    </row>
    <row r="113" spans="1:119" ht="25.5" customHeight="1" thickTop="1" thickBot="1" x14ac:dyDescent="0.2">
      <c r="A113" s="676">
        <f t="shared" si="11"/>
        <v>98</v>
      </c>
      <c r="B113" s="1054"/>
      <c r="C113" s="1054"/>
      <c r="D113" s="83"/>
      <c r="E113" s="954"/>
      <c r="F113" s="52"/>
      <c r="G113" s="103"/>
      <c r="H113" s="1058"/>
      <c r="I113" s="684" t="str">
        <f t="shared" si="8"/>
        <v/>
      </c>
      <c r="J113" s="685">
        <f t="shared" si="9"/>
        <v>0</v>
      </c>
      <c r="K113" s="1252"/>
      <c r="L113" s="1251"/>
      <c r="M113" s="1257"/>
      <c r="N113" s="719" t="str">
        <f t="shared" si="12"/>
        <v/>
      </c>
      <c r="O113" s="720" t="str">
        <f>IF('Set up ~ Config'!$G$32=6,IF(OR($N113=7,$N113=8,$N113=9),1,IF(OR($N113=10,$N113=11,$N113=12),2,IF(OR($N113=1,$N113=2,$N113=3),3,IF(OR($N113=4,$N113=5,$N113=6),4,"")))),IF(OR($N113=9,$N113=10,$N113=11),1,IF(OR($N113=12,$N113=1,$N113=2),2,IF(OR($N113=3,$N113=4,$N113=5),3,IF(OR($N113=6,$N113=7,$N113=8),4,"")))))</f>
        <v/>
      </c>
      <c r="P113" s="99"/>
      <c r="Q113" s="62"/>
      <c r="R113" s="62"/>
      <c r="S113" s="51"/>
      <c r="T113" s="51"/>
      <c r="U113" s="51"/>
      <c r="V113" s="51"/>
      <c r="W113" s="51"/>
      <c r="X113" s="51"/>
      <c r="Y113" s="51"/>
      <c r="Z113" s="51"/>
      <c r="AA113" s="51"/>
      <c r="AB113" s="51"/>
      <c r="AC113" s="51"/>
      <c r="AD113" s="51"/>
      <c r="AE113" s="51"/>
      <c r="AF113" s="51"/>
      <c r="AG113" s="51"/>
      <c r="AH113" s="94"/>
      <c r="AI113" s="94"/>
      <c r="AJ113" s="94"/>
      <c r="AK113" s="94"/>
      <c r="AL113" s="94"/>
      <c r="AM113" s="94"/>
      <c r="AN113" s="94"/>
      <c r="AO113" s="95"/>
      <c r="AP113" s="686">
        <f t="shared" si="13"/>
        <v>0</v>
      </c>
      <c r="AQ113" s="42"/>
      <c r="AR113" s="42"/>
      <c r="AS113" s="42"/>
      <c r="AT113" s="43"/>
      <c r="AU113" s="687">
        <f t="shared" si="14"/>
        <v>0</v>
      </c>
      <c r="AV113" s="42"/>
      <c r="AW113" s="42"/>
      <c r="AX113" s="42"/>
      <c r="AY113" s="43"/>
      <c r="AZ113" s="486"/>
      <c r="BA113" s="51"/>
      <c r="BB113" s="51"/>
      <c r="BC113" s="51"/>
      <c r="BD113" s="51"/>
      <c r="BE113" s="51"/>
      <c r="BF113" s="51"/>
      <c r="BG113" s="51"/>
      <c r="BH113" s="94"/>
      <c r="BI113" s="94"/>
      <c r="BJ113" s="94"/>
      <c r="BK113" s="94"/>
      <c r="BL113" s="94"/>
      <c r="BM113" s="483"/>
      <c r="BN113" s="94"/>
      <c r="BO113" s="94"/>
      <c r="BP113" s="94"/>
      <c r="BQ113" s="94"/>
      <c r="BR113" s="94"/>
      <c r="BS113" s="94"/>
      <c r="BT113" s="94"/>
      <c r="BU113" s="94"/>
      <c r="BV113" s="94"/>
      <c r="BW113" s="688">
        <f t="shared" si="10"/>
        <v>0</v>
      </c>
      <c r="BX113" s="51"/>
      <c r="BY113" s="51"/>
      <c r="BZ113" s="51"/>
      <c r="CA113" s="51"/>
      <c r="CB113" s="51"/>
      <c r="CC113" s="51"/>
      <c r="CD113" s="97"/>
      <c r="CE113" s="479"/>
      <c r="CF113" s="51"/>
      <c r="CG113" s="51"/>
      <c r="CH113" s="62"/>
      <c r="CI113" s="62"/>
      <c r="CJ113" s="51"/>
      <c r="CK113" s="51"/>
      <c r="CL113" s="95"/>
      <c r="CM113" s="93"/>
      <c r="CN113" s="51"/>
      <c r="CO113" s="51"/>
      <c r="CP113" s="51"/>
      <c r="CQ113" s="51"/>
      <c r="CR113" s="51"/>
      <c r="CS113" s="51"/>
      <c r="CT113" s="51"/>
      <c r="CU113" s="95"/>
      <c r="CV113" s="93"/>
      <c r="CW113" s="51"/>
      <c r="CX113" s="51"/>
      <c r="CY113" s="51"/>
      <c r="CZ113" s="51"/>
      <c r="DA113" s="51"/>
      <c r="DB113" s="51"/>
      <c r="DC113" s="51"/>
      <c r="DD113" s="95"/>
      <c r="DE113" s="93"/>
      <c r="DF113" s="51"/>
      <c r="DG113" s="51"/>
      <c r="DH113" s="51"/>
      <c r="DI113" s="51"/>
      <c r="DJ113" s="51"/>
      <c r="DK113" s="51"/>
      <c r="DL113" s="95"/>
      <c r="DM113" s="478"/>
      <c r="DN113" s="682">
        <f t="shared" si="15"/>
        <v>0</v>
      </c>
      <c r="DO113" s="683"/>
    </row>
    <row r="114" spans="1:119" ht="25.5" customHeight="1" thickTop="1" thickBot="1" x14ac:dyDescent="0.2">
      <c r="A114" s="676">
        <f t="shared" si="11"/>
        <v>99</v>
      </c>
      <c r="B114" s="1054"/>
      <c r="C114" s="1054"/>
      <c r="D114" s="83"/>
      <c r="E114" s="954"/>
      <c r="F114" s="52"/>
      <c r="G114" s="103"/>
      <c r="H114" s="1058"/>
      <c r="I114" s="684" t="str">
        <f t="shared" si="8"/>
        <v/>
      </c>
      <c r="J114" s="685">
        <f t="shared" si="9"/>
        <v>0</v>
      </c>
      <c r="K114" s="1252"/>
      <c r="L114" s="1251"/>
      <c r="M114" s="1257"/>
      <c r="N114" s="719" t="str">
        <f t="shared" si="12"/>
        <v/>
      </c>
      <c r="O114" s="720" t="str">
        <f>IF('Set up ~ Config'!$G$32=6,IF(OR($N114=7,$N114=8,$N114=9),1,IF(OR($N114=10,$N114=11,$N114=12),2,IF(OR($N114=1,$N114=2,$N114=3),3,IF(OR($N114=4,$N114=5,$N114=6),4,"")))),IF(OR($N114=9,$N114=10,$N114=11),1,IF(OR($N114=12,$N114=1,$N114=2),2,IF(OR($N114=3,$N114=4,$N114=5),3,IF(OR($N114=6,$N114=7,$N114=8),4,"")))))</f>
        <v/>
      </c>
      <c r="P114" s="99"/>
      <c r="Q114" s="62"/>
      <c r="R114" s="62"/>
      <c r="S114" s="51"/>
      <c r="T114" s="51"/>
      <c r="U114" s="51"/>
      <c r="V114" s="51"/>
      <c r="W114" s="51"/>
      <c r="X114" s="51"/>
      <c r="Y114" s="51"/>
      <c r="Z114" s="51"/>
      <c r="AA114" s="51"/>
      <c r="AB114" s="51"/>
      <c r="AC114" s="51"/>
      <c r="AD114" s="51"/>
      <c r="AE114" s="51"/>
      <c r="AF114" s="51"/>
      <c r="AG114" s="51"/>
      <c r="AH114" s="94"/>
      <c r="AI114" s="94"/>
      <c r="AJ114" s="94"/>
      <c r="AK114" s="94"/>
      <c r="AL114" s="94"/>
      <c r="AM114" s="94"/>
      <c r="AN114" s="94"/>
      <c r="AO114" s="95"/>
      <c r="AP114" s="686">
        <f t="shared" si="13"/>
        <v>0</v>
      </c>
      <c r="AQ114" s="42"/>
      <c r="AR114" s="42"/>
      <c r="AS114" s="42"/>
      <c r="AT114" s="43"/>
      <c r="AU114" s="687">
        <f t="shared" si="14"/>
        <v>0</v>
      </c>
      <c r="AV114" s="42"/>
      <c r="AW114" s="42"/>
      <c r="AX114" s="42"/>
      <c r="AY114" s="43"/>
      <c r="AZ114" s="486"/>
      <c r="BA114" s="51"/>
      <c r="BB114" s="51"/>
      <c r="BC114" s="51"/>
      <c r="BD114" s="51"/>
      <c r="BE114" s="51"/>
      <c r="BF114" s="51"/>
      <c r="BG114" s="51"/>
      <c r="BH114" s="94"/>
      <c r="BI114" s="94"/>
      <c r="BJ114" s="94"/>
      <c r="BK114" s="94"/>
      <c r="BL114" s="94"/>
      <c r="BM114" s="483"/>
      <c r="BN114" s="94"/>
      <c r="BO114" s="94"/>
      <c r="BP114" s="94"/>
      <c r="BQ114" s="94"/>
      <c r="BR114" s="94"/>
      <c r="BS114" s="94"/>
      <c r="BT114" s="94"/>
      <c r="BU114" s="94"/>
      <c r="BV114" s="94"/>
      <c r="BW114" s="688">
        <f t="shared" si="10"/>
        <v>0</v>
      </c>
      <c r="BX114" s="51"/>
      <c r="BY114" s="51"/>
      <c r="BZ114" s="51"/>
      <c r="CA114" s="51"/>
      <c r="CB114" s="51"/>
      <c r="CC114" s="51"/>
      <c r="CD114" s="97"/>
      <c r="CE114" s="479"/>
      <c r="CF114" s="51"/>
      <c r="CG114" s="51"/>
      <c r="CH114" s="62"/>
      <c r="CI114" s="62"/>
      <c r="CJ114" s="51"/>
      <c r="CK114" s="51"/>
      <c r="CL114" s="95"/>
      <c r="CM114" s="93"/>
      <c r="CN114" s="51"/>
      <c r="CO114" s="51"/>
      <c r="CP114" s="51"/>
      <c r="CQ114" s="51"/>
      <c r="CR114" s="51"/>
      <c r="CS114" s="51"/>
      <c r="CT114" s="51"/>
      <c r="CU114" s="95"/>
      <c r="CV114" s="93"/>
      <c r="CW114" s="51"/>
      <c r="CX114" s="51"/>
      <c r="CY114" s="51"/>
      <c r="CZ114" s="51"/>
      <c r="DA114" s="51"/>
      <c r="DB114" s="51"/>
      <c r="DC114" s="51"/>
      <c r="DD114" s="95"/>
      <c r="DE114" s="93"/>
      <c r="DF114" s="51"/>
      <c r="DG114" s="51"/>
      <c r="DH114" s="51"/>
      <c r="DI114" s="51"/>
      <c r="DJ114" s="51"/>
      <c r="DK114" s="51"/>
      <c r="DL114" s="95"/>
      <c r="DM114" s="478"/>
      <c r="DN114" s="682">
        <f t="shared" si="15"/>
        <v>0</v>
      </c>
      <c r="DO114" s="683"/>
    </row>
    <row r="115" spans="1:119" ht="25.5" customHeight="1" thickTop="1" thickBot="1" x14ac:dyDescent="0.2">
      <c r="A115" s="676">
        <f t="shared" si="11"/>
        <v>100</v>
      </c>
      <c r="B115" s="1054"/>
      <c r="C115" s="1054"/>
      <c r="D115" s="83"/>
      <c r="E115" s="954"/>
      <c r="F115" s="52"/>
      <c r="G115" s="103"/>
      <c r="H115" s="1058"/>
      <c r="I115" s="684" t="str">
        <f t="shared" si="8"/>
        <v/>
      </c>
      <c r="J115" s="685">
        <f t="shared" si="9"/>
        <v>0</v>
      </c>
      <c r="K115" s="1252"/>
      <c r="L115" s="1251"/>
      <c r="M115" s="1257"/>
      <c r="N115" s="719" t="str">
        <f t="shared" si="12"/>
        <v/>
      </c>
      <c r="O115" s="720" t="str">
        <f>IF('Set up ~ Config'!$G$32=6,IF(OR($N115=7,$N115=8,$N115=9),1,IF(OR($N115=10,$N115=11,$N115=12),2,IF(OR($N115=1,$N115=2,$N115=3),3,IF(OR($N115=4,$N115=5,$N115=6),4,"")))),IF(OR($N115=9,$N115=10,$N115=11),1,IF(OR($N115=12,$N115=1,$N115=2),2,IF(OR($N115=3,$N115=4,$N115=5),3,IF(OR($N115=6,$N115=7,$N115=8),4,"")))))</f>
        <v/>
      </c>
      <c r="P115" s="99"/>
      <c r="Q115" s="62"/>
      <c r="R115" s="62"/>
      <c r="S115" s="51"/>
      <c r="T115" s="51"/>
      <c r="U115" s="51"/>
      <c r="V115" s="51"/>
      <c r="W115" s="51"/>
      <c r="X115" s="51"/>
      <c r="Y115" s="51"/>
      <c r="Z115" s="51"/>
      <c r="AA115" s="51"/>
      <c r="AB115" s="51"/>
      <c r="AC115" s="51"/>
      <c r="AD115" s="51"/>
      <c r="AE115" s="51"/>
      <c r="AF115" s="51"/>
      <c r="AG115" s="51"/>
      <c r="AH115" s="94"/>
      <c r="AI115" s="94"/>
      <c r="AJ115" s="94"/>
      <c r="AK115" s="94"/>
      <c r="AL115" s="94"/>
      <c r="AM115" s="94"/>
      <c r="AN115" s="94"/>
      <c r="AO115" s="95"/>
      <c r="AP115" s="686">
        <f t="shared" si="13"/>
        <v>0</v>
      </c>
      <c r="AQ115" s="42"/>
      <c r="AR115" s="42"/>
      <c r="AS115" s="42"/>
      <c r="AT115" s="43"/>
      <c r="AU115" s="687">
        <f t="shared" si="14"/>
        <v>0</v>
      </c>
      <c r="AV115" s="42"/>
      <c r="AW115" s="42"/>
      <c r="AX115" s="42"/>
      <c r="AY115" s="43"/>
      <c r="AZ115" s="486"/>
      <c r="BA115" s="51"/>
      <c r="BB115" s="51"/>
      <c r="BC115" s="51"/>
      <c r="BD115" s="51"/>
      <c r="BE115" s="51"/>
      <c r="BF115" s="51"/>
      <c r="BG115" s="51"/>
      <c r="BH115" s="94"/>
      <c r="BI115" s="94"/>
      <c r="BJ115" s="94"/>
      <c r="BK115" s="94"/>
      <c r="BL115" s="94"/>
      <c r="BM115" s="483"/>
      <c r="BN115" s="94"/>
      <c r="BO115" s="94"/>
      <c r="BP115" s="94"/>
      <c r="BQ115" s="94"/>
      <c r="BR115" s="94"/>
      <c r="BS115" s="94"/>
      <c r="BT115" s="94"/>
      <c r="BU115" s="94"/>
      <c r="BV115" s="94"/>
      <c r="BW115" s="688">
        <f t="shared" si="10"/>
        <v>0</v>
      </c>
      <c r="BX115" s="51"/>
      <c r="BY115" s="51"/>
      <c r="BZ115" s="51"/>
      <c r="CA115" s="51"/>
      <c r="CB115" s="51"/>
      <c r="CC115" s="51"/>
      <c r="CD115" s="97"/>
      <c r="CE115" s="479"/>
      <c r="CF115" s="51"/>
      <c r="CG115" s="51"/>
      <c r="CH115" s="62"/>
      <c r="CI115" s="62"/>
      <c r="CJ115" s="51"/>
      <c r="CK115" s="51"/>
      <c r="CL115" s="95"/>
      <c r="CM115" s="93"/>
      <c r="CN115" s="51"/>
      <c r="CO115" s="51"/>
      <c r="CP115" s="51"/>
      <c r="CQ115" s="51"/>
      <c r="CR115" s="51"/>
      <c r="CS115" s="51"/>
      <c r="CT115" s="51"/>
      <c r="CU115" s="95"/>
      <c r="CV115" s="93"/>
      <c r="CW115" s="51"/>
      <c r="CX115" s="51"/>
      <c r="CY115" s="51"/>
      <c r="CZ115" s="51"/>
      <c r="DA115" s="51"/>
      <c r="DB115" s="51"/>
      <c r="DC115" s="51"/>
      <c r="DD115" s="95"/>
      <c r="DE115" s="93"/>
      <c r="DF115" s="51"/>
      <c r="DG115" s="51"/>
      <c r="DH115" s="51"/>
      <c r="DI115" s="51"/>
      <c r="DJ115" s="51"/>
      <c r="DK115" s="51"/>
      <c r="DL115" s="95"/>
      <c r="DM115" s="478"/>
      <c r="DN115" s="682">
        <f t="shared" si="15"/>
        <v>0</v>
      </c>
      <c r="DO115" s="683"/>
    </row>
    <row r="116" spans="1:119" ht="25.5" customHeight="1" thickTop="1" thickBot="1" x14ac:dyDescent="0.2">
      <c r="A116" s="676">
        <f t="shared" si="11"/>
        <v>101</v>
      </c>
      <c r="B116" s="1054"/>
      <c r="C116" s="1054"/>
      <c r="D116" s="83"/>
      <c r="E116" s="954"/>
      <c r="F116" s="52"/>
      <c r="G116" s="103"/>
      <c r="H116" s="1058"/>
      <c r="I116" s="684" t="str">
        <f t="shared" si="8"/>
        <v/>
      </c>
      <c r="J116" s="685">
        <f t="shared" si="9"/>
        <v>0</v>
      </c>
      <c r="K116" s="1252"/>
      <c r="L116" s="1251"/>
      <c r="M116" s="1257"/>
      <c r="N116" s="719" t="str">
        <f t="shared" si="12"/>
        <v/>
      </c>
      <c r="O116" s="720" t="str">
        <f>IF('Set up ~ Config'!$G$32=6,IF(OR($N116=7,$N116=8,$N116=9),1,IF(OR($N116=10,$N116=11,$N116=12),2,IF(OR($N116=1,$N116=2,$N116=3),3,IF(OR($N116=4,$N116=5,$N116=6),4,"")))),IF(OR($N116=9,$N116=10,$N116=11),1,IF(OR($N116=12,$N116=1,$N116=2),2,IF(OR($N116=3,$N116=4,$N116=5),3,IF(OR($N116=6,$N116=7,$N116=8),4,"")))))</f>
        <v/>
      </c>
      <c r="P116" s="99"/>
      <c r="Q116" s="62"/>
      <c r="R116" s="62"/>
      <c r="S116" s="51"/>
      <c r="T116" s="51"/>
      <c r="U116" s="51"/>
      <c r="V116" s="51"/>
      <c r="W116" s="51"/>
      <c r="X116" s="51"/>
      <c r="Y116" s="51"/>
      <c r="Z116" s="51"/>
      <c r="AA116" s="51"/>
      <c r="AB116" s="51"/>
      <c r="AC116" s="51"/>
      <c r="AD116" s="51"/>
      <c r="AE116" s="51"/>
      <c r="AF116" s="51"/>
      <c r="AG116" s="51"/>
      <c r="AH116" s="94"/>
      <c r="AI116" s="94"/>
      <c r="AJ116" s="94"/>
      <c r="AK116" s="94"/>
      <c r="AL116" s="94"/>
      <c r="AM116" s="94"/>
      <c r="AN116" s="94"/>
      <c r="AO116" s="95"/>
      <c r="AP116" s="686">
        <f t="shared" si="13"/>
        <v>0</v>
      </c>
      <c r="AQ116" s="42"/>
      <c r="AR116" s="42"/>
      <c r="AS116" s="42"/>
      <c r="AT116" s="43"/>
      <c r="AU116" s="687">
        <f t="shared" si="14"/>
        <v>0</v>
      </c>
      <c r="AV116" s="42"/>
      <c r="AW116" s="42"/>
      <c r="AX116" s="42"/>
      <c r="AY116" s="43"/>
      <c r="AZ116" s="486"/>
      <c r="BA116" s="51"/>
      <c r="BB116" s="51"/>
      <c r="BC116" s="51"/>
      <c r="BD116" s="51"/>
      <c r="BE116" s="51"/>
      <c r="BF116" s="51"/>
      <c r="BG116" s="51"/>
      <c r="BH116" s="94"/>
      <c r="BI116" s="94"/>
      <c r="BJ116" s="94"/>
      <c r="BK116" s="94"/>
      <c r="BL116" s="94"/>
      <c r="BM116" s="483"/>
      <c r="BN116" s="94"/>
      <c r="BO116" s="94"/>
      <c r="BP116" s="94"/>
      <c r="BQ116" s="94"/>
      <c r="BR116" s="94"/>
      <c r="BS116" s="94"/>
      <c r="BT116" s="94"/>
      <c r="BU116" s="94"/>
      <c r="BV116" s="94"/>
      <c r="BW116" s="688">
        <f t="shared" si="10"/>
        <v>0</v>
      </c>
      <c r="BX116" s="51"/>
      <c r="BY116" s="51"/>
      <c r="BZ116" s="51"/>
      <c r="CA116" s="51"/>
      <c r="CB116" s="51"/>
      <c r="CC116" s="51"/>
      <c r="CD116" s="97"/>
      <c r="CE116" s="479"/>
      <c r="CF116" s="51"/>
      <c r="CG116" s="51"/>
      <c r="CH116" s="62"/>
      <c r="CI116" s="62"/>
      <c r="CJ116" s="51"/>
      <c r="CK116" s="51"/>
      <c r="CL116" s="95"/>
      <c r="CM116" s="93"/>
      <c r="CN116" s="51"/>
      <c r="CO116" s="51"/>
      <c r="CP116" s="51"/>
      <c r="CQ116" s="51"/>
      <c r="CR116" s="51"/>
      <c r="CS116" s="51"/>
      <c r="CT116" s="51"/>
      <c r="CU116" s="95"/>
      <c r="CV116" s="93"/>
      <c r="CW116" s="51"/>
      <c r="CX116" s="51"/>
      <c r="CY116" s="51"/>
      <c r="CZ116" s="51"/>
      <c r="DA116" s="51"/>
      <c r="DB116" s="51"/>
      <c r="DC116" s="51"/>
      <c r="DD116" s="95"/>
      <c r="DE116" s="93"/>
      <c r="DF116" s="51"/>
      <c r="DG116" s="51"/>
      <c r="DH116" s="51"/>
      <c r="DI116" s="51"/>
      <c r="DJ116" s="51"/>
      <c r="DK116" s="51"/>
      <c r="DL116" s="95"/>
      <c r="DM116" s="478"/>
      <c r="DN116" s="682">
        <f t="shared" si="15"/>
        <v>0</v>
      </c>
      <c r="DO116" s="683"/>
    </row>
    <row r="117" spans="1:119" ht="25.5" customHeight="1" thickTop="1" thickBot="1" x14ac:dyDescent="0.2">
      <c r="A117" s="676">
        <f t="shared" si="11"/>
        <v>102</v>
      </c>
      <c r="B117" s="1054"/>
      <c r="C117" s="1054"/>
      <c r="D117" s="83"/>
      <c r="E117" s="954"/>
      <c r="F117" s="52"/>
      <c r="G117" s="103"/>
      <c r="H117" s="1058"/>
      <c r="I117" s="684" t="str">
        <f t="shared" si="8"/>
        <v/>
      </c>
      <c r="J117" s="685">
        <f t="shared" si="9"/>
        <v>0</v>
      </c>
      <c r="K117" s="1252"/>
      <c r="L117" s="1251"/>
      <c r="M117" s="1257"/>
      <c r="N117" s="719" t="str">
        <f t="shared" si="12"/>
        <v/>
      </c>
      <c r="O117" s="720" t="str">
        <f>IF('Set up ~ Config'!$G$32=6,IF(OR($N117=7,$N117=8,$N117=9),1,IF(OR($N117=10,$N117=11,$N117=12),2,IF(OR($N117=1,$N117=2,$N117=3),3,IF(OR($N117=4,$N117=5,$N117=6),4,"")))),IF(OR($N117=9,$N117=10,$N117=11),1,IF(OR($N117=12,$N117=1,$N117=2),2,IF(OR($N117=3,$N117=4,$N117=5),3,IF(OR($N117=6,$N117=7,$N117=8),4,"")))))</f>
        <v/>
      </c>
      <c r="P117" s="99"/>
      <c r="Q117" s="62"/>
      <c r="R117" s="62"/>
      <c r="S117" s="51"/>
      <c r="T117" s="51"/>
      <c r="U117" s="51"/>
      <c r="V117" s="51"/>
      <c r="W117" s="51"/>
      <c r="X117" s="51"/>
      <c r="Y117" s="51"/>
      <c r="Z117" s="51"/>
      <c r="AA117" s="51"/>
      <c r="AB117" s="51"/>
      <c r="AC117" s="51"/>
      <c r="AD117" s="51"/>
      <c r="AE117" s="51"/>
      <c r="AF117" s="51"/>
      <c r="AG117" s="51"/>
      <c r="AH117" s="94"/>
      <c r="AI117" s="94"/>
      <c r="AJ117" s="94"/>
      <c r="AK117" s="94"/>
      <c r="AL117" s="94"/>
      <c r="AM117" s="94"/>
      <c r="AN117" s="94"/>
      <c r="AO117" s="95"/>
      <c r="AP117" s="686">
        <f t="shared" si="13"/>
        <v>0</v>
      </c>
      <c r="AQ117" s="42"/>
      <c r="AR117" s="42"/>
      <c r="AS117" s="42"/>
      <c r="AT117" s="43"/>
      <c r="AU117" s="687">
        <f t="shared" si="14"/>
        <v>0</v>
      </c>
      <c r="AV117" s="42"/>
      <c r="AW117" s="42"/>
      <c r="AX117" s="42"/>
      <c r="AY117" s="43"/>
      <c r="AZ117" s="486"/>
      <c r="BA117" s="51"/>
      <c r="BB117" s="51"/>
      <c r="BC117" s="51"/>
      <c r="BD117" s="51"/>
      <c r="BE117" s="51"/>
      <c r="BF117" s="51"/>
      <c r="BG117" s="51"/>
      <c r="BH117" s="94"/>
      <c r="BI117" s="94"/>
      <c r="BJ117" s="94"/>
      <c r="BK117" s="94"/>
      <c r="BL117" s="94"/>
      <c r="BM117" s="483"/>
      <c r="BN117" s="94"/>
      <c r="BO117" s="94"/>
      <c r="BP117" s="94"/>
      <c r="BQ117" s="94"/>
      <c r="BR117" s="94"/>
      <c r="BS117" s="94"/>
      <c r="BT117" s="94"/>
      <c r="BU117" s="94"/>
      <c r="BV117" s="94"/>
      <c r="BW117" s="688">
        <f t="shared" si="10"/>
        <v>0</v>
      </c>
      <c r="BX117" s="51"/>
      <c r="BY117" s="51"/>
      <c r="BZ117" s="51"/>
      <c r="CA117" s="51"/>
      <c r="CB117" s="51"/>
      <c r="CC117" s="51"/>
      <c r="CD117" s="97"/>
      <c r="CE117" s="479"/>
      <c r="CF117" s="51"/>
      <c r="CG117" s="51"/>
      <c r="CH117" s="62"/>
      <c r="CI117" s="62"/>
      <c r="CJ117" s="51"/>
      <c r="CK117" s="51"/>
      <c r="CL117" s="95"/>
      <c r="CM117" s="93"/>
      <c r="CN117" s="51"/>
      <c r="CO117" s="51"/>
      <c r="CP117" s="51"/>
      <c r="CQ117" s="51"/>
      <c r="CR117" s="51"/>
      <c r="CS117" s="51"/>
      <c r="CT117" s="51"/>
      <c r="CU117" s="95"/>
      <c r="CV117" s="93"/>
      <c r="CW117" s="51"/>
      <c r="CX117" s="51"/>
      <c r="CY117" s="51"/>
      <c r="CZ117" s="51"/>
      <c r="DA117" s="51"/>
      <c r="DB117" s="51"/>
      <c r="DC117" s="51"/>
      <c r="DD117" s="95"/>
      <c r="DE117" s="93"/>
      <c r="DF117" s="51"/>
      <c r="DG117" s="51"/>
      <c r="DH117" s="51"/>
      <c r="DI117" s="51"/>
      <c r="DJ117" s="51"/>
      <c r="DK117" s="51"/>
      <c r="DL117" s="95"/>
      <c r="DM117" s="478"/>
      <c r="DN117" s="682">
        <f t="shared" si="15"/>
        <v>0</v>
      </c>
      <c r="DO117" s="683"/>
    </row>
    <row r="118" spans="1:119" ht="25.5" customHeight="1" thickTop="1" thickBot="1" x14ac:dyDescent="0.2">
      <c r="A118" s="676">
        <f t="shared" si="11"/>
        <v>103</v>
      </c>
      <c r="B118" s="1054"/>
      <c r="C118" s="1054"/>
      <c r="D118" s="83"/>
      <c r="E118" s="954"/>
      <c r="F118" s="52"/>
      <c r="G118" s="103"/>
      <c r="H118" s="1058"/>
      <c r="I118" s="684" t="str">
        <f t="shared" si="8"/>
        <v/>
      </c>
      <c r="J118" s="685">
        <f t="shared" si="9"/>
        <v>0</v>
      </c>
      <c r="K118" s="1252"/>
      <c r="L118" s="1251"/>
      <c r="M118" s="1257"/>
      <c r="N118" s="719" t="str">
        <f t="shared" si="12"/>
        <v/>
      </c>
      <c r="O118" s="720" t="str">
        <f>IF('Set up ~ Config'!$G$32=6,IF(OR($N118=7,$N118=8,$N118=9),1,IF(OR($N118=10,$N118=11,$N118=12),2,IF(OR($N118=1,$N118=2,$N118=3),3,IF(OR($N118=4,$N118=5,$N118=6),4,"")))),IF(OR($N118=9,$N118=10,$N118=11),1,IF(OR($N118=12,$N118=1,$N118=2),2,IF(OR($N118=3,$N118=4,$N118=5),3,IF(OR($N118=6,$N118=7,$N118=8),4,"")))))</f>
        <v/>
      </c>
      <c r="P118" s="99"/>
      <c r="Q118" s="62"/>
      <c r="R118" s="62"/>
      <c r="S118" s="51"/>
      <c r="T118" s="51"/>
      <c r="U118" s="51"/>
      <c r="V118" s="51"/>
      <c r="W118" s="51"/>
      <c r="X118" s="51"/>
      <c r="Y118" s="51"/>
      <c r="Z118" s="51"/>
      <c r="AA118" s="51"/>
      <c r="AB118" s="51"/>
      <c r="AC118" s="51"/>
      <c r="AD118" s="51"/>
      <c r="AE118" s="51"/>
      <c r="AF118" s="51"/>
      <c r="AG118" s="51"/>
      <c r="AH118" s="94"/>
      <c r="AI118" s="94"/>
      <c r="AJ118" s="94"/>
      <c r="AK118" s="94"/>
      <c r="AL118" s="94"/>
      <c r="AM118" s="94"/>
      <c r="AN118" s="94"/>
      <c r="AO118" s="95"/>
      <c r="AP118" s="686">
        <f t="shared" si="13"/>
        <v>0</v>
      </c>
      <c r="AQ118" s="42"/>
      <c r="AR118" s="42"/>
      <c r="AS118" s="42"/>
      <c r="AT118" s="43"/>
      <c r="AU118" s="687">
        <f t="shared" si="14"/>
        <v>0</v>
      </c>
      <c r="AV118" s="42"/>
      <c r="AW118" s="42"/>
      <c r="AX118" s="42"/>
      <c r="AY118" s="43"/>
      <c r="AZ118" s="486"/>
      <c r="BA118" s="51"/>
      <c r="BB118" s="51"/>
      <c r="BC118" s="51"/>
      <c r="BD118" s="51"/>
      <c r="BE118" s="51"/>
      <c r="BF118" s="51"/>
      <c r="BG118" s="51"/>
      <c r="BH118" s="94"/>
      <c r="BI118" s="94"/>
      <c r="BJ118" s="94"/>
      <c r="BK118" s="94"/>
      <c r="BL118" s="94"/>
      <c r="BM118" s="483"/>
      <c r="BN118" s="94"/>
      <c r="BO118" s="94"/>
      <c r="BP118" s="94"/>
      <c r="BQ118" s="94"/>
      <c r="BR118" s="94"/>
      <c r="BS118" s="94"/>
      <c r="BT118" s="94"/>
      <c r="BU118" s="94"/>
      <c r="BV118" s="94"/>
      <c r="BW118" s="688">
        <f t="shared" si="10"/>
        <v>0</v>
      </c>
      <c r="BX118" s="51"/>
      <c r="BY118" s="51"/>
      <c r="BZ118" s="51"/>
      <c r="CA118" s="51"/>
      <c r="CB118" s="51"/>
      <c r="CC118" s="51"/>
      <c r="CD118" s="97"/>
      <c r="CE118" s="479"/>
      <c r="CF118" s="51"/>
      <c r="CG118" s="51"/>
      <c r="CH118" s="62"/>
      <c r="CI118" s="62"/>
      <c r="CJ118" s="51"/>
      <c r="CK118" s="51"/>
      <c r="CL118" s="95"/>
      <c r="CM118" s="93"/>
      <c r="CN118" s="51"/>
      <c r="CO118" s="51"/>
      <c r="CP118" s="51"/>
      <c r="CQ118" s="51"/>
      <c r="CR118" s="51"/>
      <c r="CS118" s="51"/>
      <c r="CT118" s="51"/>
      <c r="CU118" s="95"/>
      <c r="CV118" s="93"/>
      <c r="CW118" s="51"/>
      <c r="CX118" s="51"/>
      <c r="CY118" s="51"/>
      <c r="CZ118" s="51"/>
      <c r="DA118" s="51"/>
      <c r="DB118" s="51"/>
      <c r="DC118" s="51"/>
      <c r="DD118" s="95"/>
      <c r="DE118" s="93"/>
      <c r="DF118" s="51"/>
      <c r="DG118" s="51"/>
      <c r="DH118" s="51"/>
      <c r="DI118" s="51"/>
      <c r="DJ118" s="51"/>
      <c r="DK118" s="51"/>
      <c r="DL118" s="95"/>
      <c r="DM118" s="478"/>
      <c r="DN118" s="682">
        <f t="shared" si="15"/>
        <v>0</v>
      </c>
      <c r="DO118" s="683"/>
    </row>
    <row r="119" spans="1:119" ht="25.5" customHeight="1" thickTop="1" thickBot="1" x14ac:dyDescent="0.2">
      <c r="A119" s="676">
        <f t="shared" si="11"/>
        <v>104</v>
      </c>
      <c r="B119" s="1054"/>
      <c r="C119" s="1054"/>
      <c r="D119" s="83"/>
      <c r="E119" s="954"/>
      <c r="F119" s="52"/>
      <c r="G119" s="103"/>
      <c r="H119" s="1058"/>
      <c r="I119" s="684" t="str">
        <f t="shared" si="8"/>
        <v/>
      </c>
      <c r="J119" s="685">
        <f t="shared" si="9"/>
        <v>0</v>
      </c>
      <c r="K119" s="1252"/>
      <c r="L119" s="1251"/>
      <c r="M119" s="1257"/>
      <c r="N119" s="719" t="str">
        <f t="shared" si="12"/>
        <v/>
      </c>
      <c r="O119" s="720" t="str">
        <f>IF('Set up ~ Config'!$G$32=6,IF(OR($N119=7,$N119=8,$N119=9),1,IF(OR($N119=10,$N119=11,$N119=12),2,IF(OR($N119=1,$N119=2,$N119=3),3,IF(OR($N119=4,$N119=5,$N119=6),4,"")))),IF(OR($N119=9,$N119=10,$N119=11),1,IF(OR($N119=12,$N119=1,$N119=2),2,IF(OR($N119=3,$N119=4,$N119=5),3,IF(OR($N119=6,$N119=7,$N119=8),4,"")))))</f>
        <v/>
      </c>
      <c r="P119" s="99"/>
      <c r="Q119" s="62"/>
      <c r="R119" s="62"/>
      <c r="S119" s="51"/>
      <c r="T119" s="51"/>
      <c r="U119" s="51"/>
      <c r="V119" s="51"/>
      <c r="W119" s="51"/>
      <c r="X119" s="51"/>
      <c r="Y119" s="51"/>
      <c r="Z119" s="51"/>
      <c r="AA119" s="51"/>
      <c r="AB119" s="51"/>
      <c r="AC119" s="51"/>
      <c r="AD119" s="51"/>
      <c r="AE119" s="51"/>
      <c r="AF119" s="51"/>
      <c r="AG119" s="51"/>
      <c r="AH119" s="94"/>
      <c r="AI119" s="94"/>
      <c r="AJ119" s="94"/>
      <c r="AK119" s="94"/>
      <c r="AL119" s="94"/>
      <c r="AM119" s="94"/>
      <c r="AN119" s="94"/>
      <c r="AO119" s="95"/>
      <c r="AP119" s="686">
        <f t="shared" si="13"/>
        <v>0</v>
      </c>
      <c r="AQ119" s="42"/>
      <c r="AR119" s="42"/>
      <c r="AS119" s="42"/>
      <c r="AT119" s="43"/>
      <c r="AU119" s="687">
        <f t="shared" si="14"/>
        <v>0</v>
      </c>
      <c r="AV119" s="42"/>
      <c r="AW119" s="42"/>
      <c r="AX119" s="42"/>
      <c r="AY119" s="43"/>
      <c r="AZ119" s="486"/>
      <c r="BA119" s="51"/>
      <c r="BB119" s="51"/>
      <c r="BC119" s="51"/>
      <c r="BD119" s="51"/>
      <c r="BE119" s="51"/>
      <c r="BF119" s="51"/>
      <c r="BG119" s="51"/>
      <c r="BH119" s="94"/>
      <c r="BI119" s="94"/>
      <c r="BJ119" s="94"/>
      <c r="BK119" s="94"/>
      <c r="BL119" s="94"/>
      <c r="BM119" s="483"/>
      <c r="BN119" s="94"/>
      <c r="BO119" s="94"/>
      <c r="BP119" s="94"/>
      <c r="BQ119" s="94"/>
      <c r="BR119" s="94"/>
      <c r="BS119" s="94"/>
      <c r="BT119" s="94"/>
      <c r="BU119" s="94"/>
      <c r="BV119" s="94"/>
      <c r="BW119" s="688">
        <f t="shared" si="10"/>
        <v>0</v>
      </c>
      <c r="BX119" s="51"/>
      <c r="BY119" s="51"/>
      <c r="BZ119" s="51"/>
      <c r="CA119" s="51"/>
      <c r="CB119" s="51"/>
      <c r="CC119" s="51"/>
      <c r="CD119" s="97"/>
      <c r="CE119" s="479"/>
      <c r="CF119" s="51"/>
      <c r="CG119" s="51"/>
      <c r="CH119" s="62"/>
      <c r="CI119" s="62"/>
      <c r="CJ119" s="51"/>
      <c r="CK119" s="51"/>
      <c r="CL119" s="95"/>
      <c r="CM119" s="93"/>
      <c r="CN119" s="51"/>
      <c r="CO119" s="51"/>
      <c r="CP119" s="51"/>
      <c r="CQ119" s="51"/>
      <c r="CR119" s="51"/>
      <c r="CS119" s="51"/>
      <c r="CT119" s="51"/>
      <c r="CU119" s="95"/>
      <c r="CV119" s="93"/>
      <c r="CW119" s="51"/>
      <c r="CX119" s="51"/>
      <c r="CY119" s="51"/>
      <c r="CZ119" s="51"/>
      <c r="DA119" s="51"/>
      <c r="DB119" s="51"/>
      <c r="DC119" s="51"/>
      <c r="DD119" s="95"/>
      <c r="DE119" s="93"/>
      <c r="DF119" s="51"/>
      <c r="DG119" s="51"/>
      <c r="DH119" s="51"/>
      <c r="DI119" s="51"/>
      <c r="DJ119" s="51"/>
      <c r="DK119" s="51"/>
      <c r="DL119" s="95"/>
      <c r="DM119" s="478"/>
      <c r="DN119" s="682">
        <f t="shared" si="15"/>
        <v>0</v>
      </c>
      <c r="DO119" s="683"/>
    </row>
    <row r="120" spans="1:119" ht="25.5" customHeight="1" thickTop="1" thickBot="1" x14ac:dyDescent="0.2">
      <c r="A120" s="676">
        <f t="shared" si="11"/>
        <v>105</v>
      </c>
      <c r="B120" s="1054"/>
      <c r="C120" s="1054"/>
      <c r="D120" s="83"/>
      <c r="E120" s="954"/>
      <c r="F120" s="52"/>
      <c r="G120" s="103"/>
      <c r="H120" s="1058"/>
      <c r="I120" s="684" t="str">
        <f t="shared" si="8"/>
        <v/>
      </c>
      <c r="J120" s="685">
        <f t="shared" si="9"/>
        <v>0</v>
      </c>
      <c r="K120" s="1252"/>
      <c r="L120" s="1251"/>
      <c r="M120" s="1257"/>
      <c r="N120" s="719" t="str">
        <f t="shared" si="12"/>
        <v/>
      </c>
      <c r="O120" s="720" t="str">
        <f>IF('Set up ~ Config'!$G$32=6,IF(OR($N120=7,$N120=8,$N120=9),1,IF(OR($N120=10,$N120=11,$N120=12),2,IF(OR($N120=1,$N120=2,$N120=3),3,IF(OR($N120=4,$N120=5,$N120=6),4,"")))),IF(OR($N120=9,$N120=10,$N120=11),1,IF(OR($N120=12,$N120=1,$N120=2),2,IF(OR($N120=3,$N120=4,$N120=5),3,IF(OR($N120=6,$N120=7,$N120=8),4,"")))))</f>
        <v/>
      </c>
      <c r="P120" s="99"/>
      <c r="Q120" s="62"/>
      <c r="R120" s="62"/>
      <c r="S120" s="51"/>
      <c r="T120" s="51"/>
      <c r="U120" s="51"/>
      <c r="V120" s="51"/>
      <c r="W120" s="51"/>
      <c r="X120" s="51"/>
      <c r="Y120" s="51"/>
      <c r="Z120" s="51"/>
      <c r="AA120" s="51"/>
      <c r="AB120" s="51"/>
      <c r="AC120" s="51"/>
      <c r="AD120" s="51"/>
      <c r="AE120" s="51"/>
      <c r="AF120" s="51"/>
      <c r="AG120" s="51"/>
      <c r="AH120" s="94"/>
      <c r="AI120" s="94"/>
      <c r="AJ120" s="94"/>
      <c r="AK120" s="94"/>
      <c r="AL120" s="94"/>
      <c r="AM120" s="94"/>
      <c r="AN120" s="94"/>
      <c r="AO120" s="95"/>
      <c r="AP120" s="686">
        <f t="shared" si="13"/>
        <v>0</v>
      </c>
      <c r="AQ120" s="42"/>
      <c r="AR120" s="42"/>
      <c r="AS120" s="42"/>
      <c r="AT120" s="43"/>
      <c r="AU120" s="687">
        <f t="shared" si="14"/>
        <v>0</v>
      </c>
      <c r="AV120" s="42"/>
      <c r="AW120" s="42"/>
      <c r="AX120" s="42"/>
      <c r="AY120" s="43"/>
      <c r="AZ120" s="486"/>
      <c r="BA120" s="51"/>
      <c r="BB120" s="51"/>
      <c r="BC120" s="51"/>
      <c r="BD120" s="51"/>
      <c r="BE120" s="51"/>
      <c r="BF120" s="51"/>
      <c r="BG120" s="51"/>
      <c r="BH120" s="94"/>
      <c r="BI120" s="94"/>
      <c r="BJ120" s="94"/>
      <c r="BK120" s="94"/>
      <c r="BL120" s="94"/>
      <c r="BM120" s="483"/>
      <c r="BN120" s="94"/>
      <c r="BO120" s="94"/>
      <c r="BP120" s="94"/>
      <c r="BQ120" s="94"/>
      <c r="BR120" s="94"/>
      <c r="BS120" s="94"/>
      <c r="BT120" s="94"/>
      <c r="BU120" s="94"/>
      <c r="BV120" s="94"/>
      <c r="BW120" s="688">
        <f t="shared" si="10"/>
        <v>0</v>
      </c>
      <c r="BX120" s="51"/>
      <c r="BY120" s="51"/>
      <c r="BZ120" s="51"/>
      <c r="CA120" s="51"/>
      <c r="CB120" s="51"/>
      <c r="CC120" s="51"/>
      <c r="CD120" s="97"/>
      <c r="CE120" s="479"/>
      <c r="CF120" s="51"/>
      <c r="CG120" s="51"/>
      <c r="CH120" s="62"/>
      <c r="CI120" s="62"/>
      <c r="CJ120" s="51"/>
      <c r="CK120" s="51"/>
      <c r="CL120" s="95"/>
      <c r="CM120" s="93"/>
      <c r="CN120" s="51"/>
      <c r="CO120" s="51"/>
      <c r="CP120" s="51"/>
      <c r="CQ120" s="51"/>
      <c r="CR120" s="51"/>
      <c r="CS120" s="51"/>
      <c r="CT120" s="51"/>
      <c r="CU120" s="95"/>
      <c r="CV120" s="93"/>
      <c r="CW120" s="51"/>
      <c r="CX120" s="51"/>
      <c r="CY120" s="51"/>
      <c r="CZ120" s="51"/>
      <c r="DA120" s="51"/>
      <c r="DB120" s="51"/>
      <c r="DC120" s="51"/>
      <c r="DD120" s="95"/>
      <c r="DE120" s="93"/>
      <c r="DF120" s="51"/>
      <c r="DG120" s="51"/>
      <c r="DH120" s="51"/>
      <c r="DI120" s="51"/>
      <c r="DJ120" s="51"/>
      <c r="DK120" s="51"/>
      <c r="DL120" s="95"/>
      <c r="DM120" s="478"/>
      <c r="DN120" s="682">
        <f t="shared" si="15"/>
        <v>0</v>
      </c>
      <c r="DO120" s="683"/>
    </row>
    <row r="121" spans="1:119" ht="25.5" customHeight="1" thickTop="1" thickBot="1" x14ac:dyDescent="0.2">
      <c r="A121" s="676">
        <f t="shared" si="11"/>
        <v>106</v>
      </c>
      <c r="B121" s="1054"/>
      <c r="C121" s="1054"/>
      <c r="D121" s="83"/>
      <c r="E121" s="954"/>
      <c r="F121" s="52"/>
      <c r="G121" s="103"/>
      <c r="H121" s="1058"/>
      <c r="I121" s="684" t="str">
        <f t="shared" si="8"/>
        <v/>
      </c>
      <c r="J121" s="685">
        <f t="shared" si="9"/>
        <v>0</v>
      </c>
      <c r="K121" s="1252"/>
      <c r="L121" s="1251"/>
      <c r="M121" s="1257"/>
      <c r="N121" s="719" t="str">
        <f t="shared" si="12"/>
        <v/>
      </c>
      <c r="O121" s="720" t="str">
        <f>IF('Set up ~ Config'!$G$32=6,IF(OR($N121=7,$N121=8,$N121=9),1,IF(OR($N121=10,$N121=11,$N121=12),2,IF(OR($N121=1,$N121=2,$N121=3),3,IF(OR($N121=4,$N121=5,$N121=6),4,"")))),IF(OR($N121=9,$N121=10,$N121=11),1,IF(OR($N121=12,$N121=1,$N121=2),2,IF(OR($N121=3,$N121=4,$N121=5),3,IF(OR($N121=6,$N121=7,$N121=8),4,"")))))</f>
        <v/>
      </c>
      <c r="P121" s="99"/>
      <c r="Q121" s="62"/>
      <c r="R121" s="62"/>
      <c r="S121" s="51"/>
      <c r="T121" s="51"/>
      <c r="U121" s="51"/>
      <c r="V121" s="51"/>
      <c r="W121" s="51"/>
      <c r="X121" s="51"/>
      <c r="Y121" s="51"/>
      <c r="Z121" s="51"/>
      <c r="AA121" s="51"/>
      <c r="AB121" s="51"/>
      <c r="AC121" s="51"/>
      <c r="AD121" s="51"/>
      <c r="AE121" s="51"/>
      <c r="AF121" s="51"/>
      <c r="AG121" s="51"/>
      <c r="AH121" s="94"/>
      <c r="AI121" s="94"/>
      <c r="AJ121" s="94"/>
      <c r="AK121" s="94"/>
      <c r="AL121" s="94"/>
      <c r="AM121" s="94"/>
      <c r="AN121" s="94"/>
      <c r="AO121" s="95"/>
      <c r="AP121" s="686">
        <f t="shared" si="13"/>
        <v>0</v>
      </c>
      <c r="AQ121" s="42"/>
      <c r="AR121" s="42"/>
      <c r="AS121" s="42"/>
      <c r="AT121" s="43"/>
      <c r="AU121" s="687">
        <f t="shared" si="14"/>
        <v>0</v>
      </c>
      <c r="AV121" s="42"/>
      <c r="AW121" s="42"/>
      <c r="AX121" s="42"/>
      <c r="AY121" s="43"/>
      <c r="AZ121" s="486"/>
      <c r="BA121" s="51"/>
      <c r="BB121" s="51"/>
      <c r="BC121" s="51"/>
      <c r="BD121" s="51"/>
      <c r="BE121" s="51"/>
      <c r="BF121" s="51"/>
      <c r="BG121" s="51"/>
      <c r="BH121" s="94"/>
      <c r="BI121" s="94"/>
      <c r="BJ121" s="94"/>
      <c r="BK121" s="94"/>
      <c r="BL121" s="94"/>
      <c r="BM121" s="483"/>
      <c r="BN121" s="94"/>
      <c r="BO121" s="94"/>
      <c r="BP121" s="94"/>
      <c r="BQ121" s="94"/>
      <c r="BR121" s="94"/>
      <c r="BS121" s="94"/>
      <c r="BT121" s="94"/>
      <c r="BU121" s="94"/>
      <c r="BV121" s="94"/>
      <c r="BW121" s="688">
        <f t="shared" si="10"/>
        <v>0</v>
      </c>
      <c r="BX121" s="51"/>
      <c r="BY121" s="51"/>
      <c r="BZ121" s="51"/>
      <c r="CA121" s="51"/>
      <c r="CB121" s="51"/>
      <c r="CC121" s="51"/>
      <c r="CD121" s="97"/>
      <c r="CE121" s="479"/>
      <c r="CF121" s="51"/>
      <c r="CG121" s="51"/>
      <c r="CH121" s="62"/>
      <c r="CI121" s="62"/>
      <c r="CJ121" s="51"/>
      <c r="CK121" s="51"/>
      <c r="CL121" s="95"/>
      <c r="CM121" s="93"/>
      <c r="CN121" s="51"/>
      <c r="CO121" s="51"/>
      <c r="CP121" s="51"/>
      <c r="CQ121" s="51"/>
      <c r="CR121" s="51"/>
      <c r="CS121" s="51"/>
      <c r="CT121" s="51"/>
      <c r="CU121" s="95"/>
      <c r="CV121" s="93"/>
      <c r="CW121" s="51"/>
      <c r="CX121" s="51"/>
      <c r="CY121" s="51"/>
      <c r="CZ121" s="51"/>
      <c r="DA121" s="51"/>
      <c r="DB121" s="51"/>
      <c r="DC121" s="51"/>
      <c r="DD121" s="95"/>
      <c r="DE121" s="93"/>
      <c r="DF121" s="51"/>
      <c r="DG121" s="51"/>
      <c r="DH121" s="51"/>
      <c r="DI121" s="51"/>
      <c r="DJ121" s="51"/>
      <c r="DK121" s="51"/>
      <c r="DL121" s="95"/>
      <c r="DM121" s="478"/>
      <c r="DN121" s="682">
        <f t="shared" si="15"/>
        <v>0</v>
      </c>
      <c r="DO121" s="683"/>
    </row>
    <row r="122" spans="1:119" ht="25.5" customHeight="1" thickTop="1" thickBot="1" x14ac:dyDescent="0.2">
      <c r="A122" s="676">
        <f t="shared" si="11"/>
        <v>107</v>
      </c>
      <c r="B122" s="1054"/>
      <c r="C122" s="1054"/>
      <c r="D122" s="83"/>
      <c r="E122" s="954"/>
      <c r="F122" s="52"/>
      <c r="G122" s="103"/>
      <c r="H122" s="1058"/>
      <c r="I122" s="684" t="str">
        <f t="shared" si="8"/>
        <v/>
      </c>
      <c r="J122" s="685">
        <f t="shared" si="9"/>
        <v>0</v>
      </c>
      <c r="K122" s="1252"/>
      <c r="L122" s="1251"/>
      <c r="M122" s="1257"/>
      <c r="N122" s="719" t="str">
        <f t="shared" si="12"/>
        <v/>
      </c>
      <c r="O122" s="720" t="str">
        <f>IF('Set up ~ Config'!$G$32=6,IF(OR($N122=7,$N122=8,$N122=9),1,IF(OR($N122=10,$N122=11,$N122=12),2,IF(OR($N122=1,$N122=2,$N122=3),3,IF(OR($N122=4,$N122=5,$N122=6),4,"")))),IF(OR($N122=9,$N122=10,$N122=11),1,IF(OR($N122=12,$N122=1,$N122=2),2,IF(OR($N122=3,$N122=4,$N122=5),3,IF(OR($N122=6,$N122=7,$N122=8),4,"")))))</f>
        <v/>
      </c>
      <c r="P122" s="99"/>
      <c r="Q122" s="62"/>
      <c r="R122" s="62"/>
      <c r="S122" s="51"/>
      <c r="T122" s="51"/>
      <c r="U122" s="51"/>
      <c r="V122" s="51"/>
      <c r="W122" s="51"/>
      <c r="X122" s="51"/>
      <c r="Y122" s="51"/>
      <c r="Z122" s="51"/>
      <c r="AA122" s="51"/>
      <c r="AB122" s="51"/>
      <c r="AC122" s="51"/>
      <c r="AD122" s="51"/>
      <c r="AE122" s="51"/>
      <c r="AF122" s="51"/>
      <c r="AG122" s="51"/>
      <c r="AH122" s="94"/>
      <c r="AI122" s="94"/>
      <c r="AJ122" s="94"/>
      <c r="AK122" s="94"/>
      <c r="AL122" s="94"/>
      <c r="AM122" s="94"/>
      <c r="AN122" s="94"/>
      <c r="AO122" s="95"/>
      <c r="AP122" s="686">
        <f t="shared" si="13"/>
        <v>0</v>
      </c>
      <c r="AQ122" s="42"/>
      <c r="AR122" s="42"/>
      <c r="AS122" s="42"/>
      <c r="AT122" s="43"/>
      <c r="AU122" s="687">
        <f t="shared" si="14"/>
        <v>0</v>
      </c>
      <c r="AV122" s="42"/>
      <c r="AW122" s="42"/>
      <c r="AX122" s="42"/>
      <c r="AY122" s="43"/>
      <c r="AZ122" s="486"/>
      <c r="BA122" s="51"/>
      <c r="BB122" s="51"/>
      <c r="BC122" s="51"/>
      <c r="BD122" s="51"/>
      <c r="BE122" s="51"/>
      <c r="BF122" s="51"/>
      <c r="BG122" s="51"/>
      <c r="BH122" s="94"/>
      <c r="BI122" s="94"/>
      <c r="BJ122" s="94"/>
      <c r="BK122" s="94"/>
      <c r="BL122" s="94"/>
      <c r="BM122" s="483"/>
      <c r="BN122" s="94"/>
      <c r="BO122" s="94"/>
      <c r="BP122" s="94"/>
      <c r="BQ122" s="94"/>
      <c r="BR122" s="94"/>
      <c r="BS122" s="94"/>
      <c r="BT122" s="94"/>
      <c r="BU122" s="94"/>
      <c r="BV122" s="94"/>
      <c r="BW122" s="688">
        <f t="shared" si="10"/>
        <v>0</v>
      </c>
      <c r="BX122" s="51"/>
      <c r="BY122" s="51"/>
      <c r="BZ122" s="51"/>
      <c r="CA122" s="51"/>
      <c r="CB122" s="51"/>
      <c r="CC122" s="51"/>
      <c r="CD122" s="97"/>
      <c r="CE122" s="479"/>
      <c r="CF122" s="51"/>
      <c r="CG122" s="51"/>
      <c r="CH122" s="62"/>
      <c r="CI122" s="62"/>
      <c r="CJ122" s="51"/>
      <c r="CK122" s="51"/>
      <c r="CL122" s="95"/>
      <c r="CM122" s="93"/>
      <c r="CN122" s="51"/>
      <c r="CO122" s="51"/>
      <c r="CP122" s="51"/>
      <c r="CQ122" s="51"/>
      <c r="CR122" s="51"/>
      <c r="CS122" s="51"/>
      <c r="CT122" s="51"/>
      <c r="CU122" s="95"/>
      <c r="CV122" s="93"/>
      <c r="CW122" s="51"/>
      <c r="CX122" s="51"/>
      <c r="CY122" s="51"/>
      <c r="CZ122" s="51"/>
      <c r="DA122" s="51"/>
      <c r="DB122" s="51"/>
      <c r="DC122" s="51"/>
      <c r="DD122" s="95"/>
      <c r="DE122" s="93"/>
      <c r="DF122" s="51"/>
      <c r="DG122" s="51"/>
      <c r="DH122" s="51"/>
      <c r="DI122" s="51"/>
      <c r="DJ122" s="51"/>
      <c r="DK122" s="51"/>
      <c r="DL122" s="95"/>
      <c r="DM122" s="478"/>
      <c r="DN122" s="682">
        <f t="shared" si="15"/>
        <v>0</v>
      </c>
      <c r="DO122" s="683"/>
    </row>
    <row r="123" spans="1:119" ht="25.5" customHeight="1" thickTop="1" thickBot="1" x14ac:dyDescent="0.2">
      <c r="A123" s="676">
        <f t="shared" si="11"/>
        <v>108</v>
      </c>
      <c r="B123" s="1054"/>
      <c r="C123" s="1054"/>
      <c r="D123" s="83"/>
      <c r="E123" s="954"/>
      <c r="F123" s="52"/>
      <c r="G123" s="103"/>
      <c r="H123" s="1058"/>
      <c r="I123" s="684" t="str">
        <f t="shared" si="8"/>
        <v/>
      </c>
      <c r="J123" s="685">
        <f t="shared" si="9"/>
        <v>0</v>
      </c>
      <c r="K123" s="1252"/>
      <c r="L123" s="1251"/>
      <c r="M123" s="1257"/>
      <c r="N123" s="719" t="str">
        <f t="shared" si="12"/>
        <v/>
      </c>
      <c r="O123" s="720" t="str">
        <f>IF('Set up ~ Config'!$G$32=6,IF(OR($N123=7,$N123=8,$N123=9),1,IF(OR($N123=10,$N123=11,$N123=12),2,IF(OR($N123=1,$N123=2,$N123=3),3,IF(OR($N123=4,$N123=5,$N123=6),4,"")))),IF(OR($N123=9,$N123=10,$N123=11),1,IF(OR($N123=12,$N123=1,$N123=2),2,IF(OR($N123=3,$N123=4,$N123=5),3,IF(OR($N123=6,$N123=7,$N123=8),4,"")))))</f>
        <v/>
      </c>
      <c r="P123" s="99"/>
      <c r="Q123" s="62"/>
      <c r="R123" s="62"/>
      <c r="S123" s="51"/>
      <c r="T123" s="51"/>
      <c r="U123" s="51"/>
      <c r="V123" s="51"/>
      <c r="W123" s="51"/>
      <c r="X123" s="51"/>
      <c r="Y123" s="51"/>
      <c r="Z123" s="51"/>
      <c r="AA123" s="51"/>
      <c r="AB123" s="51"/>
      <c r="AC123" s="51"/>
      <c r="AD123" s="51"/>
      <c r="AE123" s="51"/>
      <c r="AF123" s="51"/>
      <c r="AG123" s="51"/>
      <c r="AH123" s="94"/>
      <c r="AI123" s="94"/>
      <c r="AJ123" s="94"/>
      <c r="AK123" s="94"/>
      <c r="AL123" s="94"/>
      <c r="AM123" s="94"/>
      <c r="AN123" s="94"/>
      <c r="AO123" s="95"/>
      <c r="AP123" s="686">
        <f t="shared" si="13"/>
        <v>0</v>
      </c>
      <c r="AQ123" s="42"/>
      <c r="AR123" s="42"/>
      <c r="AS123" s="42"/>
      <c r="AT123" s="43"/>
      <c r="AU123" s="687">
        <f t="shared" si="14"/>
        <v>0</v>
      </c>
      <c r="AV123" s="42"/>
      <c r="AW123" s="42"/>
      <c r="AX123" s="42"/>
      <c r="AY123" s="43"/>
      <c r="AZ123" s="486"/>
      <c r="BA123" s="51"/>
      <c r="BB123" s="51"/>
      <c r="BC123" s="51"/>
      <c r="BD123" s="51"/>
      <c r="BE123" s="51"/>
      <c r="BF123" s="51"/>
      <c r="BG123" s="51"/>
      <c r="BH123" s="94"/>
      <c r="BI123" s="94"/>
      <c r="BJ123" s="94"/>
      <c r="BK123" s="94"/>
      <c r="BL123" s="94"/>
      <c r="BM123" s="483"/>
      <c r="BN123" s="94"/>
      <c r="BO123" s="94"/>
      <c r="BP123" s="94"/>
      <c r="BQ123" s="94"/>
      <c r="BR123" s="94"/>
      <c r="BS123" s="94"/>
      <c r="BT123" s="94"/>
      <c r="BU123" s="94"/>
      <c r="BV123" s="94"/>
      <c r="BW123" s="688">
        <f t="shared" si="10"/>
        <v>0</v>
      </c>
      <c r="BX123" s="51"/>
      <c r="BY123" s="51"/>
      <c r="BZ123" s="51"/>
      <c r="CA123" s="51"/>
      <c r="CB123" s="51"/>
      <c r="CC123" s="51"/>
      <c r="CD123" s="97"/>
      <c r="CE123" s="479"/>
      <c r="CF123" s="51"/>
      <c r="CG123" s="51"/>
      <c r="CH123" s="62"/>
      <c r="CI123" s="62"/>
      <c r="CJ123" s="51"/>
      <c r="CK123" s="51"/>
      <c r="CL123" s="95"/>
      <c r="CM123" s="93"/>
      <c r="CN123" s="51"/>
      <c r="CO123" s="51"/>
      <c r="CP123" s="51"/>
      <c r="CQ123" s="51"/>
      <c r="CR123" s="51"/>
      <c r="CS123" s="51"/>
      <c r="CT123" s="51"/>
      <c r="CU123" s="95"/>
      <c r="CV123" s="93"/>
      <c r="CW123" s="51"/>
      <c r="CX123" s="51"/>
      <c r="CY123" s="51"/>
      <c r="CZ123" s="51"/>
      <c r="DA123" s="51"/>
      <c r="DB123" s="51"/>
      <c r="DC123" s="51"/>
      <c r="DD123" s="95"/>
      <c r="DE123" s="93"/>
      <c r="DF123" s="51"/>
      <c r="DG123" s="51"/>
      <c r="DH123" s="51"/>
      <c r="DI123" s="51"/>
      <c r="DJ123" s="51"/>
      <c r="DK123" s="51"/>
      <c r="DL123" s="95"/>
      <c r="DM123" s="478"/>
      <c r="DN123" s="682">
        <f t="shared" si="15"/>
        <v>0</v>
      </c>
      <c r="DO123" s="683"/>
    </row>
    <row r="124" spans="1:119" ht="25.5" customHeight="1" thickTop="1" thickBot="1" x14ac:dyDescent="0.2">
      <c r="A124" s="676">
        <f t="shared" si="11"/>
        <v>109</v>
      </c>
      <c r="B124" s="1054"/>
      <c r="C124" s="1054"/>
      <c r="D124" s="83"/>
      <c r="E124" s="954"/>
      <c r="F124" s="52"/>
      <c r="G124" s="103"/>
      <c r="H124" s="1058"/>
      <c r="I124" s="684" t="str">
        <f t="shared" si="8"/>
        <v/>
      </c>
      <c r="J124" s="685">
        <f t="shared" si="9"/>
        <v>0</v>
      </c>
      <c r="K124" s="1252"/>
      <c r="L124" s="1251"/>
      <c r="M124" s="1257"/>
      <c r="N124" s="719" t="str">
        <f t="shared" si="12"/>
        <v/>
      </c>
      <c r="O124" s="720" t="str">
        <f>IF('Set up ~ Config'!$G$32=6,IF(OR($N124=7,$N124=8,$N124=9),1,IF(OR($N124=10,$N124=11,$N124=12),2,IF(OR($N124=1,$N124=2,$N124=3),3,IF(OR($N124=4,$N124=5,$N124=6),4,"")))),IF(OR($N124=9,$N124=10,$N124=11),1,IF(OR($N124=12,$N124=1,$N124=2),2,IF(OR($N124=3,$N124=4,$N124=5),3,IF(OR($N124=6,$N124=7,$N124=8),4,"")))))</f>
        <v/>
      </c>
      <c r="P124" s="99"/>
      <c r="Q124" s="62"/>
      <c r="R124" s="62"/>
      <c r="S124" s="51"/>
      <c r="T124" s="51"/>
      <c r="U124" s="51"/>
      <c r="V124" s="51"/>
      <c r="W124" s="51"/>
      <c r="X124" s="51"/>
      <c r="Y124" s="51"/>
      <c r="Z124" s="51"/>
      <c r="AA124" s="51"/>
      <c r="AB124" s="51"/>
      <c r="AC124" s="51"/>
      <c r="AD124" s="51"/>
      <c r="AE124" s="51"/>
      <c r="AF124" s="51"/>
      <c r="AG124" s="51"/>
      <c r="AH124" s="94"/>
      <c r="AI124" s="94"/>
      <c r="AJ124" s="94"/>
      <c r="AK124" s="94"/>
      <c r="AL124" s="94"/>
      <c r="AM124" s="94"/>
      <c r="AN124" s="94"/>
      <c r="AO124" s="95"/>
      <c r="AP124" s="686">
        <f t="shared" si="13"/>
        <v>0</v>
      </c>
      <c r="AQ124" s="42"/>
      <c r="AR124" s="42"/>
      <c r="AS124" s="42"/>
      <c r="AT124" s="43"/>
      <c r="AU124" s="687">
        <f t="shared" si="14"/>
        <v>0</v>
      </c>
      <c r="AV124" s="42"/>
      <c r="AW124" s="42"/>
      <c r="AX124" s="42"/>
      <c r="AY124" s="43"/>
      <c r="AZ124" s="486"/>
      <c r="BA124" s="51"/>
      <c r="BB124" s="51"/>
      <c r="BC124" s="51"/>
      <c r="BD124" s="51"/>
      <c r="BE124" s="51"/>
      <c r="BF124" s="51"/>
      <c r="BG124" s="51"/>
      <c r="BH124" s="94"/>
      <c r="BI124" s="94"/>
      <c r="BJ124" s="94"/>
      <c r="BK124" s="94"/>
      <c r="BL124" s="94"/>
      <c r="BM124" s="483"/>
      <c r="BN124" s="94"/>
      <c r="BO124" s="94"/>
      <c r="BP124" s="94"/>
      <c r="BQ124" s="94"/>
      <c r="BR124" s="94"/>
      <c r="BS124" s="94"/>
      <c r="BT124" s="94"/>
      <c r="BU124" s="94"/>
      <c r="BV124" s="94"/>
      <c r="BW124" s="688">
        <f t="shared" si="10"/>
        <v>0</v>
      </c>
      <c r="BX124" s="51"/>
      <c r="BY124" s="51"/>
      <c r="BZ124" s="51"/>
      <c r="CA124" s="51"/>
      <c r="CB124" s="51"/>
      <c r="CC124" s="51"/>
      <c r="CD124" s="97"/>
      <c r="CE124" s="479"/>
      <c r="CF124" s="51"/>
      <c r="CG124" s="51"/>
      <c r="CH124" s="62"/>
      <c r="CI124" s="62"/>
      <c r="CJ124" s="51"/>
      <c r="CK124" s="51"/>
      <c r="CL124" s="95"/>
      <c r="CM124" s="93"/>
      <c r="CN124" s="51"/>
      <c r="CO124" s="51"/>
      <c r="CP124" s="51"/>
      <c r="CQ124" s="51"/>
      <c r="CR124" s="51"/>
      <c r="CS124" s="51"/>
      <c r="CT124" s="51"/>
      <c r="CU124" s="95"/>
      <c r="CV124" s="93"/>
      <c r="CW124" s="51"/>
      <c r="CX124" s="51"/>
      <c r="CY124" s="51"/>
      <c r="CZ124" s="51"/>
      <c r="DA124" s="51"/>
      <c r="DB124" s="51"/>
      <c r="DC124" s="51"/>
      <c r="DD124" s="95"/>
      <c r="DE124" s="93"/>
      <c r="DF124" s="51"/>
      <c r="DG124" s="51"/>
      <c r="DH124" s="51"/>
      <c r="DI124" s="51"/>
      <c r="DJ124" s="51"/>
      <c r="DK124" s="51"/>
      <c r="DL124" s="95"/>
      <c r="DM124" s="478"/>
      <c r="DN124" s="682">
        <f t="shared" si="15"/>
        <v>0</v>
      </c>
      <c r="DO124" s="683"/>
    </row>
    <row r="125" spans="1:119" ht="25.5" customHeight="1" thickTop="1" thickBot="1" x14ac:dyDescent="0.2">
      <c r="A125" s="676">
        <f t="shared" si="11"/>
        <v>110</v>
      </c>
      <c r="B125" s="1054"/>
      <c r="C125" s="1054"/>
      <c r="D125" s="83"/>
      <c r="E125" s="954"/>
      <c r="F125" s="52"/>
      <c r="G125" s="103"/>
      <c r="H125" s="1058"/>
      <c r="I125" s="684" t="str">
        <f t="shared" si="8"/>
        <v/>
      </c>
      <c r="J125" s="685">
        <f t="shared" si="9"/>
        <v>0</v>
      </c>
      <c r="K125" s="1252"/>
      <c r="L125" s="1251"/>
      <c r="M125" s="1257"/>
      <c r="N125" s="719" t="str">
        <f t="shared" si="12"/>
        <v/>
      </c>
      <c r="O125" s="720" t="str">
        <f>IF('Set up ~ Config'!$G$32=6,IF(OR($N125=7,$N125=8,$N125=9),1,IF(OR($N125=10,$N125=11,$N125=12),2,IF(OR($N125=1,$N125=2,$N125=3),3,IF(OR($N125=4,$N125=5,$N125=6),4,"")))),IF(OR($N125=9,$N125=10,$N125=11),1,IF(OR($N125=12,$N125=1,$N125=2),2,IF(OR($N125=3,$N125=4,$N125=5),3,IF(OR($N125=6,$N125=7,$N125=8),4,"")))))</f>
        <v/>
      </c>
      <c r="P125" s="99"/>
      <c r="Q125" s="62"/>
      <c r="R125" s="62"/>
      <c r="S125" s="51"/>
      <c r="T125" s="51"/>
      <c r="U125" s="51"/>
      <c r="V125" s="51"/>
      <c r="W125" s="51"/>
      <c r="X125" s="51"/>
      <c r="Y125" s="51"/>
      <c r="Z125" s="51"/>
      <c r="AA125" s="51"/>
      <c r="AB125" s="51"/>
      <c r="AC125" s="51"/>
      <c r="AD125" s="51"/>
      <c r="AE125" s="51"/>
      <c r="AF125" s="51"/>
      <c r="AG125" s="51"/>
      <c r="AH125" s="94"/>
      <c r="AI125" s="94"/>
      <c r="AJ125" s="94"/>
      <c r="AK125" s="94"/>
      <c r="AL125" s="94"/>
      <c r="AM125" s="94"/>
      <c r="AN125" s="94"/>
      <c r="AO125" s="95"/>
      <c r="AP125" s="686">
        <f t="shared" si="13"/>
        <v>0</v>
      </c>
      <c r="AQ125" s="42"/>
      <c r="AR125" s="42"/>
      <c r="AS125" s="42"/>
      <c r="AT125" s="43"/>
      <c r="AU125" s="687">
        <f t="shared" si="14"/>
        <v>0</v>
      </c>
      <c r="AV125" s="42"/>
      <c r="AW125" s="42"/>
      <c r="AX125" s="42"/>
      <c r="AY125" s="43"/>
      <c r="AZ125" s="486"/>
      <c r="BA125" s="51"/>
      <c r="BB125" s="51"/>
      <c r="BC125" s="51"/>
      <c r="BD125" s="51"/>
      <c r="BE125" s="51"/>
      <c r="BF125" s="51"/>
      <c r="BG125" s="51"/>
      <c r="BH125" s="94"/>
      <c r="BI125" s="94"/>
      <c r="BJ125" s="94"/>
      <c r="BK125" s="94"/>
      <c r="BL125" s="94"/>
      <c r="BM125" s="483"/>
      <c r="BN125" s="94"/>
      <c r="BO125" s="94"/>
      <c r="BP125" s="94"/>
      <c r="BQ125" s="94"/>
      <c r="BR125" s="94"/>
      <c r="BS125" s="94"/>
      <c r="BT125" s="94"/>
      <c r="BU125" s="94"/>
      <c r="BV125" s="94"/>
      <c r="BW125" s="688">
        <f t="shared" si="10"/>
        <v>0</v>
      </c>
      <c r="BX125" s="51"/>
      <c r="BY125" s="51"/>
      <c r="BZ125" s="51"/>
      <c r="CA125" s="51"/>
      <c r="CB125" s="51"/>
      <c r="CC125" s="51"/>
      <c r="CD125" s="97"/>
      <c r="CE125" s="479"/>
      <c r="CF125" s="51"/>
      <c r="CG125" s="51"/>
      <c r="CH125" s="62"/>
      <c r="CI125" s="62"/>
      <c r="CJ125" s="51"/>
      <c r="CK125" s="51"/>
      <c r="CL125" s="95"/>
      <c r="CM125" s="93"/>
      <c r="CN125" s="51"/>
      <c r="CO125" s="51"/>
      <c r="CP125" s="51"/>
      <c r="CQ125" s="51"/>
      <c r="CR125" s="51"/>
      <c r="CS125" s="51"/>
      <c r="CT125" s="51"/>
      <c r="CU125" s="95"/>
      <c r="CV125" s="93"/>
      <c r="CW125" s="51"/>
      <c r="CX125" s="51"/>
      <c r="CY125" s="51"/>
      <c r="CZ125" s="51"/>
      <c r="DA125" s="51"/>
      <c r="DB125" s="51"/>
      <c r="DC125" s="51"/>
      <c r="DD125" s="95"/>
      <c r="DE125" s="93"/>
      <c r="DF125" s="51"/>
      <c r="DG125" s="51"/>
      <c r="DH125" s="51"/>
      <c r="DI125" s="51"/>
      <c r="DJ125" s="51"/>
      <c r="DK125" s="51"/>
      <c r="DL125" s="95"/>
      <c r="DM125" s="478"/>
      <c r="DN125" s="682">
        <f t="shared" si="15"/>
        <v>0</v>
      </c>
      <c r="DO125" s="683"/>
    </row>
    <row r="126" spans="1:119" ht="25.5" customHeight="1" thickTop="1" thickBot="1" x14ac:dyDescent="0.2">
      <c r="A126" s="676">
        <f t="shared" si="11"/>
        <v>111</v>
      </c>
      <c r="B126" s="1054"/>
      <c r="C126" s="1054"/>
      <c r="D126" s="83"/>
      <c r="E126" s="954"/>
      <c r="F126" s="52"/>
      <c r="G126" s="103"/>
      <c r="H126" s="1058"/>
      <c r="I126" s="684" t="str">
        <f t="shared" si="8"/>
        <v/>
      </c>
      <c r="J126" s="685">
        <f t="shared" si="9"/>
        <v>0</v>
      </c>
      <c r="K126" s="1252"/>
      <c r="L126" s="1251"/>
      <c r="M126" s="1257"/>
      <c r="N126" s="719" t="str">
        <f t="shared" si="12"/>
        <v/>
      </c>
      <c r="O126" s="720" t="str">
        <f>IF('Set up ~ Config'!$G$32=6,IF(OR($N126=7,$N126=8,$N126=9),1,IF(OR($N126=10,$N126=11,$N126=12),2,IF(OR($N126=1,$N126=2,$N126=3),3,IF(OR($N126=4,$N126=5,$N126=6),4,"")))),IF(OR($N126=9,$N126=10,$N126=11),1,IF(OR($N126=12,$N126=1,$N126=2),2,IF(OR($N126=3,$N126=4,$N126=5),3,IF(OR($N126=6,$N126=7,$N126=8),4,"")))))</f>
        <v/>
      </c>
      <c r="P126" s="99"/>
      <c r="Q126" s="62"/>
      <c r="R126" s="62"/>
      <c r="S126" s="51"/>
      <c r="T126" s="51"/>
      <c r="U126" s="51"/>
      <c r="V126" s="51"/>
      <c r="W126" s="51"/>
      <c r="X126" s="51"/>
      <c r="Y126" s="51"/>
      <c r="Z126" s="51"/>
      <c r="AA126" s="51"/>
      <c r="AB126" s="51"/>
      <c r="AC126" s="51"/>
      <c r="AD126" s="51"/>
      <c r="AE126" s="51"/>
      <c r="AF126" s="51"/>
      <c r="AG126" s="51"/>
      <c r="AH126" s="94"/>
      <c r="AI126" s="94"/>
      <c r="AJ126" s="94"/>
      <c r="AK126" s="94"/>
      <c r="AL126" s="94"/>
      <c r="AM126" s="94"/>
      <c r="AN126" s="94"/>
      <c r="AO126" s="95"/>
      <c r="AP126" s="686">
        <f t="shared" si="13"/>
        <v>0</v>
      </c>
      <c r="AQ126" s="42"/>
      <c r="AR126" s="42"/>
      <c r="AS126" s="42"/>
      <c r="AT126" s="43"/>
      <c r="AU126" s="687">
        <f t="shared" si="14"/>
        <v>0</v>
      </c>
      <c r="AV126" s="42"/>
      <c r="AW126" s="42"/>
      <c r="AX126" s="42"/>
      <c r="AY126" s="43"/>
      <c r="AZ126" s="486"/>
      <c r="BA126" s="51"/>
      <c r="BB126" s="51"/>
      <c r="BC126" s="51"/>
      <c r="BD126" s="51"/>
      <c r="BE126" s="51"/>
      <c r="BF126" s="51"/>
      <c r="BG126" s="51"/>
      <c r="BH126" s="94"/>
      <c r="BI126" s="94"/>
      <c r="BJ126" s="94"/>
      <c r="BK126" s="94"/>
      <c r="BL126" s="94"/>
      <c r="BM126" s="483"/>
      <c r="BN126" s="94"/>
      <c r="BO126" s="94"/>
      <c r="BP126" s="94"/>
      <c r="BQ126" s="94"/>
      <c r="BR126" s="94"/>
      <c r="BS126" s="94"/>
      <c r="BT126" s="94"/>
      <c r="BU126" s="94"/>
      <c r="BV126" s="94"/>
      <c r="BW126" s="688">
        <f t="shared" si="10"/>
        <v>0</v>
      </c>
      <c r="BX126" s="51"/>
      <c r="BY126" s="51"/>
      <c r="BZ126" s="51"/>
      <c r="CA126" s="51"/>
      <c r="CB126" s="51"/>
      <c r="CC126" s="51"/>
      <c r="CD126" s="97"/>
      <c r="CE126" s="479"/>
      <c r="CF126" s="51"/>
      <c r="CG126" s="51"/>
      <c r="CH126" s="62"/>
      <c r="CI126" s="62"/>
      <c r="CJ126" s="51"/>
      <c r="CK126" s="51"/>
      <c r="CL126" s="95"/>
      <c r="CM126" s="93"/>
      <c r="CN126" s="51"/>
      <c r="CO126" s="51"/>
      <c r="CP126" s="51"/>
      <c r="CQ126" s="51"/>
      <c r="CR126" s="51"/>
      <c r="CS126" s="51"/>
      <c r="CT126" s="51"/>
      <c r="CU126" s="95"/>
      <c r="CV126" s="93"/>
      <c r="CW126" s="51"/>
      <c r="CX126" s="51"/>
      <c r="CY126" s="51"/>
      <c r="CZ126" s="51"/>
      <c r="DA126" s="51"/>
      <c r="DB126" s="51"/>
      <c r="DC126" s="51"/>
      <c r="DD126" s="95"/>
      <c r="DE126" s="93"/>
      <c r="DF126" s="51"/>
      <c r="DG126" s="51"/>
      <c r="DH126" s="51"/>
      <c r="DI126" s="51"/>
      <c r="DJ126" s="51"/>
      <c r="DK126" s="51"/>
      <c r="DL126" s="95"/>
      <c r="DM126" s="478"/>
      <c r="DN126" s="682">
        <f t="shared" si="15"/>
        <v>0</v>
      </c>
      <c r="DO126" s="683"/>
    </row>
    <row r="127" spans="1:119" ht="25.5" customHeight="1" thickTop="1" thickBot="1" x14ac:dyDescent="0.2">
      <c r="A127" s="676">
        <f t="shared" si="11"/>
        <v>112</v>
      </c>
      <c r="B127" s="1054"/>
      <c r="C127" s="1054"/>
      <c r="D127" s="83"/>
      <c r="E127" s="954"/>
      <c r="F127" s="52"/>
      <c r="G127" s="103"/>
      <c r="H127" s="1058"/>
      <c r="I127" s="684" t="str">
        <f t="shared" si="8"/>
        <v/>
      </c>
      <c r="J127" s="685">
        <f t="shared" si="9"/>
        <v>0</v>
      </c>
      <c r="K127" s="1252"/>
      <c r="L127" s="1251"/>
      <c r="M127" s="1257"/>
      <c r="N127" s="719" t="str">
        <f t="shared" si="12"/>
        <v/>
      </c>
      <c r="O127" s="720" t="str">
        <f>IF('Set up ~ Config'!$G$32=6,IF(OR($N127=7,$N127=8,$N127=9),1,IF(OR($N127=10,$N127=11,$N127=12),2,IF(OR($N127=1,$N127=2,$N127=3),3,IF(OR($N127=4,$N127=5,$N127=6),4,"")))),IF(OR($N127=9,$N127=10,$N127=11),1,IF(OR($N127=12,$N127=1,$N127=2),2,IF(OR($N127=3,$N127=4,$N127=5),3,IF(OR($N127=6,$N127=7,$N127=8),4,"")))))</f>
        <v/>
      </c>
      <c r="P127" s="99"/>
      <c r="Q127" s="62"/>
      <c r="R127" s="62"/>
      <c r="S127" s="51"/>
      <c r="T127" s="51"/>
      <c r="U127" s="51"/>
      <c r="V127" s="51"/>
      <c r="W127" s="51"/>
      <c r="X127" s="51"/>
      <c r="Y127" s="51"/>
      <c r="Z127" s="51"/>
      <c r="AA127" s="51"/>
      <c r="AB127" s="51"/>
      <c r="AC127" s="51"/>
      <c r="AD127" s="51"/>
      <c r="AE127" s="51"/>
      <c r="AF127" s="51"/>
      <c r="AG127" s="51"/>
      <c r="AH127" s="94"/>
      <c r="AI127" s="94"/>
      <c r="AJ127" s="94"/>
      <c r="AK127" s="94"/>
      <c r="AL127" s="94"/>
      <c r="AM127" s="94"/>
      <c r="AN127" s="94"/>
      <c r="AO127" s="95"/>
      <c r="AP127" s="686">
        <f t="shared" si="13"/>
        <v>0</v>
      </c>
      <c r="AQ127" s="42"/>
      <c r="AR127" s="42"/>
      <c r="AS127" s="42"/>
      <c r="AT127" s="43"/>
      <c r="AU127" s="687">
        <f t="shared" si="14"/>
        <v>0</v>
      </c>
      <c r="AV127" s="42"/>
      <c r="AW127" s="42"/>
      <c r="AX127" s="42"/>
      <c r="AY127" s="43"/>
      <c r="AZ127" s="486"/>
      <c r="BA127" s="51"/>
      <c r="BB127" s="51"/>
      <c r="BC127" s="51"/>
      <c r="BD127" s="51"/>
      <c r="BE127" s="51"/>
      <c r="BF127" s="51"/>
      <c r="BG127" s="51"/>
      <c r="BH127" s="94"/>
      <c r="BI127" s="94"/>
      <c r="BJ127" s="94"/>
      <c r="BK127" s="94"/>
      <c r="BL127" s="94"/>
      <c r="BM127" s="483"/>
      <c r="BN127" s="94"/>
      <c r="BO127" s="94"/>
      <c r="BP127" s="94"/>
      <c r="BQ127" s="94"/>
      <c r="BR127" s="94"/>
      <c r="BS127" s="94"/>
      <c r="BT127" s="94"/>
      <c r="BU127" s="94"/>
      <c r="BV127" s="94"/>
      <c r="BW127" s="688">
        <f t="shared" si="10"/>
        <v>0</v>
      </c>
      <c r="BX127" s="51"/>
      <c r="BY127" s="51"/>
      <c r="BZ127" s="51"/>
      <c r="CA127" s="51"/>
      <c r="CB127" s="51"/>
      <c r="CC127" s="51"/>
      <c r="CD127" s="97"/>
      <c r="CE127" s="479"/>
      <c r="CF127" s="51"/>
      <c r="CG127" s="51"/>
      <c r="CH127" s="62"/>
      <c r="CI127" s="62"/>
      <c r="CJ127" s="51"/>
      <c r="CK127" s="51"/>
      <c r="CL127" s="95"/>
      <c r="CM127" s="93"/>
      <c r="CN127" s="51"/>
      <c r="CO127" s="51"/>
      <c r="CP127" s="51"/>
      <c r="CQ127" s="51"/>
      <c r="CR127" s="51"/>
      <c r="CS127" s="51"/>
      <c r="CT127" s="51"/>
      <c r="CU127" s="95"/>
      <c r="CV127" s="93"/>
      <c r="CW127" s="51"/>
      <c r="CX127" s="51"/>
      <c r="CY127" s="51"/>
      <c r="CZ127" s="51"/>
      <c r="DA127" s="51"/>
      <c r="DB127" s="51"/>
      <c r="DC127" s="51"/>
      <c r="DD127" s="95"/>
      <c r="DE127" s="93"/>
      <c r="DF127" s="51"/>
      <c r="DG127" s="51"/>
      <c r="DH127" s="51"/>
      <c r="DI127" s="51"/>
      <c r="DJ127" s="51"/>
      <c r="DK127" s="51"/>
      <c r="DL127" s="95"/>
      <c r="DM127" s="478"/>
      <c r="DN127" s="682">
        <f t="shared" si="15"/>
        <v>0</v>
      </c>
      <c r="DO127" s="683"/>
    </row>
    <row r="128" spans="1:119" ht="25.5" customHeight="1" thickTop="1" thickBot="1" x14ac:dyDescent="0.2">
      <c r="A128" s="676">
        <f t="shared" si="11"/>
        <v>113</v>
      </c>
      <c r="B128" s="1054"/>
      <c r="C128" s="1054"/>
      <c r="D128" s="83"/>
      <c r="E128" s="954"/>
      <c r="F128" s="52"/>
      <c r="G128" s="103"/>
      <c r="H128" s="1058"/>
      <c r="I128" s="684" t="str">
        <f t="shared" si="8"/>
        <v/>
      </c>
      <c r="J128" s="685">
        <f t="shared" si="9"/>
        <v>0</v>
      </c>
      <c r="K128" s="1252"/>
      <c r="L128" s="1251"/>
      <c r="M128" s="1257"/>
      <c r="N128" s="719" t="str">
        <f t="shared" si="12"/>
        <v/>
      </c>
      <c r="O128" s="720" t="str">
        <f>IF('Set up ~ Config'!$G$32=6,IF(OR($N128=7,$N128=8,$N128=9),1,IF(OR($N128=10,$N128=11,$N128=12),2,IF(OR($N128=1,$N128=2,$N128=3),3,IF(OR($N128=4,$N128=5,$N128=6),4,"")))),IF(OR($N128=9,$N128=10,$N128=11),1,IF(OR($N128=12,$N128=1,$N128=2),2,IF(OR($N128=3,$N128=4,$N128=5),3,IF(OR($N128=6,$N128=7,$N128=8),4,"")))))</f>
        <v/>
      </c>
      <c r="P128" s="99"/>
      <c r="Q128" s="62"/>
      <c r="R128" s="62"/>
      <c r="S128" s="51"/>
      <c r="T128" s="51"/>
      <c r="U128" s="51"/>
      <c r="V128" s="51"/>
      <c r="W128" s="51"/>
      <c r="X128" s="51"/>
      <c r="Y128" s="51"/>
      <c r="Z128" s="51"/>
      <c r="AA128" s="51"/>
      <c r="AB128" s="51"/>
      <c r="AC128" s="51"/>
      <c r="AD128" s="51"/>
      <c r="AE128" s="51"/>
      <c r="AF128" s="51"/>
      <c r="AG128" s="51"/>
      <c r="AH128" s="94"/>
      <c r="AI128" s="94"/>
      <c r="AJ128" s="94"/>
      <c r="AK128" s="94"/>
      <c r="AL128" s="94"/>
      <c r="AM128" s="94"/>
      <c r="AN128" s="94"/>
      <c r="AO128" s="95"/>
      <c r="AP128" s="686">
        <f t="shared" si="13"/>
        <v>0</v>
      </c>
      <c r="AQ128" s="42"/>
      <c r="AR128" s="42"/>
      <c r="AS128" s="42"/>
      <c r="AT128" s="43"/>
      <c r="AU128" s="687">
        <f t="shared" si="14"/>
        <v>0</v>
      </c>
      <c r="AV128" s="42"/>
      <c r="AW128" s="42"/>
      <c r="AX128" s="42"/>
      <c r="AY128" s="43"/>
      <c r="AZ128" s="486"/>
      <c r="BA128" s="51"/>
      <c r="BB128" s="51"/>
      <c r="BC128" s="51"/>
      <c r="BD128" s="51"/>
      <c r="BE128" s="51"/>
      <c r="BF128" s="51"/>
      <c r="BG128" s="51"/>
      <c r="BH128" s="94"/>
      <c r="BI128" s="94"/>
      <c r="BJ128" s="94"/>
      <c r="BK128" s="94"/>
      <c r="BL128" s="94"/>
      <c r="BM128" s="483"/>
      <c r="BN128" s="94"/>
      <c r="BO128" s="94"/>
      <c r="BP128" s="94"/>
      <c r="BQ128" s="94"/>
      <c r="BR128" s="94"/>
      <c r="BS128" s="94"/>
      <c r="BT128" s="94"/>
      <c r="BU128" s="94"/>
      <c r="BV128" s="94"/>
      <c r="BW128" s="688">
        <f t="shared" si="10"/>
        <v>0</v>
      </c>
      <c r="BX128" s="51"/>
      <c r="BY128" s="51"/>
      <c r="BZ128" s="51"/>
      <c r="CA128" s="51"/>
      <c r="CB128" s="51"/>
      <c r="CC128" s="51"/>
      <c r="CD128" s="97"/>
      <c r="CE128" s="479"/>
      <c r="CF128" s="51"/>
      <c r="CG128" s="51"/>
      <c r="CH128" s="62"/>
      <c r="CI128" s="62"/>
      <c r="CJ128" s="51"/>
      <c r="CK128" s="51"/>
      <c r="CL128" s="95"/>
      <c r="CM128" s="93"/>
      <c r="CN128" s="51"/>
      <c r="CO128" s="51"/>
      <c r="CP128" s="51"/>
      <c r="CQ128" s="51"/>
      <c r="CR128" s="51"/>
      <c r="CS128" s="51"/>
      <c r="CT128" s="51"/>
      <c r="CU128" s="95"/>
      <c r="CV128" s="93"/>
      <c r="CW128" s="51"/>
      <c r="CX128" s="51"/>
      <c r="CY128" s="51"/>
      <c r="CZ128" s="51"/>
      <c r="DA128" s="51"/>
      <c r="DB128" s="51"/>
      <c r="DC128" s="51"/>
      <c r="DD128" s="95"/>
      <c r="DE128" s="93"/>
      <c r="DF128" s="51"/>
      <c r="DG128" s="51"/>
      <c r="DH128" s="51"/>
      <c r="DI128" s="51"/>
      <c r="DJ128" s="51"/>
      <c r="DK128" s="51"/>
      <c r="DL128" s="95"/>
      <c r="DM128" s="478"/>
      <c r="DN128" s="682">
        <f t="shared" si="15"/>
        <v>0</v>
      </c>
      <c r="DO128" s="683"/>
    </row>
    <row r="129" spans="1:119" ht="25.5" customHeight="1" thickTop="1" thickBot="1" x14ac:dyDescent="0.2">
      <c r="A129" s="676">
        <f t="shared" si="11"/>
        <v>114</v>
      </c>
      <c r="B129" s="1054"/>
      <c r="C129" s="1054"/>
      <c r="D129" s="83"/>
      <c r="E129" s="954"/>
      <c r="F129" s="52"/>
      <c r="G129" s="103"/>
      <c r="H129" s="1058"/>
      <c r="I129" s="684" t="str">
        <f t="shared" si="8"/>
        <v/>
      </c>
      <c r="J129" s="685">
        <f t="shared" si="9"/>
        <v>0</v>
      </c>
      <c r="K129" s="1252"/>
      <c r="L129" s="1251"/>
      <c r="M129" s="1257"/>
      <c r="N129" s="719" t="str">
        <f t="shared" si="12"/>
        <v/>
      </c>
      <c r="O129" s="720" t="str">
        <f>IF('Set up ~ Config'!$G$32=6,IF(OR($N129=7,$N129=8,$N129=9),1,IF(OR($N129=10,$N129=11,$N129=12),2,IF(OR($N129=1,$N129=2,$N129=3),3,IF(OR($N129=4,$N129=5,$N129=6),4,"")))),IF(OR($N129=9,$N129=10,$N129=11),1,IF(OR($N129=12,$N129=1,$N129=2),2,IF(OR($N129=3,$N129=4,$N129=5),3,IF(OR($N129=6,$N129=7,$N129=8),4,"")))))</f>
        <v/>
      </c>
      <c r="P129" s="99"/>
      <c r="Q129" s="62"/>
      <c r="R129" s="62"/>
      <c r="S129" s="51"/>
      <c r="T129" s="51"/>
      <c r="U129" s="51"/>
      <c r="V129" s="51"/>
      <c r="W129" s="51"/>
      <c r="X129" s="51"/>
      <c r="Y129" s="51"/>
      <c r="Z129" s="51"/>
      <c r="AA129" s="51"/>
      <c r="AB129" s="51"/>
      <c r="AC129" s="51"/>
      <c r="AD129" s="51"/>
      <c r="AE129" s="51"/>
      <c r="AF129" s="51"/>
      <c r="AG129" s="51"/>
      <c r="AH129" s="94"/>
      <c r="AI129" s="94"/>
      <c r="AJ129" s="94"/>
      <c r="AK129" s="94"/>
      <c r="AL129" s="94"/>
      <c r="AM129" s="94"/>
      <c r="AN129" s="94"/>
      <c r="AO129" s="95"/>
      <c r="AP129" s="686">
        <f t="shared" si="13"/>
        <v>0</v>
      </c>
      <c r="AQ129" s="42"/>
      <c r="AR129" s="42"/>
      <c r="AS129" s="42"/>
      <c r="AT129" s="43"/>
      <c r="AU129" s="687">
        <f t="shared" si="14"/>
        <v>0</v>
      </c>
      <c r="AV129" s="42"/>
      <c r="AW129" s="42"/>
      <c r="AX129" s="42"/>
      <c r="AY129" s="43"/>
      <c r="AZ129" s="486"/>
      <c r="BA129" s="51"/>
      <c r="BB129" s="51"/>
      <c r="BC129" s="51"/>
      <c r="BD129" s="51"/>
      <c r="BE129" s="51"/>
      <c r="BF129" s="51"/>
      <c r="BG129" s="51"/>
      <c r="BH129" s="94"/>
      <c r="BI129" s="94"/>
      <c r="BJ129" s="94"/>
      <c r="BK129" s="94"/>
      <c r="BL129" s="94"/>
      <c r="BM129" s="483"/>
      <c r="BN129" s="94"/>
      <c r="BO129" s="94"/>
      <c r="BP129" s="94"/>
      <c r="BQ129" s="94"/>
      <c r="BR129" s="94"/>
      <c r="BS129" s="94"/>
      <c r="BT129" s="94"/>
      <c r="BU129" s="94"/>
      <c r="BV129" s="94"/>
      <c r="BW129" s="688">
        <f t="shared" si="10"/>
        <v>0</v>
      </c>
      <c r="BX129" s="51"/>
      <c r="BY129" s="51"/>
      <c r="BZ129" s="51"/>
      <c r="CA129" s="51"/>
      <c r="CB129" s="51"/>
      <c r="CC129" s="51"/>
      <c r="CD129" s="97"/>
      <c r="CE129" s="479"/>
      <c r="CF129" s="51"/>
      <c r="CG129" s="51"/>
      <c r="CH129" s="62"/>
      <c r="CI129" s="62"/>
      <c r="CJ129" s="51"/>
      <c r="CK129" s="51"/>
      <c r="CL129" s="95"/>
      <c r="CM129" s="93"/>
      <c r="CN129" s="51"/>
      <c r="CO129" s="51"/>
      <c r="CP129" s="51"/>
      <c r="CQ129" s="51"/>
      <c r="CR129" s="51"/>
      <c r="CS129" s="51"/>
      <c r="CT129" s="51"/>
      <c r="CU129" s="95"/>
      <c r="CV129" s="93"/>
      <c r="CW129" s="51"/>
      <c r="CX129" s="51"/>
      <c r="CY129" s="51"/>
      <c r="CZ129" s="51"/>
      <c r="DA129" s="51"/>
      <c r="DB129" s="51"/>
      <c r="DC129" s="51"/>
      <c r="DD129" s="95"/>
      <c r="DE129" s="93"/>
      <c r="DF129" s="51"/>
      <c r="DG129" s="51"/>
      <c r="DH129" s="51"/>
      <c r="DI129" s="51"/>
      <c r="DJ129" s="51"/>
      <c r="DK129" s="51"/>
      <c r="DL129" s="95"/>
      <c r="DM129" s="478"/>
      <c r="DN129" s="682">
        <f t="shared" si="15"/>
        <v>0</v>
      </c>
      <c r="DO129" s="683"/>
    </row>
    <row r="130" spans="1:119" ht="25.5" customHeight="1" thickTop="1" thickBot="1" x14ac:dyDescent="0.2">
      <c r="A130" s="676">
        <f t="shared" si="11"/>
        <v>115</v>
      </c>
      <c r="B130" s="1054"/>
      <c r="C130" s="1054"/>
      <c r="D130" s="83"/>
      <c r="E130" s="954"/>
      <c r="F130" s="52"/>
      <c r="G130" s="103"/>
      <c r="H130" s="1058"/>
      <c r="I130" s="684" t="str">
        <f t="shared" si="8"/>
        <v/>
      </c>
      <c r="J130" s="685">
        <f t="shared" si="9"/>
        <v>0</v>
      </c>
      <c r="K130" s="1252"/>
      <c r="L130" s="1251"/>
      <c r="M130" s="1257"/>
      <c r="N130" s="719" t="str">
        <f t="shared" si="12"/>
        <v/>
      </c>
      <c r="O130" s="720" t="str">
        <f>IF('Set up ~ Config'!$G$32=6,IF(OR($N130=7,$N130=8,$N130=9),1,IF(OR($N130=10,$N130=11,$N130=12),2,IF(OR($N130=1,$N130=2,$N130=3),3,IF(OR($N130=4,$N130=5,$N130=6),4,"")))),IF(OR($N130=9,$N130=10,$N130=11),1,IF(OR($N130=12,$N130=1,$N130=2),2,IF(OR($N130=3,$N130=4,$N130=5),3,IF(OR($N130=6,$N130=7,$N130=8),4,"")))))</f>
        <v/>
      </c>
      <c r="P130" s="99"/>
      <c r="Q130" s="62"/>
      <c r="R130" s="62"/>
      <c r="S130" s="51"/>
      <c r="T130" s="51"/>
      <c r="U130" s="51"/>
      <c r="V130" s="51"/>
      <c r="W130" s="51"/>
      <c r="X130" s="51"/>
      <c r="Y130" s="51"/>
      <c r="Z130" s="51"/>
      <c r="AA130" s="51"/>
      <c r="AB130" s="51"/>
      <c r="AC130" s="51"/>
      <c r="AD130" s="51"/>
      <c r="AE130" s="51"/>
      <c r="AF130" s="51"/>
      <c r="AG130" s="51"/>
      <c r="AH130" s="94"/>
      <c r="AI130" s="94"/>
      <c r="AJ130" s="94"/>
      <c r="AK130" s="94"/>
      <c r="AL130" s="94"/>
      <c r="AM130" s="94"/>
      <c r="AN130" s="94"/>
      <c r="AO130" s="95"/>
      <c r="AP130" s="686">
        <f t="shared" si="13"/>
        <v>0</v>
      </c>
      <c r="AQ130" s="42"/>
      <c r="AR130" s="42"/>
      <c r="AS130" s="42"/>
      <c r="AT130" s="43"/>
      <c r="AU130" s="687">
        <f t="shared" si="14"/>
        <v>0</v>
      </c>
      <c r="AV130" s="42"/>
      <c r="AW130" s="42"/>
      <c r="AX130" s="42"/>
      <c r="AY130" s="43"/>
      <c r="AZ130" s="486"/>
      <c r="BA130" s="51"/>
      <c r="BB130" s="51"/>
      <c r="BC130" s="51"/>
      <c r="BD130" s="51"/>
      <c r="BE130" s="51"/>
      <c r="BF130" s="51"/>
      <c r="BG130" s="51"/>
      <c r="BH130" s="94"/>
      <c r="BI130" s="94"/>
      <c r="BJ130" s="94"/>
      <c r="BK130" s="94"/>
      <c r="BL130" s="94"/>
      <c r="BM130" s="483"/>
      <c r="BN130" s="94"/>
      <c r="BO130" s="94"/>
      <c r="BP130" s="94"/>
      <c r="BQ130" s="94"/>
      <c r="BR130" s="94"/>
      <c r="BS130" s="94"/>
      <c r="BT130" s="94"/>
      <c r="BU130" s="94"/>
      <c r="BV130" s="94"/>
      <c r="BW130" s="688">
        <f t="shared" si="10"/>
        <v>0</v>
      </c>
      <c r="BX130" s="51"/>
      <c r="BY130" s="51"/>
      <c r="BZ130" s="51"/>
      <c r="CA130" s="51"/>
      <c r="CB130" s="51"/>
      <c r="CC130" s="51"/>
      <c r="CD130" s="97"/>
      <c r="CE130" s="479"/>
      <c r="CF130" s="51"/>
      <c r="CG130" s="51"/>
      <c r="CH130" s="62"/>
      <c r="CI130" s="62"/>
      <c r="CJ130" s="51"/>
      <c r="CK130" s="51"/>
      <c r="CL130" s="95"/>
      <c r="CM130" s="93"/>
      <c r="CN130" s="51"/>
      <c r="CO130" s="51"/>
      <c r="CP130" s="51"/>
      <c r="CQ130" s="51"/>
      <c r="CR130" s="51"/>
      <c r="CS130" s="51"/>
      <c r="CT130" s="51"/>
      <c r="CU130" s="95"/>
      <c r="CV130" s="93"/>
      <c r="CW130" s="51"/>
      <c r="CX130" s="51"/>
      <c r="CY130" s="51"/>
      <c r="CZ130" s="51"/>
      <c r="DA130" s="51"/>
      <c r="DB130" s="51"/>
      <c r="DC130" s="51"/>
      <c r="DD130" s="95"/>
      <c r="DE130" s="93"/>
      <c r="DF130" s="51"/>
      <c r="DG130" s="51"/>
      <c r="DH130" s="51"/>
      <c r="DI130" s="51"/>
      <c r="DJ130" s="51"/>
      <c r="DK130" s="51"/>
      <c r="DL130" s="95"/>
      <c r="DM130" s="478"/>
      <c r="DN130" s="682">
        <f t="shared" si="15"/>
        <v>0</v>
      </c>
      <c r="DO130" s="683"/>
    </row>
    <row r="131" spans="1:119" ht="25.5" customHeight="1" thickTop="1" thickBot="1" x14ac:dyDescent="0.2">
      <c r="A131" s="676">
        <f t="shared" si="11"/>
        <v>116</v>
      </c>
      <c r="B131" s="1054"/>
      <c r="C131" s="1054"/>
      <c r="D131" s="83"/>
      <c r="E131" s="954"/>
      <c r="F131" s="52"/>
      <c r="G131" s="103"/>
      <c r="H131" s="1058"/>
      <c r="I131" s="684" t="str">
        <f t="shared" si="8"/>
        <v/>
      </c>
      <c r="J131" s="685">
        <f t="shared" si="9"/>
        <v>0</v>
      </c>
      <c r="K131" s="1252"/>
      <c r="L131" s="1251"/>
      <c r="M131" s="1257"/>
      <c r="N131" s="719" t="str">
        <f t="shared" si="12"/>
        <v/>
      </c>
      <c r="O131" s="720" t="str">
        <f>IF('Set up ~ Config'!$G$32=6,IF(OR($N131=7,$N131=8,$N131=9),1,IF(OR($N131=10,$N131=11,$N131=12),2,IF(OR($N131=1,$N131=2,$N131=3),3,IF(OR($N131=4,$N131=5,$N131=6),4,"")))),IF(OR($N131=9,$N131=10,$N131=11),1,IF(OR($N131=12,$N131=1,$N131=2),2,IF(OR($N131=3,$N131=4,$N131=5),3,IF(OR($N131=6,$N131=7,$N131=8),4,"")))))</f>
        <v/>
      </c>
      <c r="P131" s="99"/>
      <c r="Q131" s="62"/>
      <c r="R131" s="62"/>
      <c r="S131" s="51"/>
      <c r="T131" s="51"/>
      <c r="U131" s="51"/>
      <c r="V131" s="51"/>
      <c r="W131" s="51"/>
      <c r="X131" s="51"/>
      <c r="Y131" s="51"/>
      <c r="Z131" s="51"/>
      <c r="AA131" s="51"/>
      <c r="AB131" s="51"/>
      <c r="AC131" s="51"/>
      <c r="AD131" s="51"/>
      <c r="AE131" s="51"/>
      <c r="AF131" s="51"/>
      <c r="AG131" s="51"/>
      <c r="AH131" s="94"/>
      <c r="AI131" s="94"/>
      <c r="AJ131" s="94"/>
      <c r="AK131" s="94"/>
      <c r="AL131" s="94"/>
      <c r="AM131" s="94"/>
      <c r="AN131" s="94"/>
      <c r="AO131" s="95"/>
      <c r="AP131" s="686">
        <f t="shared" si="13"/>
        <v>0</v>
      </c>
      <c r="AQ131" s="42"/>
      <c r="AR131" s="42"/>
      <c r="AS131" s="42"/>
      <c r="AT131" s="43"/>
      <c r="AU131" s="687">
        <f t="shared" si="14"/>
        <v>0</v>
      </c>
      <c r="AV131" s="42"/>
      <c r="AW131" s="42"/>
      <c r="AX131" s="42"/>
      <c r="AY131" s="43"/>
      <c r="AZ131" s="486"/>
      <c r="BA131" s="51"/>
      <c r="BB131" s="51"/>
      <c r="BC131" s="51"/>
      <c r="BD131" s="51"/>
      <c r="BE131" s="51"/>
      <c r="BF131" s="51"/>
      <c r="BG131" s="51"/>
      <c r="BH131" s="94"/>
      <c r="BI131" s="94"/>
      <c r="BJ131" s="94"/>
      <c r="BK131" s="94"/>
      <c r="BL131" s="94"/>
      <c r="BM131" s="483"/>
      <c r="BN131" s="94"/>
      <c r="BO131" s="94"/>
      <c r="BP131" s="94"/>
      <c r="BQ131" s="94"/>
      <c r="BR131" s="94"/>
      <c r="BS131" s="94"/>
      <c r="BT131" s="94"/>
      <c r="BU131" s="94"/>
      <c r="BV131" s="94"/>
      <c r="BW131" s="688">
        <f t="shared" si="10"/>
        <v>0</v>
      </c>
      <c r="BX131" s="51"/>
      <c r="BY131" s="51"/>
      <c r="BZ131" s="51"/>
      <c r="CA131" s="51"/>
      <c r="CB131" s="51"/>
      <c r="CC131" s="51"/>
      <c r="CD131" s="97"/>
      <c r="CE131" s="479"/>
      <c r="CF131" s="51"/>
      <c r="CG131" s="51"/>
      <c r="CH131" s="62"/>
      <c r="CI131" s="62"/>
      <c r="CJ131" s="51"/>
      <c r="CK131" s="51"/>
      <c r="CL131" s="95"/>
      <c r="CM131" s="93"/>
      <c r="CN131" s="51"/>
      <c r="CO131" s="51"/>
      <c r="CP131" s="51"/>
      <c r="CQ131" s="51"/>
      <c r="CR131" s="51"/>
      <c r="CS131" s="51"/>
      <c r="CT131" s="51"/>
      <c r="CU131" s="95"/>
      <c r="CV131" s="93"/>
      <c r="CW131" s="51"/>
      <c r="CX131" s="51"/>
      <c r="CY131" s="51"/>
      <c r="CZ131" s="51"/>
      <c r="DA131" s="51"/>
      <c r="DB131" s="51"/>
      <c r="DC131" s="51"/>
      <c r="DD131" s="95"/>
      <c r="DE131" s="93"/>
      <c r="DF131" s="51"/>
      <c r="DG131" s="51"/>
      <c r="DH131" s="51"/>
      <c r="DI131" s="51"/>
      <c r="DJ131" s="51"/>
      <c r="DK131" s="51"/>
      <c r="DL131" s="95"/>
      <c r="DM131" s="478"/>
      <c r="DN131" s="682">
        <f t="shared" si="15"/>
        <v>0</v>
      </c>
      <c r="DO131" s="683"/>
    </row>
    <row r="132" spans="1:119" ht="25.5" customHeight="1" thickTop="1" thickBot="1" x14ac:dyDescent="0.2">
      <c r="A132" s="676">
        <f t="shared" si="11"/>
        <v>117</v>
      </c>
      <c r="B132" s="1054"/>
      <c r="C132" s="1054"/>
      <c r="D132" s="83"/>
      <c r="E132" s="954"/>
      <c r="F132" s="52"/>
      <c r="G132" s="103"/>
      <c r="H132" s="1058"/>
      <c r="I132" s="684" t="str">
        <f t="shared" si="8"/>
        <v/>
      </c>
      <c r="J132" s="685">
        <f t="shared" si="9"/>
        <v>0</v>
      </c>
      <c r="K132" s="1252"/>
      <c r="L132" s="1251"/>
      <c r="M132" s="1257"/>
      <c r="N132" s="719" t="str">
        <f t="shared" si="12"/>
        <v/>
      </c>
      <c r="O132" s="720" t="str">
        <f>IF('Set up ~ Config'!$G$32=6,IF(OR($N132=7,$N132=8,$N132=9),1,IF(OR($N132=10,$N132=11,$N132=12),2,IF(OR($N132=1,$N132=2,$N132=3),3,IF(OR($N132=4,$N132=5,$N132=6),4,"")))),IF(OR($N132=9,$N132=10,$N132=11),1,IF(OR($N132=12,$N132=1,$N132=2),2,IF(OR($N132=3,$N132=4,$N132=5),3,IF(OR($N132=6,$N132=7,$N132=8),4,"")))))</f>
        <v/>
      </c>
      <c r="P132" s="99"/>
      <c r="Q132" s="62"/>
      <c r="R132" s="62"/>
      <c r="S132" s="51"/>
      <c r="T132" s="51"/>
      <c r="U132" s="51"/>
      <c r="V132" s="51"/>
      <c r="W132" s="51"/>
      <c r="X132" s="51"/>
      <c r="Y132" s="51"/>
      <c r="Z132" s="51"/>
      <c r="AA132" s="51"/>
      <c r="AB132" s="51"/>
      <c r="AC132" s="51"/>
      <c r="AD132" s="51"/>
      <c r="AE132" s="51"/>
      <c r="AF132" s="51"/>
      <c r="AG132" s="51"/>
      <c r="AH132" s="94"/>
      <c r="AI132" s="94"/>
      <c r="AJ132" s="94"/>
      <c r="AK132" s="94"/>
      <c r="AL132" s="94"/>
      <c r="AM132" s="94"/>
      <c r="AN132" s="94"/>
      <c r="AO132" s="95"/>
      <c r="AP132" s="686">
        <f t="shared" si="13"/>
        <v>0</v>
      </c>
      <c r="AQ132" s="42"/>
      <c r="AR132" s="42"/>
      <c r="AS132" s="42"/>
      <c r="AT132" s="43"/>
      <c r="AU132" s="687">
        <f t="shared" si="14"/>
        <v>0</v>
      </c>
      <c r="AV132" s="42"/>
      <c r="AW132" s="42"/>
      <c r="AX132" s="42"/>
      <c r="AY132" s="43"/>
      <c r="AZ132" s="486"/>
      <c r="BA132" s="51"/>
      <c r="BB132" s="51"/>
      <c r="BC132" s="51"/>
      <c r="BD132" s="51"/>
      <c r="BE132" s="51"/>
      <c r="BF132" s="51"/>
      <c r="BG132" s="51"/>
      <c r="BH132" s="94"/>
      <c r="BI132" s="94"/>
      <c r="BJ132" s="94"/>
      <c r="BK132" s="94"/>
      <c r="BL132" s="94"/>
      <c r="BM132" s="483"/>
      <c r="BN132" s="94"/>
      <c r="BO132" s="94"/>
      <c r="BP132" s="94"/>
      <c r="BQ132" s="94"/>
      <c r="BR132" s="94"/>
      <c r="BS132" s="94"/>
      <c r="BT132" s="94"/>
      <c r="BU132" s="94"/>
      <c r="BV132" s="94"/>
      <c r="BW132" s="688">
        <f t="shared" si="10"/>
        <v>0</v>
      </c>
      <c r="BX132" s="51"/>
      <c r="BY132" s="51"/>
      <c r="BZ132" s="51"/>
      <c r="CA132" s="51"/>
      <c r="CB132" s="51"/>
      <c r="CC132" s="51"/>
      <c r="CD132" s="97"/>
      <c r="CE132" s="479"/>
      <c r="CF132" s="51"/>
      <c r="CG132" s="51"/>
      <c r="CH132" s="62"/>
      <c r="CI132" s="62"/>
      <c r="CJ132" s="51"/>
      <c r="CK132" s="51"/>
      <c r="CL132" s="95"/>
      <c r="CM132" s="93"/>
      <c r="CN132" s="51"/>
      <c r="CO132" s="51"/>
      <c r="CP132" s="51"/>
      <c r="CQ132" s="51"/>
      <c r="CR132" s="51"/>
      <c r="CS132" s="51"/>
      <c r="CT132" s="51"/>
      <c r="CU132" s="95"/>
      <c r="CV132" s="93"/>
      <c r="CW132" s="51"/>
      <c r="CX132" s="51"/>
      <c r="CY132" s="51"/>
      <c r="CZ132" s="51"/>
      <c r="DA132" s="51"/>
      <c r="DB132" s="51"/>
      <c r="DC132" s="51"/>
      <c r="DD132" s="95"/>
      <c r="DE132" s="93"/>
      <c r="DF132" s="51"/>
      <c r="DG132" s="51"/>
      <c r="DH132" s="51"/>
      <c r="DI132" s="51"/>
      <c r="DJ132" s="51"/>
      <c r="DK132" s="51"/>
      <c r="DL132" s="95"/>
      <c r="DM132" s="478"/>
      <c r="DN132" s="682">
        <f t="shared" si="15"/>
        <v>0</v>
      </c>
      <c r="DO132" s="683"/>
    </row>
    <row r="133" spans="1:119" ht="25.5" customHeight="1" thickTop="1" thickBot="1" x14ac:dyDescent="0.2">
      <c r="A133" s="676">
        <f t="shared" si="11"/>
        <v>118</v>
      </c>
      <c r="B133" s="1054"/>
      <c r="C133" s="1054"/>
      <c r="D133" s="83"/>
      <c r="E133" s="954"/>
      <c r="F133" s="52"/>
      <c r="G133" s="103"/>
      <c r="H133" s="1058"/>
      <c r="I133" s="684" t="str">
        <f t="shared" si="8"/>
        <v/>
      </c>
      <c r="J133" s="685">
        <f t="shared" si="9"/>
        <v>0</v>
      </c>
      <c r="K133" s="1252"/>
      <c r="L133" s="1251"/>
      <c r="M133" s="1257"/>
      <c r="N133" s="719" t="str">
        <f t="shared" si="12"/>
        <v/>
      </c>
      <c r="O133" s="720" t="str">
        <f>IF('Set up ~ Config'!$G$32=6,IF(OR($N133=7,$N133=8,$N133=9),1,IF(OR($N133=10,$N133=11,$N133=12),2,IF(OR($N133=1,$N133=2,$N133=3),3,IF(OR($N133=4,$N133=5,$N133=6),4,"")))),IF(OR($N133=9,$N133=10,$N133=11),1,IF(OR($N133=12,$N133=1,$N133=2),2,IF(OR($N133=3,$N133=4,$N133=5),3,IF(OR($N133=6,$N133=7,$N133=8),4,"")))))</f>
        <v/>
      </c>
      <c r="P133" s="99"/>
      <c r="Q133" s="62"/>
      <c r="R133" s="62"/>
      <c r="S133" s="51"/>
      <c r="T133" s="51"/>
      <c r="U133" s="51"/>
      <c r="V133" s="51"/>
      <c r="W133" s="51"/>
      <c r="X133" s="51"/>
      <c r="Y133" s="51"/>
      <c r="Z133" s="51"/>
      <c r="AA133" s="51"/>
      <c r="AB133" s="51"/>
      <c r="AC133" s="51"/>
      <c r="AD133" s="51"/>
      <c r="AE133" s="51"/>
      <c r="AF133" s="51"/>
      <c r="AG133" s="51"/>
      <c r="AH133" s="94"/>
      <c r="AI133" s="94"/>
      <c r="AJ133" s="94"/>
      <c r="AK133" s="94"/>
      <c r="AL133" s="94"/>
      <c r="AM133" s="94"/>
      <c r="AN133" s="94"/>
      <c r="AO133" s="95"/>
      <c r="AP133" s="686">
        <f t="shared" si="13"/>
        <v>0</v>
      </c>
      <c r="AQ133" s="42"/>
      <c r="AR133" s="42"/>
      <c r="AS133" s="42"/>
      <c r="AT133" s="43"/>
      <c r="AU133" s="687">
        <f t="shared" si="14"/>
        <v>0</v>
      </c>
      <c r="AV133" s="42"/>
      <c r="AW133" s="42"/>
      <c r="AX133" s="42"/>
      <c r="AY133" s="43"/>
      <c r="AZ133" s="486"/>
      <c r="BA133" s="51"/>
      <c r="BB133" s="51"/>
      <c r="BC133" s="51"/>
      <c r="BD133" s="51"/>
      <c r="BE133" s="51"/>
      <c r="BF133" s="51"/>
      <c r="BG133" s="51"/>
      <c r="BH133" s="94"/>
      <c r="BI133" s="94"/>
      <c r="BJ133" s="94"/>
      <c r="BK133" s="94"/>
      <c r="BL133" s="94"/>
      <c r="BM133" s="483"/>
      <c r="BN133" s="94"/>
      <c r="BO133" s="94"/>
      <c r="BP133" s="94"/>
      <c r="BQ133" s="94"/>
      <c r="BR133" s="94"/>
      <c r="BS133" s="94"/>
      <c r="BT133" s="94"/>
      <c r="BU133" s="94"/>
      <c r="BV133" s="94"/>
      <c r="BW133" s="688">
        <f t="shared" si="10"/>
        <v>0</v>
      </c>
      <c r="BX133" s="51"/>
      <c r="BY133" s="51"/>
      <c r="BZ133" s="51"/>
      <c r="CA133" s="51"/>
      <c r="CB133" s="51"/>
      <c r="CC133" s="51"/>
      <c r="CD133" s="97"/>
      <c r="CE133" s="479"/>
      <c r="CF133" s="51"/>
      <c r="CG133" s="51"/>
      <c r="CH133" s="62"/>
      <c r="CI133" s="62"/>
      <c r="CJ133" s="51"/>
      <c r="CK133" s="51"/>
      <c r="CL133" s="95"/>
      <c r="CM133" s="93"/>
      <c r="CN133" s="51"/>
      <c r="CO133" s="51"/>
      <c r="CP133" s="51"/>
      <c r="CQ133" s="51"/>
      <c r="CR133" s="51"/>
      <c r="CS133" s="51"/>
      <c r="CT133" s="51"/>
      <c r="CU133" s="95"/>
      <c r="CV133" s="93"/>
      <c r="CW133" s="51"/>
      <c r="CX133" s="51"/>
      <c r="CY133" s="51"/>
      <c r="CZ133" s="51"/>
      <c r="DA133" s="51"/>
      <c r="DB133" s="51"/>
      <c r="DC133" s="51"/>
      <c r="DD133" s="95"/>
      <c r="DE133" s="93"/>
      <c r="DF133" s="51"/>
      <c r="DG133" s="51"/>
      <c r="DH133" s="51"/>
      <c r="DI133" s="51"/>
      <c r="DJ133" s="51"/>
      <c r="DK133" s="51"/>
      <c r="DL133" s="95"/>
      <c r="DM133" s="478"/>
      <c r="DN133" s="682">
        <f t="shared" si="15"/>
        <v>0</v>
      </c>
      <c r="DO133" s="683"/>
    </row>
    <row r="134" spans="1:119" ht="25.5" customHeight="1" thickTop="1" thickBot="1" x14ac:dyDescent="0.2">
      <c r="A134" s="676">
        <f t="shared" si="11"/>
        <v>119</v>
      </c>
      <c r="B134" s="1054"/>
      <c r="C134" s="1054"/>
      <c r="D134" s="83"/>
      <c r="E134" s="954"/>
      <c r="F134" s="52"/>
      <c r="G134" s="103"/>
      <c r="H134" s="1058"/>
      <c r="I134" s="684" t="str">
        <f t="shared" si="8"/>
        <v/>
      </c>
      <c r="J134" s="685">
        <f t="shared" si="9"/>
        <v>0</v>
      </c>
      <c r="K134" s="1252"/>
      <c r="L134" s="1251"/>
      <c r="M134" s="1257"/>
      <c r="N134" s="719" t="str">
        <f t="shared" si="12"/>
        <v/>
      </c>
      <c r="O134" s="720" t="str">
        <f>IF('Set up ~ Config'!$G$32=6,IF(OR($N134=7,$N134=8,$N134=9),1,IF(OR($N134=10,$N134=11,$N134=12),2,IF(OR($N134=1,$N134=2,$N134=3),3,IF(OR($N134=4,$N134=5,$N134=6),4,"")))),IF(OR($N134=9,$N134=10,$N134=11),1,IF(OR($N134=12,$N134=1,$N134=2),2,IF(OR($N134=3,$N134=4,$N134=5),3,IF(OR($N134=6,$N134=7,$N134=8),4,"")))))</f>
        <v/>
      </c>
      <c r="P134" s="99"/>
      <c r="Q134" s="62"/>
      <c r="R134" s="62"/>
      <c r="S134" s="51"/>
      <c r="T134" s="51"/>
      <c r="U134" s="51"/>
      <c r="V134" s="51"/>
      <c r="W134" s="51"/>
      <c r="X134" s="51"/>
      <c r="Y134" s="51"/>
      <c r="Z134" s="51"/>
      <c r="AA134" s="51"/>
      <c r="AB134" s="51"/>
      <c r="AC134" s="51"/>
      <c r="AD134" s="51"/>
      <c r="AE134" s="51"/>
      <c r="AF134" s="51"/>
      <c r="AG134" s="51"/>
      <c r="AH134" s="94"/>
      <c r="AI134" s="94"/>
      <c r="AJ134" s="94"/>
      <c r="AK134" s="94"/>
      <c r="AL134" s="94"/>
      <c r="AM134" s="94"/>
      <c r="AN134" s="94"/>
      <c r="AO134" s="95"/>
      <c r="AP134" s="686">
        <f t="shared" si="13"/>
        <v>0</v>
      </c>
      <c r="AQ134" s="42"/>
      <c r="AR134" s="42"/>
      <c r="AS134" s="42"/>
      <c r="AT134" s="43"/>
      <c r="AU134" s="687">
        <f t="shared" si="14"/>
        <v>0</v>
      </c>
      <c r="AV134" s="42"/>
      <c r="AW134" s="42"/>
      <c r="AX134" s="42"/>
      <c r="AY134" s="43"/>
      <c r="AZ134" s="486"/>
      <c r="BA134" s="51"/>
      <c r="BB134" s="51"/>
      <c r="BC134" s="51"/>
      <c r="BD134" s="51"/>
      <c r="BE134" s="51"/>
      <c r="BF134" s="51"/>
      <c r="BG134" s="51"/>
      <c r="BH134" s="94"/>
      <c r="BI134" s="94"/>
      <c r="BJ134" s="94"/>
      <c r="BK134" s="94"/>
      <c r="BL134" s="94"/>
      <c r="BM134" s="483"/>
      <c r="BN134" s="94"/>
      <c r="BO134" s="94"/>
      <c r="BP134" s="94"/>
      <c r="BQ134" s="94"/>
      <c r="BR134" s="94"/>
      <c r="BS134" s="94"/>
      <c r="BT134" s="94"/>
      <c r="BU134" s="94"/>
      <c r="BV134" s="94"/>
      <c r="BW134" s="688">
        <f t="shared" si="10"/>
        <v>0</v>
      </c>
      <c r="BX134" s="51"/>
      <c r="BY134" s="51"/>
      <c r="BZ134" s="51"/>
      <c r="CA134" s="51"/>
      <c r="CB134" s="51"/>
      <c r="CC134" s="51"/>
      <c r="CD134" s="97"/>
      <c r="CE134" s="479"/>
      <c r="CF134" s="51"/>
      <c r="CG134" s="51"/>
      <c r="CH134" s="62"/>
      <c r="CI134" s="62"/>
      <c r="CJ134" s="51"/>
      <c r="CK134" s="51"/>
      <c r="CL134" s="95"/>
      <c r="CM134" s="93"/>
      <c r="CN134" s="51"/>
      <c r="CO134" s="51"/>
      <c r="CP134" s="51"/>
      <c r="CQ134" s="51"/>
      <c r="CR134" s="51"/>
      <c r="CS134" s="51"/>
      <c r="CT134" s="51"/>
      <c r="CU134" s="95"/>
      <c r="CV134" s="93"/>
      <c r="CW134" s="51"/>
      <c r="CX134" s="51"/>
      <c r="CY134" s="51"/>
      <c r="CZ134" s="51"/>
      <c r="DA134" s="51"/>
      <c r="DB134" s="51"/>
      <c r="DC134" s="51"/>
      <c r="DD134" s="95"/>
      <c r="DE134" s="93"/>
      <c r="DF134" s="51"/>
      <c r="DG134" s="51"/>
      <c r="DH134" s="51"/>
      <c r="DI134" s="51"/>
      <c r="DJ134" s="51"/>
      <c r="DK134" s="51"/>
      <c r="DL134" s="95"/>
      <c r="DM134" s="478"/>
      <c r="DN134" s="682">
        <f t="shared" si="15"/>
        <v>0</v>
      </c>
      <c r="DO134" s="683"/>
    </row>
    <row r="135" spans="1:119" ht="25.5" customHeight="1" thickTop="1" thickBot="1" x14ac:dyDescent="0.2">
      <c r="A135" s="676">
        <f t="shared" si="11"/>
        <v>120</v>
      </c>
      <c r="B135" s="1054"/>
      <c r="C135" s="1054"/>
      <c r="D135" s="83"/>
      <c r="E135" s="954"/>
      <c r="F135" s="52"/>
      <c r="G135" s="103"/>
      <c r="H135" s="1058"/>
      <c r="I135" s="684" t="str">
        <f t="shared" si="8"/>
        <v/>
      </c>
      <c r="J135" s="685">
        <f t="shared" si="9"/>
        <v>0</v>
      </c>
      <c r="K135" s="1252"/>
      <c r="L135" s="1251"/>
      <c r="M135" s="1257"/>
      <c r="N135" s="719" t="str">
        <f t="shared" si="12"/>
        <v/>
      </c>
      <c r="O135" s="720" t="str">
        <f>IF('Set up ~ Config'!$G$32=6,IF(OR($N135=7,$N135=8,$N135=9),1,IF(OR($N135=10,$N135=11,$N135=12),2,IF(OR($N135=1,$N135=2,$N135=3),3,IF(OR($N135=4,$N135=5,$N135=6),4,"")))),IF(OR($N135=9,$N135=10,$N135=11),1,IF(OR($N135=12,$N135=1,$N135=2),2,IF(OR($N135=3,$N135=4,$N135=5),3,IF(OR($N135=6,$N135=7,$N135=8),4,"")))))</f>
        <v/>
      </c>
      <c r="P135" s="99"/>
      <c r="Q135" s="62"/>
      <c r="R135" s="62"/>
      <c r="S135" s="51"/>
      <c r="T135" s="51"/>
      <c r="U135" s="51"/>
      <c r="V135" s="51"/>
      <c r="W135" s="51"/>
      <c r="X135" s="51"/>
      <c r="Y135" s="51"/>
      <c r="Z135" s="51"/>
      <c r="AA135" s="51"/>
      <c r="AB135" s="51"/>
      <c r="AC135" s="51"/>
      <c r="AD135" s="51"/>
      <c r="AE135" s="51"/>
      <c r="AF135" s="51"/>
      <c r="AG135" s="51"/>
      <c r="AH135" s="94"/>
      <c r="AI135" s="94"/>
      <c r="AJ135" s="94"/>
      <c r="AK135" s="94"/>
      <c r="AL135" s="94"/>
      <c r="AM135" s="94"/>
      <c r="AN135" s="94"/>
      <c r="AO135" s="95"/>
      <c r="AP135" s="686">
        <f t="shared" si="13"/>
        <v>0</v>
      </c>
      <c r="AQ135" s="42"/>
      <c r="AR135" s="42"/>
      <c r="AS135" s="42"/>
      <c r="AT135" s="43"/>
      <c r="AU135" s="687">
        <f t="shared" si="14"/>
        <v>0</v>
      </c>
      <c r="AV135" s="42"/>
      <c r="AW135" s="42"/>
      <c r="AX135" s="42"/>
      <c r="AY135" s="43"/>
      <c r="AZ135" s="486"/>
      <c r="BA135" s="51"/>
      <c r="BB135" s="51"/>
      <c r="BC135" s="51"/>
      <c r="BD135" s="51"/>
      <c r="BE135" s="51"/>
      <c r="BF135" s="51"/>
      <c r="BG135" s="51"/>
      <c r="BH135" s="94"/>
      <c r="BI135" s="94"/>
      <c r="BJ135" s="94"/>
      <c r="BK135" s="94"/>
      <c r="BL135" s="94"/>
      <c r="BM135" s="483"/>
      <c r="BN135" s="94"/>
      <c r="BO135" s="94"/>
      <c r="BP135" s="94"/>
      <c r="BQ135" s="94"/>
      <c r="BR135" s="94"/>
      <c r="BS135" s="94"/>
      <c r="BT135" s="94"/>
      <c r="BU135" s="94"/>
      <c r="BV135" s="94"/>
      <c r="BW135" s="688">
        <f t="shared" si="10"/>
        <v>0</v>
      </c>
      <c r="BX135" s="51"/>
      <c r="BY135" s="51"/>
      <c r="BZ135" s="51"/>
      <c r="CA135" s="51"/>
      <c r="CB135" s="51"/>
      <c r="CC135" s="51"/>
      <c r="CD135" s="97"/>
      <c r="CE135" s="479"/>
      <c r="CF135" s="51"/>
      <c r="CG135" s="51"/>
      <c r="CH135" s="62"/>
      <c r="CI135" s="62"/>
      <c r="CJ135" s="51"/>
      <c r="CK135" s="51"/>
      <c r="CL135" s="95"/>
      <c r="CM135" s="93"/>
      <c r="CN135" s="51"/>
      <c r="CO135" s="51"/>
      <c r="CP135" s="51"/>
      <c r="CQ135" s="51"/>
      <c r="CR135" s="51"/>
      <c r="CS135" s="51"/>
      <c r="CT135" s="51"/>
      <c r="CU135" s="95"/>
      <c r="CV135" s="93"/>
      <c r="CW135" s="51"/>
      <c r="CX135" s="51"/>
      <c r="CY135" s="51"/>
      <c r="CZ135" s="51"/>
      <c r="DA135" s="51"/>
      <c r="DB135" s="51"/>
      <c r="DC135" s="51"/>
      <c r="DD135" s="95"/>
      <c r="DE135" s="93"/>
      <c r="DF135" s="51"/>
      <c r="DG135" s="51"/>
      <c r="DH135" s="51"/>
      <c r="DI135" s="51"/>
      <c r="DJ135" s="51"/>
      <c r="DK135" s="51"/>
      <c r="DL135" s="95"/>
      <c r="DM135" s="478"/>
      <c r="DN135" s="682">
        <f t="shared" si="15"/>
        <v>0</v>
      </c>
      <c r="DO135" s="683"/>
    </row>
    <row r="136" spans="1:119" ht="25.5" customHeight="1" thickTop="1" thickBot="1" x14ac:dyDescent="0.2">
      <c r="A136" s="676">
        <f t="shared" si="11"/>
        <v>121</v>
      </c>
      <c r="B136" s="1054"/>
      <c r="C136" s="1054"/>
      <c r="D136" s="83"/>
      <c r="E136" s="954"/>
      <c r="F136" s="52"/>
      <c r="G136" s="103"/>
      <c r="H136" s="1058"/>
      <c r="I136" s="684" t="str">
        <f t="shared" si="8"/>
        <v/>
      </c>
      <c r="J136" s="685">
        <f t="shared" si="9"/>
        <v>0</v>
      </c>
      <c r="K136" s="1252"/>
      <c r="L136" s="1251"/>
      <c r="M136" s="1257"/>
      <c r="N136" s="719" t="str">
        <f t="shared" si="12"/>
        <v/>
      </c>
      <c r="O136" s="720" t="str">
        <f>IF('Set up ~ Config'!$G$32=6,IF(OR($N136=7,$N136=8,$N136=9),1,IF(OR($N136=10,$N136=11,$N136=12),2,IF(OR($N136=1,$N136=2,$N136=3),3,IF(OR($N136=4,$N136=5,$N136=6),4,"")))),IF(OR($N136=9,$N136=10,$N136=11),1,IF(OR($N136=12,$N136=1,$N136=2),2,IF(OR($N136=3,$N136=4,$N136=5),3,IF(OR($N136=6,$N136=7,$N136=8),4,"")))))</f>
        <v/>
      </c>
      <c r="P136" s="99"/>
      <c r="Q136" s="62"/>
      <c r="R136" s="62"/>
      <c r="S136" s="51"/>
      <c r="T136" s="51"/>
      <c r="U136" s="51"/>
      <c r="V136" s="51"/>
      <c r="W136" s="51"/>
      <c r="X136" s="51"/>
      <c r="Y136" s="51"/>
      <c r="Z136" s="51"/>
      <c r="AA136" s="51"/>
      <c r="AB136" s="51"/>
      <c r="AC136" s="51"/>
      <c r="AD136" s="51"/>
      <c r="AE136" s="51"/>
      <c r="AF136" s="51"/>
      <c r="AG136" s="51"/>
      <c r="AH136" s="94"/>
      <c r="AI136" s="94"/>
      <c r="AJ136" s="94"/>
      <c r="AK136" s="94"/>
      <c r="AL136" s="94"/>
      <c r="AM136" s="94"/>
      <c r="AN136" s="94"/>
      <c r="AO136" s="95"/>
      <c r="AP136" s="686">
        <f t="shared" si="13"/>
        <v>0</v>
      </c>
      <c r="AQ136" s="42"/>
      <c r="AR136" s="42"/>
      <c r="AS136" s="42"/>
      <c r="AT136" s="43"/>
      <c r="AU136" s="687">
        <f t="shared" si="14"/>
        <v>0</v>
      </c>
      <c r="AV136" s="42"/>
      <c r="AW136" s="42"/>
      <c r="AX136" s="42"/>
      <c r="AY136" s="43"/>
      <c r="AZ136" s="486"/>
      <c r="BA136" s="51"/>
      <c r="BB136" s="51"/>
      <c r="BC136" s="51"/>
      <c r="BD136" s="51"/>
      <c r="BE136" s="51"/>
      <c r="BF136" s="51"/>
      <c r="BG136" s="51"/>
      <c r="BH136" s="94"/>
      <c r="BI136" s="94"/>
      <c r="BJ136" s="94"/>
      <c r="BK136" s="94"/>
      <c r="BL136" s="94"/>
      <c r="BM136" s="483"/>
      <c r="BN136" s="94"/>
      <c r="BO136" s="94"/>
      <c r="BP136" s="94"/>
      <c r="BQ136" s="94"/>
      <c r="BR136" s="94"/>
      <c r="BS136" s="94"/>
      <c r="BT136" s="94"/>
      <c r="BU136" s="94"/>
      <c r="BV136" s="94"/>
      <c r="BW136" s="688">
        <f t="shared" si="10"/>
        <v>0</v>
      </c>
      <c r="BX136" s="51"/>
      <c r="BY136" s="51"/>
      <c r="BZ136" s="51"/>
      <c r="CA136" s="51"/>
      <c r="CB136" s="51"/>
      <c r="CC136" s="51"/>
      <c r="CD136" s="97"/>
      <c r="CE136" s="479"/>
      <c r="CF136" s="51"/>
      <c r="CG136" s="51"/>
      <c r="CH136" s="62"/>
      <c r="CI136" s="62"/>
      <c r="CJ136" s="51"/>
      <c r="CK136" s="51"/>
      <c r="CL136" s="95"/>
      <c r="CM136" s="93"/>
      <c r="CN136" s="51"/>
      <c r="CO136" s="51"/>
      <c r="CP136" s="51"/>
      <c r="CQ136" s="51"/>
      <c r="CR136" s="51"/>
      <c r="CS136" s="51"/>
      <c r="CT136" s="51"/>
      <c r="CU136" s="95"/>
      <c r="CV136" s="93"/>
      <c r="CW136" s="51"/>
      <c r="CX136" s="51"/>
      <c r="CY136" s="51"/>
      <c r="CZ136" s="51"/>
      <c r="DA136" s="51"/>
      <c r="DB136" s="51"/>
      <c r="DC136" s="51"/>
      <c r="DD136" s="95"/>
      <c r="DE136" s="93"/>
      <c r="DF136" s="51"/>
      <c r="DG136" s="51"/>
      <c r="DH136" s="51"/>
      <c r="DI136" s="51"/>
      <c r="DJ136" s="51"/>
      <c r="DK136" s="51"/>
      <c r="DL136" s="95"/>
      <c r="DM136" s="478"/>
      <c r="DN136" s="682">
        <f t="shared" si="15"/>
        <v>0</v>
      </c>
      <c r="DO136" s="683"/>
    </row>
    <row r="137" spans="1:119" ht="25.5" customHeight="1" thickTop="1" thickBot="1" x14ac:dyDescent="0.2">
      <c r="A137" s="676">
        <f t="shared" si="11"/>
        <v>122</v>
      </c>
      <c r="B137" s="1054"/>
      <c r="C137" s="1054"/>
      <c r="D137" s="83"/>
      <c r="E137" s="954"/>
      <c r="F137" s="52"/>
      <c r="G137" s="103"/>
      <c r="H137" s="1058"/>
      <c r="I137" s="684" t="str">
        <f t="shared" si="8"/>
        <v/>
      </c>
      <c r="J137" s="685">
        <f t="shared" si="9"/>
        <v>0</v>
      </c>
      <c r="K137" s="1252"/>
      <c r="L137" s="1251"/>
      <c r="M137" s="1257"/>
      <c r="N137" s="719" t="str">
        <f t="shared" si="12"/>
        <v/>
      </c>
      <c r="O137" s="720" t="str">
        <f>IF('Set up ~ Config'!$G$32=6,IF(OR($N137=7,$N137=8,$N137=9),1,IF(OR($N137=10,$N137=11,$N137=12),2,IF(OR($N137=1,$N137=2,$N137=3),3,IF(OR($N137=4,$N137=5,$N137=6),4,"")))),IF(OR($N137=9,$N137=10,$N137=11),1,IF(OR($N137=12,$N137=1,$N137=2),2,IF(OR($N137=3,$N137=4,$N137=5),3,IF(OR($N137=6,$N137=7,$N137=8),4,"")))))</f>
        <v/>
      </c>
      <c r="P137" s="99"/>
      <c r="Q137" s="62"/>
      <c r="R137" s="62"/>
      <c r="S137" s="51"/>
      <c r="T137" s="51"/>
      <c r="U137" s="51"/>
      <c r="V137" s="51"/>
      <c r="W137" s="51"/>
      <c r="X137" s="51"/>
      <c r="Y137" s="51"/>
      <c r="Z137" s="51"/>
      <c r="AA137" s="51"/>
      <c r="AB137" s="51"/>
      <c r="AC137" s="51"/>
      <c r="AD137" s="51"/>
      <c r="AE137" s="51"/>
      <c r="AF137" s="51"/>
      <c r="AG137" s="51"/>
      <c r="AH137" s="94"/>
      <c r="AI137" s="94"/>
      <c r="AJ137" s="94"/>
      <c r="AK137" s="94"/>
      <c r="AL137" s="94"/>
      <c r="AM137" s="94"/>
      <c r="AN137" s="94"/>
      <c r="AO137" s="95"/>
      <c r="AP137" s="686">
        <f t="shared" si="13"/>
        <v>0</v>
      </c>
      <c r="AQ137" s="42"/>
      <c r="AR137" s="42"/>
      <c r="AS137" s="42"/>
      <c r="AT137" s="43"/>
      <c r="AU137" s="687">
        <f t="shared" si="14"/>
        <v>0</v>
      </c>
      <c r="AV137" s="42"/>
      <c r="AW137" s="42"/>
      <c r="AX137" s="42"/>
      <c r="AY137" s="43"/>
      <c r="AZ137" s="486"/>
      <c r="BA137" s="51"/>
      <c r="BB137" s="51"/>
      <c r="BC137" s="51"/>
      <c r="BD137" s="51"/>
      <c r="BE137" s="51"/>
      <c r="BF137" s="51"/>
      <c r="BG137" s="51"/>
      <c r="BH137" s="94"/>
      <c r="BI137" s="94"/>
      <c r="BJ137" s="94"/>
      <c r="BK137" s="94"/>
      <c r="BL137" s="94"/>
      <c r="BM137" s="483"/>
      <c r="BN137" s="94"/>
      <c r="BO137" s="94"/>
      <c r="BP137" s="94"/>
      <c r="BQ137" s="94"/>
      <c r="BR137" s="94"/>
      <c r="BS137" s="94"/>
      <c r="BT137" s="94"/>
      <c r="BU137" s="94"/>
      <c r="BV137" s="94"/>
      <c r="BW137" s="688">
        <f t="shared" si="10"/>
        <v>0</v>
      </c>
      <c r="BX137" s="51"/>
      <c r="BY137" s="51"/>
      <c r="BZ137" s="51"/>
      <c r="CA137" s="51"/>
      <c r="CB137" s="51"/>
      <c r="CC137" s="51"/>
      <c r="CD137" s="97"/>
      <c r="CE137" s="479"/>
      <c r="CF137" s="51"/>
      <c r="CG137" s="51"/>
      <c r="CH137" s="62"/>
      <c r="CI137" s="62"/>
      <c r="CJ137" s="51"/>
      <c r="CK137" s="51"/>
      <c r="CL137" s="95"/>
      <c r="CM137" s="93"/>
      <c r="CN137" s="51"/>
      <c r="CO137" s="51"/>
      <c r="CP137" s="51"/>
      <c r="CQ137" s="51"/>
      <c r="CR137" s="51"/>
      <c r="CS137" s="51"/>
      <c r="CT137" s="51"/>
      <c r="CU137" s="95"/>
      <c r="CV137" s="93"/>
      <c r="CW137" s="51"/>
      <c r="CX137" s="51"/>
      <c r="CY137" s="51"/>
      <c r="CZ137" s="51"/>
      <c r="DA137" s="51"/>
      <c r="DB137" s="51"/>
      <c r="DC137" s="51"/>
      <c r="DD137" s="95"/>
      <c r="DE137" s="93"/>
      <c r="DF137" s="51"/>
      <c r="DG137" s="51"/>
      <c r="DH137" s="51"/>
      <c r="DI137" s="51"/>
      <c r="DJ137" s="51"/>
      <c r="DK137" s="51"/>
      <c r="DL137" s="95"/>
      <c r="DM137" s="478"/>
      <c r="DN137" s="682">
        <f t="shared" si="15"/>
        <v>0</v>
      </c>
      <c r="DO137" s="683"/>
    </row>
    <row r="138" spans="1:119" ht="25.5" customHeight="1" thickTop="1" thickBot="1" x14ac:dyDescent="0.2">
      <c r="A138" s="676">
        <f t="shared" si="11"/>
        <v>123</v>
      </c>
      <c r="B138" s="1054"/>
      <c r="C138" s="1054"/>
      <c r="D138" s="83"/>
      <c r="E138" s="954"/>
      <c r="F138" s="52"/>
      <c r="G138" s="103"/>
      <c r="H138" s="1058"/>
      <c r="I138" s="684" t="str">
        <f t="shared" si="8"/>
        <v/>
      </c>
      <c r="J138" s="685">
        <f t="shared" si="9"/>
        <v>0</v>
      </c>
      <c r="K138" s="1252"/>
      <c r="L138" s="1251"/>
      <c r="M138" s="1257"/>
      <c r="N138" s="719" t="str">
        <f t="shared" si="12"/>
        <v/>
      </c>
      <c r="O138" s="720" t="str">
        <f>IF('Set up ~ Config'!$G$32=6,IF(OR($N138=7,$N138=8,$N138=9),1,IF(OR($N138=10,$N138=11,$N138=12),2,IF(OR($N138=1,$N138=2,$N138=3),3,IF(OR($N138=4,$N138=5,$N138=6),4,"")))),IF(OR($N138=9,$N138=10,$N138=11),1,IF(OR($N138=12,$N138=1,$N138=2),2,IF(OR($N138=3,$N138=4,$N138=5),3,IF(OR($N138=6,$N138=7,$N138=8),4,"")))))</f>
        <v/>
      </c>
      <c r="P138" s="99"/>
      <c r="Q138" s="62"/>
      <c r="R138" s="62"/>
      <c r="S138" s="51"/>
      <c r="T138" s="51"/>
      <c r="U138" s="51"/>
      <c r="V138" s="51"/>
      <c r="W138" s="51"/>
      <c r="X138" s="51"/>
      <c r="Y138" s="51"/>
      <c r="Z138" s="51"/>
      <c r="AA138" s="51"/>
      <c r="AB138" s="51"/>
      <c r="AC138" s="51"/>
      <c r="AD138" s="51"/>
      <c r="AE138" s="51"/>
      <c r="AF138" s="51"/>
      <c r="AG138" s="51"/>
      <c r="AH138" s="94"/>
      <c r="AI138" s="94"/>
      <c r="AJ138" s="94"/>
      <c r="AK138" s="94"/>
      <c r="AL138" s="94"/>
      <c r="AM138" s="94"/>
      <c r="AN138" s="94"/>
      <c r="AO138" s="95"/>
      <c r="AP138" s="686">
        <f t="shared" si="13"/>
        <v>0</v>
      </c>
      <c r="AQ138" s="42"/>
      <c r="AR138" s="42"/>
      <c r="AS138" s="42"/>
      <c r="AT138" s="43"/>
      <c r="AU138" s="687">
        <f t="shared" si="14"/>
        <v>0</v>
      </c>
      <c r="AV138" s="42"/>
      <c r="AW138" s="42"/>
      <c r="AX138" s="42"/>
      <c r="AY138" s="43"/>
      <c r="AZ138" s="486"/>
      <c r="BA138" s="51"/>
      <c r="BB138" s="51"/>
      <c r="BC138" s="51"/>
      <c r="BD138" s="51"/>
      <c r="BE138" s="51"/>
      <c r="BF138" s="51"/>
      <c r="BG138" s="51"/>
      <c r="BH138" s="94"/>
      <c r="BI138" s="94"/>
      <c r="BJ138" s="94"/>
      <c r="BK138" s="94"/>
      <c r="BL138" s="94"/>
      <c r="BM138" s="483"/>
      <c r="BN138" s="94"/>
      <c r="BO138" s="94"/>
      <c r="BP138" s="94"/>
      <c r="BQ138" s="94"/>
      <c r="BR138" s="94"/>
      <c r="BS138" s="94"/>
      <c r="BT138" s="94"/>
      <c r="BU138" s="94"/>
      <c r="BV138" s="94"/>
      <c r="BW138" s="688">
        <f t="shared" si="10"/>
        <v>0</v>
      </c>
      <c r="BX138" s="51"/>
      <c r="BY138" s="51"/>
      <c r="BZ138" s="51"/>
      <c r="CA138" s="51"/>
      <c r="CB138" s="51"/>
      <c r="CC138" s="51"/>
      <c r="CD138" s="97"/>
      <c r="CE138" s="479"/>
      <c r="CF138" s="51"/>
      <c r="CG138" s="51"/>
      <c r="CH138" s="62"/>
      <c r="CI138" s="62"/>
      <c r="CJ138" s="51"/>
      <c r="CK138" s="51"/>
      <c r="CL138" s="95"/>
      <c r="CM138" s="93"/>
      <c r="CN138" s="51"/>
      <c r="CO138" s="51"/>
      <c r="CP138" s="51"/>
      <c r="CQ138" s="51"/>
      <c r="CR138" s="51"/>
      <c r="CS138" s="51"/>
      <c r="CT138" s="51"/>
      <c r="CU138" s="95"/>
      <c r="CV138" s="93"/>
      <c r="CW138" s="51"/>
      <c r="CX138" s="51"/>
      <c r="CY138" s="51"/>
      <c r="CZ138" s="51"/>
      <c r="DA138" s="51"/>
      <c r="DB138" s="51"/>
      <c r="DC138" s="51"/>
      <c r="DD138" s="95"/>
      <c r="DE138" s="93"/>
      <c r="DF138" s="51"/>
      <c r="DG138" s="51"/>
      <c r="DH138" s="51"/>
      <c r="DI138" s="51"/>
      <c r="DJ138" s="51"/>
      <c r="DK138" s="51"/>
      <c r="DL138" s="95"/>
      <c r="DM138" s="478"/>
      <c r="DN138" s="682">
        <f t="shared" si="15"/>
        <v>0</v>
      </c>
      <c r="DO138" s="683"/>
    </row>
    <row r="139" spans="1:119" ht="25.5" customHeight="1" thickTop="1" thickBot="1" x14ac:dyDescent="0.2">
      <c r="A139" s="676">
        <f t="shared" si="11"/>
        <v>124</v>
      </c>
      <c r="B139" s="1054"/>
      <c r="C139" s="1054"/>
      <c r="D139" s="83"/>
      <c r="E139" s="954"/>
      <c r="F139" s="52"/>
      <c r="G139" s="103"/>
      <c r="H139" s="1058"/>
      <c r="I139" s="684" t="str">
        <f t="shared" si="8"/>
        <v/>
      </c>
      <c r="J139" s="685">
        <f t="shared" si="9"/>
        <v>0</v>
      </c>
      <c r="K139" s="1252"/>
      <c r="L139" s="1251"/>
      <c r="M139" s="1257"/>
      <c r="N139" s="719" t="str">
        <f t="shared" si="12"/>
        <v/>
      </c>
      <c r="O139" s="720" t="str">
        <f>IF('Set up ~ Config'!$G$32=6,IF(OR($N139=7,$N139=8,$N139=9),1,IF(OR($N139=10,$N139=11,$N139=12),2,IF(OR($N139=1,$N139=2,$N139=3),3,IF(OR($N139=4,$N139=5,$N139=6),4,"")))),IF(OR($N139=9,$N139=10,$N139=11),1,IF(OR($N139=12,$N139=1,$N139=2),2,IF(OR($N139=3,$N139=4,$N139=5),3,IF(OR($N139=6,$N139=7,$N139=8),4,"")))))</f>
        <v/>
      </c>
      <c r="P139" s="99"/>
      <c r="Q139" s="62"/>
      <c r="R139" s="62"/>
      <c r="S139" s="51"/>
      <c r="T139" s="51"/>
      <c r="U139" s="51"/>
      <c r="V139" s="51"/>
      <c r="W139" s="51"/>
      <c r="X139" s="51"/>
      <c r="Y139" s="51"/>
      <c r="Z139" s="51"/>
      <c r="AA139" s="51"/>
      <c r="AB139" s="51"/>
      <c r="AC139" s="51"/>
      <c r="AD139" s="51"/>
      <c r="AE139" s="51"/>
      <c r="AF139" s="51"/>
      <c r="AG139" s="51"/>
      <c r="AH139" s="94"/>
      <c r="AI139" s="94"/>
      <c r="AJ139" s="94"/>
      <c r="AK139" s="94"/>
      <c r="AL139" s="94"/>
      <c r="AM139" s="94"/>
      <c r="AN139" s="94"/>
      <c r="AO139" s="95"/>
      <c r="AP139" s="686">
        <f t="shared" si="13"/>
        <v>0</v>
      </c>
      <c r="AQ139" s="42"/>
      <c r="AR139" s="42"/>
      <c r="AS139" s="42"/>
      <c r="AT139" s="43"/>
      <c r="AU139" s="687">
        <f t="shared" si="14"/>
        <v>0</v>
      </c>
      <c r="AV139" s="42"/>
      <c r="AW139" s="42"/>
      <c r="AX139" s="42"/>
      <c r="AY139" s="43"/>
      <c r="AZ139" s="486"/>
      <c r="BA139" s="51"/>
      <c r="BB139" s="51"/>
      <c r="BC139" s="51"/>
      <c r="BD139" s="51"/>
      <c r="BE139" s="51"/>
      <c r="BF139" s="51"/>
      <c r="BG139" s="51"/>
      <c r="BH139" s="94"/>
      <c r="BI139" s="94"/>
      <c r="BJ139" s="94"/>
      <c r="BK139" s="94"/>
      <c r="BL139" s="94"/>
      <c r="BM139" s="483"/>
      <c r="BN139" s="94"/>
      <c r="BO139" s="94"/>
      <c r="BP139" s="94"/>
      <c r="BQ139" s="94"/>
      <c r="BR139" s="94"/>
      <c r="BS139" s="94"/>
      <c r="BT139" s="94"/>
      <c r="BU139" s="94"/>
      <c r="BV139" s="94"/>
      <c r="BW139" s="688">
        <f t="shared" si="10"/>
        <v>0</v>
      </c>
      <c r="BX139" s="51"/>
      <c r="BY139" s="51"/>
      <c r="BZ139" s="51"/>
      <c r="CA139" s="51"/>
      <c r="CB139" s="51"/>
      <c r="CC139" s="51"/>
      <c r="CD139" s="97"/>
      <c r="CE139" s="479"/>
      <c r="CF139" s="51"/>
      <c r="CG139" s="51"/>
      <c r="CH139" s="62"/>
      <c r="CI139" s="62"/>
      <c r="CJ139" s="51"/>
      <c r="CK139" s="51"/>
      <c r="CL139" s="95"/>
      <c r="CM139" s="93"/>
      <c r="CN139" s="51"/>
      <c r="CO139" s="51"/>
      <c r="CP139" s="51"/>
      <c r="CQ139" s="51"/>
      <c r="CR139" s="51"/>
      <c r="CS139" s="51"/>
      <c r="CT139" s="51"/>
      <c r="CU139" s="95"/>
      <c r="CV139" s="93"/>
      <c r="CW139" s="51"/>
      <c r="CX139" s="51"/>
      <c r="CY139" s="51"/>
      <c r="CZ139" s="51"/>
      <c r="DA139" s="51"/>
      <c r="DB139" s="51"/>
      <c r="DC139" s="51"/>
      <c r="DD139" s="95"/>
      <c r="DE139" s="93"/>
      <c r="DF139" s="51"/>
      <c r="DG139" s="51"/>
      <c r="DH139" s="51"/>
      <c r="DI139" s="51"/>
      <c r="DJ139" s="51"/>
      <c r="DK139" s="51"/>
      <c r="DL139" s="95"/>
      <c r="DM139" s="478"/>
      <c r="DN139" s="682">
        <f t="shared" si="15"/>
        <v>0</v>
      </c>
      <c r="DO139" s="683"/>
    </row>
    <row r="140" spans="1:119" ht="25.5" customHeight="1" thickTop="1" thickBot="1" x14ac:dyDescent="0.2">
      <c r="A140" s="676">
        <f t="shared" si="11"/>
        <v>125</v>
      </c>
      <c r="B140" s="1054"/>
      <c r="C140" s="1054"/>
      <c r="D140" s="83"/>
      <c r="E140" s="954"/>
      <c r="F140" s="52"/>
      <c r="G140" s="103"/>
      <c r="H140" s="1058"/>
      <c r="I140" s="684" t="str">
        <f t="shared" si="8"/>
        <v/>
      </c>
      <c r="J140" s="685">
        <f t="shared" si="9"/>
        <v>0</v>
      </c>
      <c r="K140" s="1252"/>
      <c r="L140" s="1251"/>
      <c r="M140" s="1257"/>
      <c r="N140" s="719" t="str">
        <f t="shared" si="12"/>
        <v/>
      </c>
      <c r="O140" s="720" t="str">
        <f>IF('Set up ~ Config'!$G$32=6,IF(OR($N140=7,$N140=8,$N140=9),1,IF(OR($N140=10,$N140=11,$N140=12),2,IF(OR($N140=1,$N140=2,$N140=3),3,IF(OR($N140=4,$N140=5,$N140=6),4,"")))),IF(OR($N140=9,$N140=10,$N140=11),1,IF(OR($N140=12,$N140=1,$N140=2),2,IF(OR($N140=3,$N140=4,$N140=5),3,IF(OR($N140=6,$N140=7,$N140=8),4,"")))))</f>
        <v/>
      </c>
      <c r="P140" s="99"/>
      <c r="Q140" s="62"/>
      <c r="R140" s="62"/>
      <c r="S140" s="51"/>
      <c r="T140" s="51"/>
      <c r="U140" s="51"/>
      <c r="V140" s="51"/>
      <c r="W140" s="51"/>
      <c r="X140" s="51"/>
      <c r="Y140" s="51"/>
      <c r="Z140" s="51"/>
      <c r="AA140" s="51"/>
      <c r="AB140" s="51"/>
      <c r="AC140" s="51"/>
      <c r="AD140" s="51"/>
      <c r="AE140" s="51"/>
      <c r="AF140" s="51"/>
      <c r="AG140" s="51"/>
      <c r="AH140" s="94"/>
      <c r="AI140" s="94"/>
      <c r="AJ140" s="94"/>
      <c r="AK140" s="94"/>
      <c r="AL140" s="94"/>
      <c r="AM140" s="94"/>
      <c r="AN140" s="94"/>
      <c r="AO140" s="95"/>
      <c r="AP140" s="686">
        <f t="shared" si="13"/>
        <v>0</v>
      </c>
      <c r="AQ140" s="42"/>
      <c r="AR140" s="42"/>
      <c r="AS140" s="42"/>
      <c r="AT140" s="43"/>
      <c r="AU140" s="687">
        <f t="shared" si="14"/>
        <v>0</v>
      </c>
      <c r="AV140" s="42"/>
      <c r="AW140" s="42"/>
      <c r="AX140" s="42"/>
      <c r="AY140" s="43"/>
      <c r="AZ140" s="486"/>
      <c r="BA140" s="51"/>
      <c r="BB140" s="51"/>
      <c r="BC140" s="51"/>
      <c r="BD140" s="51"/>
      <c r="BE140" s="51"/>
      <c r="BF140" s="51"/>
      <c r="BG140" s="51"/>
      <c r="BH140" s="94"/>
      <c r="BI140" s="94"/>
      <c r="BJ140" s="94"/>
      <c r="BK140" s="94"/>
      <c r="BL140" s="94"/>
      <c r="BM140" s="483"/>
      <c r="BN140" s="94"/>
      <c r="BO140" s="94"/>
      <c r="BP140" s="94"/>
      <c r="BQ140" s="94"/>
      <c r="BR140" s="94"/>
      <c r="BS140" s="94"/>
      <c r="BT140" s="94"/>
      <c r="BU140" s="94"/>
      <c r="BV140" s="94"/>
      <c r="BW140" s="688">
        <f t="shared" si="10"/>
        <v>0</v>
      </c>
      <c r="BX140" s="51"/>
      <c r="BY140" s="51"/>
      <c r="BZ140" s="51"/>
      <c r="CA140" s="51"/>
      <c r="CB140" s="51"/>
      <c r="CC140" s="51"/>
      <c r="CD140" s="97"/>
      <c r="CE140" s="479"/>
      <c r="CF140" s="51"/>
      <c r="CG140" s="51"/>
      <c r="CH140" s="62"/>
      <c r="CI140" s="62"/>
      <c r="CJ140" s="51"/>
      <c r="CK140" s="51"/>
      <c r="CL140" s="95"/>
      <c r="CM140" s="93"/>
      <c r="CN140" s="51"/>
      <c r="CO140" s="51"/>
      <c r="CP140" s="51"/>
      <c r="CQ140" s="51"/>
      <c r="CR140" s="51"/>
      <c r="CS140" s="51"/>
      <c r="CT140" s="51"/>
      <c r="CU140" s="95"/>
      <c r="CV140" s="93"/>
      <c r="CW140" s="51"/>
      <c r="CX140" s="51"/>
      <c r="CY140" s="51"/>
      <c r="CZ140" s="51"/>
      <c r="DA140" s="51"/>
      <c r="DB140" s="51"/>
      <c r="DC140" s="51"/>
      <c r="DD140" s="95"/>
      <c r="DE140" s="93"/>
      <c r="DF140" s="51"/>
      <c r="DG140" s="51"/>
      <c r="DH140" s="51"/>
      <c r="DI140" s="51"/>
      <c r="DJ140" s="51"/>
      <c r="DK140" s="51"/>
      <c r="DL140" s="95"/>
      <c r="DM140" s="478"/>
      <c r="DN140" s="682">
        <f t="shared" si="15"/>
        <v>0</v>
      </c>
      <c r="DO140" s="683"/>
    </row>
    <row r="141" spans="1:119" ht="25.5" customHeight="1" thickTop="1" thickBot="1" x14ac:dyDescent="0.2">
      <c r="A141" s="676">
        <f t="shared" si="11"/>
        <v>126</v>
      </c>
      <c r="B141" s="1054"/>
      <c r="C141" s="1054"/>
      <c r="D141" s="83"/>
      <c r="E141" s="954"/>
      <c r="F141" s="52"/>
      <c r="G141" s="103"/>
      <c r="H141" s="1058"/>
      <c r="I141" s="684" t="str">
        <f t="shared" si="8"/>
        <v/>
      </c>
      <c r="J141" s="685">
        <f t="shared" si="9"/>
        <v>0</v>
      </c>
      <c r="K141" s="1252"/>
      <c r="L141" s="1251"/>
      <c r="M141" s="1257"/>
      <c r="N141" s="719" t="str">
        <f t="shared" si="12"/>
        <v/>
      </c>
      <c r="O141" s="720" t="str">
        <f>IF('Set up ~ Config'!$G$32=6,IF(OR($N141=7,$N141=8,$N141=9),1,IF(OR($N141=10,$N141=11,$N141=12),2,IF(OR($N141=1,$N141=2,$N141=3),3,IF(OR($N141=4,$N141=5,$N141=6),4,"")))),IF(OR($N141=9,$N141=10,$N141=11),1,IF(OR($N141=12,$N141=1,$N141=2),2,IF(OR($N141=3,$N141=4,$N141=5),3,IF(OR($N141=6,$N141=7,$N141=8),4,"")))))</f>
        <v/>
      </c>
      <c r="P141" s="99"/>
      <c r="Q141" s="62"/>
      <c r="R141" s="62"/>
      <c r="S141" s="51"/>
      <c r="T141" s="51"/>
      <c r="U141" s="51"/>
      <c r="V141" s="51"/>
      <c r="W141" s="51"/>
      <c r="X141" s="51"/>
      <c r="Y141" s="51"/>
      <c r="Z141" s="51"/>
      <c r="AA141" s="51"/>
      <c r="AB141" s="51"/>
      <c r="AC141" s="51"/>
      <c r="AD141" s="51"/>
      <c r="AE141" s="51"/>
      <c r="AF141" s="51"/>
      <c r="AG141" s="51"/>
      <c r="AH141" s="94"/>
      <c r="AI141" s="94"/>
      <c r="AJ141" s="94"/>
      <c r="AK141" s="94"/>
      <c r="AL141" s="94"/>
      <c r="AM141" s="94"/>
      <c r="AN141" s="94"/>
      <c r="AO141" s="95"/>
      <c r="AP141" s="686">
        <f t="shared" si="13"/>
        <v>0</v>
      </c>
      <c r="AQ141" s="42"/>
      <c r="AR141" s="42"/>
      <c r="AS141" s="42"/>
      <c r="AT141" s="43"/>
      <c r="AU141" s="687">
        <f t="shared" si="14"/>
        <v>0</v>
      </c>
      <c r="AV141" s="42"/>
      <c r="AW141" s="42"/>
      <c r="AX141" s="42"/>
      <c r="AY141" s="43"/>
      <c r="AZ141" s="486"/>
      <c r="BA141" s="51"/>
      <c r="BB141" s="51"/>
      <c r="BC141" s="51"/>
      <c r="BD141" s="51"/>
      <c r="BE141" s="51"/>
      <c r="BF141" s="51"/>
      <c r="BG141" s="51"/>
      <c r="BH141" s="94"/>
      <c r="BI141" s="94"/>
      <c r="BJ141" s="94"/>
      <c r="BK141" s="94"/>
      <c r="BL141" s="94"/>
      <c r="BM141" s="483"/>
      <c r="BN141" s="94"/>
      <c r="BO141" s="94"/>
      <c r="BP141" s="94"/>
      <c r="BQ141" s="94"/>
      <c r="BR141" s="94"/>
      <c r="BS141" s="94"/>
      <c r="BT141" s="94"/>
      <c r="BU141" s="94"/>
      <c r="BV141" s="94"/>
      <c r="BW141" s="688">
        <f t="shared" si="10"/>
        <v>0</v>
      </c>
      <c r="BX141" s="51"/>
      <c r="BY141" s="51"/>
      <c r="BZ141" s="51"/>
      <c r="CA141" s="51"/>
      <c r="CB141" s="51"/>
      <c r="CC141" s="51"/>
      <c r="CD141" s="97"/>
      <c r="CE141" s="479"/>
      <c r="CF141" s="51"/>
      <c r="CG141" s="51"/>
      <c r="CH141" s="62"/>
      <c r="CI141" s="62"/>
      <c r="CJ141" s="51"/>
      <c r="CK141" s="51"/>
      <c r="CL141" s="95"/>
      <c r="CM141" s="93"/>
      <c r="CN141" s="51"/>
      <c r="CO141" s="51"/>
      <c r="CP141" s="51"/>
      <c r="CQ141" s="51"/>
      <c r="CR141" s="51"/>
      <c r="CS141" s="51"/>
      <c r="CT141" s="51"/>
      <c r="CU141" s="95"/>
      <c r="CV141" s="93"/>
      <c r="CW141" s="51"/>
      <c r="CX141" s="51"/>
      <c r="CY141" s="51"/>
      <c r="CZ141" s="51"/>
      <c r="DA141" s="51"/>
      <c r="DB141" s="51"/>
      <c r="DC141" s="51"/>
      <c r="DD141" s="95"/>
      <c r="DE141" s="93"/>
      <c r="DF141" s="51"/>
      <c r="DG141" s="51"/>
      <c r="DH141" s="51"/>
      <c r="DI141" s="51"/>
      <c r="DJ141" s="51"/>
      <c r="DK141" s="51"/>
      <c r="DL141" s="95"/>
      <c r="DM141" s="478"/>
      <c r="DN141" s="682">
        <f t="shared" si="15"/>
        <v>0</v>
      </c>
      <c r="DO141" s="683"/>
    </row>
    <row r="142" spans="1:119" ht="25.5" customHeight="1" thickTop="1" thickBot="1" x14ac:dyDescent="0.2">
      <c r="A142" s="676">
        <f t="shared" si="11"/>
        <v>127</v>
      </c>
      <c r="B142" s="1054"/>
      <c r="C142" s="1054"/>
      <c r="D142" s="83"/>
      <c r="E142" s="954"/>
      <c r="F142" s="52"/>
      <c r="G142" s="103"/>
      <c r="H142" s="1058"/>
      <c r="I142" s="684" t="str">
        <f t="shared" si="8"/>
        <v/>
      </c>
      <c r="J142" s="685">
        <f t="shared" si="9"/>
        <v>0</v>
      </c>
      <c r="K142" s="1252"/>
      <c r="L142" s="1251"/>
      <c r="M142" s="1257"/>
      <c r="N142" s="719" t="str">
        <f t="shared" si="12"/>
        <v/>
      </c>
      <c r="O142" s="720" t="str">
        <f>IF('Set up ~ Config'!$G$32=6,IF(OR($N142=7,$N142=8,$N142=9),1,IF(OR($N142=10,$N142=11,$N142=12),2,IF(OR($N142=1,$N142=2,$N142=3),3,IF(OR($N142=4,$N142=5,$N142=6),4,"")))),IF(OR($N142=9,$N142=10,$N142=11),1,IF(OR($N142=12,$N142=1,$N142=2),2,IF(OR($N142=3,$N142=4,$N142=5),3,IF(OR($N142=6,$N142=7,$N142=8),4,"")))))</f>
        <v/>
      </c>
      <c r="P142" s="99"/>
      <c r="Q142" s="62"/>
      <c r="R142" s="62"/>
      <c r="S142" s="51"/>
      <c r="T142" s="51"/>
      <c r="U142" s="51"/>
      <c r="V142" s="51"/>
      <c r="W142" s="51"/>
      <c r="X142" s="51"/>
      <c r="Y142" s="51"/>
      <c r="Z142" s="51"/>
      <c r="AA142" s="51"/>
      <c r="AB142" s="51"/>
      <c r="AC142" s="51"/>
      <c r="AD142" s="51"/>
      <c r="AE142" s="51"/>
      <c r="AF142" s="51"/>
      <c r="AG142" s="51"/>
      <c r="AH142" s="94"/>
      <c r="AI142" s="94"/>
      <c r="AJ142" s="94"/>
      <c r="AK142" s="94"/>
      <c r="AL142" s="94"/>
      <c r="AM142" s="94"/>
      <c r="AN142" s="94"/>
      <c r="AO142" s="95"/>
      <c r="AP142" s="686">
        <f t="shared" si="13"/>
        <v>0</v>
      </c>
      <c r="AQ142" s="42"/>
      <c r="AR142" s="42"/>
      <c r="AS142" s="42"/>
      <c r="AT142" s="43"/>
      <c r="AU142" s="687">
        <f t="shared" si="14"/>
        <v>0</v>
      </c>
      <c r="AV142" s="42"/>
      <c r="AW142" s="42"/>
      <c r="AX142" s="42"/>
      <c r="AY142" s="43"/>
      <c r="AZ142" s="486"/>
      <c r="BA142" s="51"/>
      <c r="BB142" s="51"/>
      <c r="BC142" s="51"/>
      <c r="BD142" s="51"/>
      <c r="BE142" s="51"/>
      <c r="BF142" s="51"/>
      <c r="BG142" s="51"/>
      <c r="BH142" s="94"/>
      <c r="BI142" s="94"/>
      <c r="BJ142" s="94"/>
      <c r="BK142" s="94"/>
      <c r="BL142" s="94"/>
      <c r="BM142" s="483"/>
      <c r="BN142" s="94"/>
      <c r="BO142" s="94"/>
      <c r="BP142" s="94"/>
      <c r="BQ142" s="94"/>
      <c r="BR142" s="94"/>
      <c r="BS142" s="94"/>
      <c r="BT142" s="94"/>
      <c r="BU142" s="94"/>
      <c r="BV142" s="94"/>
      <c r="BW142" s="688">
        <f t="shared" si="10"/>
        <v>0</v>
      </c>
      <c r="BX142" s="51"/>
      <c r="BY142" s="51"/>
      <c r="BZ142" s="51"/>
      <c r="CA142" s="51"/>
      <c r="CB142" s="51"/>
      <c r="CC142" s="51"/>
      <c r="CD142" s="97"/>
      <c r="CE142" s="479"/>
      <c r="CF142" s="51"/>
      <c r="CG142" s="51"/>
      <c r="CH142" s="62"/>
      <c r="CI142" s="62"/>
      <c r="CJ142" s="51"/>
      <c r="CK142" s="51"/>
      <c r="CL142" s="95"/>
      <c r="CM142" s="93"/>
      <c r="CN142" s="51"/>
      <c r="CO142" s="51"/>
      <c r="CP142" s="51"/>
      <c r="CQ142" s="51"/>
      <c r="CR142" s="51"/>
      <c r="CS142" s="51"/>
      <c r="CT142" s="51"/>
      <c r="CU142" s="95"/>
      <c r="CV142" s="93"/>
      <c r="CW142" s="51"/>
      <c r="CX142" s="51"/>
      <c r="CY142" s="51"/>
      <c r="CZ142" s="51"/>
      <c r="DA142" s="51"/>
      <c r="DB142" s="51"/>
      <c r="DC142" s="51"/>
      <c r="DD142" s="95"/>
      <c r="DE142" s="93"/>
      <c r="DF142" s="51"/>
      <c r="DG142" s="51"/>
      <c r="DH142" s="51"/>
      <c r="DI142" s="51"/>
      <c r="DJ142" s="51"/>
      <c r="DK142" s="51"/>
      <c r="DL142" s="95"/>
      <c r="DM142" s="478"/>
      <c r="DN142" s="682">
        <f t="shared" si="15"/>
        <v>0</v>
      </c>
      <c r="DO142" s="683"/>
    </row>
    <row r="143" spans="1:119" ht="25.5" customHeight="1" thickTop="1" thickBot="1" x14ac:dyDescent="0.2">
      <c r="A143" s="676">
        <f t="shared" si="11"/>
        <v>128</v>
      </c>
      <c r="B143" s="1054"/>
      <c r="C143" s="1054"/>
      <c r="D143" s="83"/>
      <c r="E143" s="954"/>
      <c r="F143" s="52"/>
      <c r="G143" s="103"/>
      <c r="H143" s="1058"/>
      <c r="I143" s="684" t="str">
        <f t="shared" si="8"/>
        <v/>
      </c>
      <c r="J143" s="685">
        <f t="shared" si="9"/>
        <v>0</v>
      </c>
      <c r="K143" s="1252"/>
      <c r="L143" s="1251"/>
      <c r="M143" s="1257"/>
      <c r="N143" s="719" t="str">
        <f t="shared" si="12"/>
        <v/>
      </c>
      <c r="O143" s="720" t="str">
        <f>IF('Set up ~ Config'!$G$32=6,IF(OR($N143=7,$N143=8,$N143=9),1,IF(OR($N143=10,$N143=11,$N143=12),2,IF(OR($N143=1,$N143=2,$N143=3),3,IF(OR($N143=4,$N143=5,$N143=6),4,"")))),IF(OR($N143=9,$N143=10,$N143=11),1,IF(OR($N143=12,$N143=1,$N143=2),2,IF(OR($N143=3,$N143=4,$N143=5),3,IF(OR($N143=6,$N143=7,$N143=8),4,"")))))</f>
        <v/>
      </c>
      <c r="P143" s="99"/>
      <c r="Q143" s="62"/>
      <c r="R143" s="62"/>
      <c r="S143" s="51"/>
      <c r="T143" s="51"/>
      <c r="U143" s="51"/>
      <c r="V143" s="51"/>
      <c r="W143" s="51"/>
      <c r="X143" s="51"/>
      <c r="Y143" s="51"/>
      <c r="Z143" s="51"/>
      <c r="AA143" s="51"/>
      <c r="AB143" s="51"/>
      <c r="AC143" s="51"/>
      <c r="AD143" s="51"/>
      <c r="AE143" s="51"/>
      <c r="AF143" s="51"/>
      <c r="AG143" s="51"/>
      <c r="AH143" s="94"/>
      <c r="AI143" s="94"/>
      <c r="AJ143" s="94"/>
      <c r="AK143" s="94"/>
      <c r="AL143" s="94"/>
      <c r="AM143" s="94"/>
      <c r="AN143" s="94"/>
      <c r="AO143" s="95"/>
      <c r="AP143" s="686">
        <f t="shared" si="13"/>
        <v>0</v>
      </c>
      <c r="AQ143" s="42"/>
      <c r="AR143" s="42"/>
      <c r="AS143" s="42"/>
      <c r="AT143" s="43"/>
      <c r="AU143" s="687">
        <f t="shared" si="14"/>
        <v>0</v>
      </c>
      <c r="AV143" s="42"/>
      <c r="AW143" s="42"/>
      <c r="AX143" s="42"/>
      <c r="AY143" s="43"/>
      <c r="AZ143" s="486"/>
      <c r="BA143" s="51"/>
      <c r="BB143" s="51"/>
      <c r="BC143" s="51"/>
      <c r="BD143" s="51"/>
      <c r="BE143" s="51"/>
      <c r="BF143" s="51"/>
      <c r="BG143" s="51"/>
      <c r="BH143" s="94"/>
      <c r="BI143" s="94"/>
      <c r="BJ143" s="94"/>
      <c r="BK143" s="94"/>
      <c r="BL143" s="94"/>
      <c r="BM143" s="483"/>
      <c r="BN143" s="94"/>
      <c r="BO143" s="94"/>
      <c r="BP143" s="94"/>
      <c r="BQ143" s="94"/>
      <c r="BR143" s="94"/>
      <c r="BS143" s="94"/>
      <c r="BT143" s="94"/>
      <c r="BU143" s="94"/>
      <c r="BV143" s="94"/>
      <c r="BW143" s="688">
        <f t="shared" si="10"/>
        <v>0</v>
      </c>
      <c r="BX143" s="51"/>
      <c r="BY143" s="51"/>
      <c r="BZ143" s="51"/>
      <c r="CA143" s="51"/>
      <c r="CB143" s="51"/>
      <c r="CC143" s="51"/>
      <c r="CD143" s="97"/>
      <c r="CE143" s="479"/>
      <c r="CF143" s="51"/>
      <c r="CG143" s="51"/>
      <c r="CH143" s="62"/>
      <c r="CI143" s="62"/>
      <c r="CJ143" s="51"/>
      <c r="CK143" s="51"/>
      <c r="CL143" s="95"/>
      <c r="CM143" s="93"/>
      <c r="CN143" s="51"/>
      <c r="CO143" s="51"/>
      <c r="CP143" s="51"/>
      <c r="CQ143" s="51"/>
      <c r="CR143" s="51"/>
      <c r="CS143" s="51"/>
      <c r="CT143" s="51"/>
      <c r="CU143" s="95"/>
      <c r="CV143" s="93"/>
      <c r="CW143" s="51"/>
      <c r="CX143" s="51"/>
      <c r="CY143" s="51"/>
      <c r="CZ143" s="51"/>
      <c r="DA143" s="51"/>
      <c r="DB143" s="51"/>
      <c r="DC143" s="51"/>
      <c r="DD143" s="95"/>
      <c r="DE143" s="93"/>
      <c r="DF143" s="51"/>
      <c r="DG143" s="51"/>
      <c r="DH143" s="51"/>
      <c r="DI143" s="51"/>
      <c r="DJ143" s="51"/>
      <c r="DK143" s="51"/>
      <c r="DL143" s="95"/>
      <c r="DM143" s="478"/>
      <c r="DN143" s="682">
        <f t="shared" si="15"/>
        <v>0</v>
      </c>
      <c r="DO143" s="683"/>
    </row>
    <row r="144" spans="1:119" ht="25.5" customHeight="1" thickTop="1" thickBot="1" x14ac:dyDescent="0.2">
      <c r="A144" s="676">
        <f t="shared" si="11"/>
        <v>129</v>
      </c>
      <c r="B144" s="1054"/>
      <c r="C144" s="1054"/>
      <c r="D144" s="83"/>
      <c r="E144" s="954"/>
      <c r="F144" s="52"/>
      <c r="G144" s="103"/>
      <c r="H144" s="1058"/>
      <c r="I144" s="684" t="str">
        <f t="shared" ref="I144:I207" si="16">LEFT(H144,4)</f>
        <v/>
      </c>
      <c r="J144" s="685">
        <f t="shared" ref="J144:J207" si="17">G144-DN144</f>
        <v>0</v>
      </c>
      <c r="K144" s="1252"/>
      <c r="L144" s="1251"/>
      <c r="M144" s="1257"/>
      <c r="N144" s="719" t="str">
        <f t="shared" si="12"/>
        <v/>
      </c>
      <c r="O144" s="720" t="str">
        <f>IF('Set up ~ Config'!$G$32=6,IF(OR($N144=7,$N144=8,$N144=9),1,IF(OR($N144=10,$N144=11,$N144=12),2,IF(OR($N144=1,$N144=2,$N144=3),3,IF(OR($N144=4,$N144=5,$N144=6),4,"")))),IF(OR($N144=9,$N144=10,$N144=11),1,IF(OR($N144=12,$N144=1,$N144=2),2,IF(OR($N144=3,$N144=4,$N144=5),3,IF(OR($N144=6,$N144=7,$N144=8),4,"")))))</f>
        <v/>
      </c>
      <c r="P144" s="99"/>
      <c r="Q144" s="62"/>
      <c r="R144" s="62"/>
      <c r="S144" s="51"/>
      <c r="T144" s="51"/>
      <c r="U144" s="51"/>
      <c r="V144" s="51"/>
      <c r="W144" s="51"/>
      <c r="X144" s="51"/>
      <c r="Y144" s="51"/>
      <c r="Z144" s="51"/>
      <c r="AA144" s="51"/>
      <c r="AB144" s="51"/>
      <c r="AC144" s="51"/>
      <c r="AD144" s="51"/>
      <c r="AE144" s="51"/>
      <c r="AF144" s="51"/>
      <c r="AG144" s="51"/>
      <c r="AH144" s="94"/>
      <c r="AI144" s="94"/>
      <c r="AJ144" s="94"/>
      <c r="AK144" s="94"/>
      <c r="AL144" s="94"/>
      <c r="AM144" s="94"/>
      <c r="AN144" s="94"/>
      <c r="AO144" s="95"/>
      <c r="AP144" s="686">
        <f t="shared" si="13"/>
        <v>0</v>
      </c>
      <c r="AQ144" s="42"/>
      <c r="AR144" s="42"/>
      <c r="AS144" s="42"/>
      <c r="AT144" s="43"/>
      <c r="AU144" s="687">
        <f t="shared" si="14"/>
        <v>0</v>
      </c>
      <c r="AV144" s="42"/>
      <c r="AW144" s="42"/>
      <c r="AX144" s="42"/>
      <c r="AY144" s="43"/>
      <c r="AZ144" s="486"/>
      <c r="BA144" s="51"/>
      <c r="BB144" s="51"/>
      <c r="BC144" s="51"/>
      <c r="BD144" s="51"/>
      <c r="BE144" s="51"/>
      <c r="BF144" s="51"/>
      <c r="BG144" s="51"/>
      <c r="BH144" s="94"/>
      <c r="BI144" s="94"/>
      <c r="BJ144" s="94"/>
      <c r="BK144" s="94"/>
      <c r="BL144" s="94"/>
      <c r="BM144" s="483"/>
      <c r="BN144" s="94"/>
      <c r="BO144" s="94"/>
      <c r="BP144" s="94"/>
      <c r="BQ144" s="94"/>
      <c r="BR144" s="94"/>
      <c r="BS144" s="94"/>
      <c r="BT144" s="94"/>
      <c r="BU144" s="94"/>
      <c r="BV144" s="94"/>
      <c r="BW144" s="688">
        <f t="shared" ref="BW144:BW207" si="18">SUM(BX144:CD144)</f>
        <v>0</v>
      </c>
      <c r="BX144" s="51"/>
      <c r="BY144" s="51"/>
      <c r="BZ144" s="51"/>
      <c r="CA144" s="51"/>
      <c r="CB144" s="51"/>
      <c r="CC144" s="51"/>
      <c r="CD144" s="97"/>
      <c r="CE144" s="479"/>
      <c r="CF144" s="51"/>
      <c r="CG144" s="51"/>
      <c r="CH144" s="62"/>
      <c r="CI144" s="62"/>
      <c r="CJ144" s="51"/>
      <c r="CK144" s="51"/>
      <c r="CL144" s="95"/>
      <c r="CM144" s="93"/>
      <c r="CN144" s="51"/>
      <c r="CO144" s="51"/>
      <c r="CP144" s="51"/>
      <c r="CQ144" s="51"/>
      <c r="CR144" s="51"/>
      <c r="CS144" s="51"/>
      <c r="CT144" s="51"/>
      <c r="CU144" s="95"/>
      <c r="CV144" s="93"/>
      <c r="CW144" s="51"/>
      <c r="CX144" s="51"/>
      <c r="CY144" s="51"/>
      <c r="CZ144" s="51"/>
      <c r="DA144" s="51"/>
      <c r="DB144" s="51"/>
      <c r="DC144" s="51"/>
      <c r="DD144" s="95"/>
      <c r="DE144" s="93"/>
      <c r="DF144" s="51"/>
      <c r="DG144" s="51"/>
      <c r="DH144" s="51"/>
      <c r="DI144" s="51"/>
      <c r="DJ144" s="51"/>
      <c r="DK144" s="51"/>
      <c r="DL144" s="95"/>
      <c r="DM144" s="478"/>
      <c r="DN144" s="682">
        <f t="shared" si="15"/>
        <v>0</v>
      </c>
      <c r="DO144" s="683"/>
    </row>
    <row r="145" spans="1:119" ht="25.5" customHeight="1" thickTop="1" thickBot="1" x14ac:dyDescent="0.2">
      <c r="A145" s="676">
        <f t="shared" ref="A145:A208" si="19">$A144+1</f>
        <v>130</v>
      </c>
      <c r="B145" s="1054"/>
      <c r="C145" s="1054"/>
      <c r="D145" s="83"/>
      <c r="E145" s="954"/>
      <c r="F145" s="52"/>
      <c r="G145" s="103"/>
      <c r="H145" s="1058"/>
      <c r="I145" s="684" t="str">
        <f t="shared" si="16"/>
        <v/>
      </c>
      <c r="J145" s="685">
        <f t="shared" si="17"/>
        <v>0</v>
      </c>
      <c r="K145" s="1252"/>
      <c r="L145" s="1251"/>
      <c r="M145" s="1257"/>
      <c r="N145" s="719" t="str">
        <f t="shared" ref="N145:N208" si="20">IF($E145="","",MONTH($E145))</f>
        <v/>
      </c>
      <c r="O145" s="720" t="str">
        <f>IF('Set up ~ Config'!$G$32=6,IF(OR($N145=7,$N145=8,$N145=9),1,IF(OR($N145=10,$N145=11,$N145=12),2,IF(OR($N145=1,$N145=2,$N145=3),3,IF(OR($N145=4,$N145=5,$N145=6),4,"")))),IF(OR($N145=9,$N145=10,$N145=11),1,IF(OR($N145=12,$N145=1,$N145=2),2,IF(OR($N145=3,$N145=4,$N145=5),3,IF(OR($N145=6,$N145=7,$N145=8),4,"")))))</f>
        <v/>
      </c>
      <c r="P145" s="99"/>
      <c r="Q145" s="62"/>
      <c r="R145" s="62"/>
      <c r="S145" s="51"/>
      <c r="T145" s="51"/>
      <c r="U145" s="51"/>
      <c r="V145" s="51"/>
      <c r="W145" s="51"/>
      <c r="X145" s="51"/>
      <c r="Y145" s="51"/>
      <c r="Z145" s="51"/>
      <c r="AA145" s="51"/>
      <c r="AB145" s="51"/>
      <c r="AC145" s="51"/>
      <c r="AD145" s="51"/>
      <c r="AE145" s="51"/>
      <c r="AF145" s="51"/>
      <c r="AG145" s="51"/>
      <c r="AH145" s="94"/>
      <c r="AI145" s="94"/>
      <c r="AJ145" s="94"/>
      <c r="AK145" s="94"/>
      <c r="AL145" s="94"/>
      <c r="AM145" s="94"/>
      <c r="AN145" s="94"/>
      <c r="AO145" s="95"/>
      <c r="AP145" s="686">
        <f t="shared" ref="AP145:AP208" si="21">SUM(AQ145:AT145)</f>
        <v>0</v>
      </c>
      <c r="AQ145" s="42"/>
      <c r="AR145" s="42"/>
      <c r="AS145" s="42"/>
      <c r="AT145" s="43"/>
      <c r="AU145" s="687">
        <f t="shared" ref="AU145:AU208" si="22">SUM(AV145:AY145)</f>
        <v>0</v>
      </c>
      <c r="AV145" s="42"/>
      <c r="AW145" s="42"/>
      <c r="AX145" s="42"/>
      <c r="AY145" s="43"/>
      <c r="AZ145" s="486"/>
      <c r="BA145" s="51"/>
      <c r="BB145" s="51"/>
      <c r="BC145" s="51"/>
      <c r="BD145" s="51"/>
      <c r="BE145" s="51"/>
      <c r="BF145" s="51"/>
      <c r="BG145" s="51"/>
      <c r="BH145" s="94"/>
      <c r="BI145" s="94"/>
      <c r="BJ145" s="94"/>
      <c r="BK145" s="94"/>
      <c r="BL145" s="94"/>
      <c r="BM145" s="483"/>
      <c r="BN145" s="94"/>
      <c r="BO145" s="94"/>
      <c r="BP145" s="94"/>
      <c r="BQ145" s="94"/>
      <c r="BR145" s="94"/>
      <c r="BS145" s="94"/>
      <c r="BT145" s="94"/>
      <c r="BU145" s="94"/>
      <c r="BV145" s="94"/>
      <c r="BW145" s="688">
        <f t="shared" si="18"/>
        <v>0</v>
      </c>
      <c r="BX145" s="51"/>
      <c r="BY145" s="51"/>
      <c r="BZ145" s="51"/>
      <c r="CA145" s="51"/>
      <c r="CB145" s="51"/>
      <c r="CC145" s="51"/>
      <c r="CD145" s="97"/>
      <c r="CE145" s="479"/>
      <c r="CF145" s="51"/>
      <c r="CG145" s="51"/>
      <c r="CH145" s="62"/>
      <c r="CI145" s="62"/>
      <c r="CJ145" s="51"/>
      <c r="CK145" s="51"/>
      <c r="CL145" s="95"/>
      <c r="CM145" s="93"/>
      <c r="CN145" s="51"/>
      <c r="CO145" s="51"/>
      <c r="CP145" s="51"/>
      <c r="CQ145" s="51"/>
      <c r="CR145" s="51"/>
      <c r="CS145" s="51"/>
      <c r="CT145" s="51"/>
      <c r="CU145" s="95"/>
      <c r="CV145" s="93"/>
      <c r="CW145" s="51"/>
      <c r="CX145" s="51"/>
      <c r="CY145" s="51"/>
      <c r="CZ145" s="51"/>
      <c r="DA145" s="51"/>
      <c r="DB145" s="51"/>
      <c r="DC145" s="51"/>
      <c r="DD145" s="95"/>
      <c r="DE145" s="93"/>
      <c r="DF145" s="51"/>
      <c r="DG145" s="51"/>
      <c r="DH145" s="51"/>
      <c r="DI145" s="51"/>
      <c r="DJ145" s="51"/>
      <c r="DK145" s="51"/>
      <c r="DL145" s="95"/>
      <c r="DM145" s="478"/>
      <c r="DN145" s="682">
        <f t="shared" ref="DN145:DN208" si="23">SUM(P145:AP145,AU145,AZ145:BW145,CE145:DM145)</f>
        <v>0</v>
      </c>
      <c r="DO145" s="683"/>
    </row>
    <row r="146" spans="1:119" ht="25.5" customHeight="1" thickTop="1" thickBot="1" x14ac:dyDescent="0.2">
      <c r="A146" s="676">
        <f t="shared" si="19"/>
        <v>131</v>
      </c>
      <c r="B146" s="1054"/>
      <c r="C146" s="1054"/>
      <c r="D146" s="83"/>
      <c r="E146" s="954"/>
      <c r="F146" s="52"/>
      <c r="G146" s="103"/>
      <c r="H146" s="1058"/>
      <c r="I146" s="684" t="str">
        <f t="shared" si="16"/>
        <v/>
      </c>
      <c r="J146" s="685">
        <f t="shared" si="17"/>
        <v>0</v>
      </c>
      <c r="K146" s="1252"/>
      <c r="L146" s="1251"/>
      <c r="M146" s="1257"/>
      <c r="N146" s="719" t="str">
        <f t="shared" si="20"/>
        <v/>
      </c>
      <c r="O146" s="720" t="str">
        <f>IF('Set up ~ Config'!$G$32=6,IF(OR($N146=7,$N146=8,$N146=9),1,IF(OR($N146=10,$N146=11,$N146=12),2,IF(OR($N146=1,$N146=2,$N146=3),3,IF(OR($N146=4,$N146=5,$N146=6),4,"")))),IF(OR($N146=9,$N146=10,$N146=11),1,IF(OR($N146=12,$N146=1,$N146=2),2,IF(OR($N146=3,$N146=4,$N146=5),3,IF(OR($N146=6,$N146=7,$N146=8),4,"")))))</f>
        <v/>
      </c>
      <c r="P146" s="99"/>
      <c r="Q146" s="62"/>
      <c r="R146" s="62"/>
      <c r="S146" s="51"/>
      <c r="T146" s="51"/>
      <c r="U146" s="51"/>
      <c r="V146" s="51"/>
      <c r="W146" s="51"/>
      <c r="X146" s="51"/>
      <c r="Y146" s="51"/>
      <c r="Z146" s="51"/>
      <c r="AA146" s="51"/>
      <c r="AB146" s="51"/>
      <c r="AC146" s="51"/>
      <c r="AD146" s="51"/>
      <c r="AE146" s="51"/>
      <c r="AF146" s="51"/>
      <c r="AG146" s="51"/>
      <c r="AH146" s="94"/>
      <c r="AI146" s="94"/>
      <c r="AJ146" s="94"/>
      <c r="AK146" s="94"/>
      <c r="AL146" s="94"/>
      <c r="AM146" s="94"/>
      <c r="AN146" s="94"/>
      <c r="AO146" s="95"/>
      <c r="AP146" s="686">
        <f t="shared" si="21"/>
        <v>0</v>
      </c>
      <c r="AQ146" s="42"/>
      <c r="AR146" s="42"/>
      <c r="AS146" s="42"/>
      <c r="AT146" s="43"/>
      <c r="AU146" s="687">
        <f t="shared" si="22"/>
        <v>0</v>
      </c>
      <c r="AV146" s="42"/>
      <c r="AW146" s="42"/>
      <c r="AX146" s="42"/>
      <c r="AY146" s="43"/>
      <c r="AZ146" s="486"/>
      <c r="BA146" s="51"/>
      <c r="BB146" s="51"/>
      <c r="BC146" s="51"/>
      <c r="BD146" s="51"/>
      <c r="BE146" s="51"/>
      <c r="BF146" s="51"/>
      <c r="BG146" s="51"/>
      <c r="BH146" s="94"/>
      <c r="BI146" s="94"/>
      <c r="BJ146" s="94"/>
      <c r="BK146" s="94"/>
      <c r="BL146" s="94"/>
      <c r="BM146" s="483"/>
      <c r="BN146" s="94"/>
      <c r="BO146" s="94"/>
      <c r="BP146" s="94"/>
      <c r="BQ146" s="94"/>
      <c r="BR146" s="94"/>
      <c r="BS146" s="94"/>
      <c r="BT146" s="94"/>
      <c r="BU146" s="94"/>
      <c r="BV146" s="94"/>
      <c r="BW146" s="688">
        <f t="shared" si="18"/>
        <v>0</v>
      </c>
      <c r="BX146" s="51"/>
      <c r="BY146" s="51"/>
      <c r="BZ146" s="51"/>
      <c r="CA146" s="51"/>
      <c r="CB146" s="51"/>
      <c r="CC146" s="51"/>
      <c r="CD146" s="97"/>
      <c r="CE146" s="479"/>
      <c r="CF146" s="51"/>
      <c r="CG146" s="51"/>
      <c r="CH146" s="62"/>
      <c r="CI146" s="62"/>
      <c r="CJ146" s="51"/>
      <c r="CK146" s="51"/>
      <c r="CL146" s="95"/>
      <c r="CM146" s="93"/>
      <c r="CN146" s="51"/>
      <c r="CO146" s="51"/>
      <c r="CP146" s="51"/>
      <c r="CQ146" s="51"/>
      <c r="CR146" s="51"/>
      <c r="CS146" s="51"/>
      <c r="CT146" s="51"/>
      <c r="CU146" s="95"/>
      <c r="CV146" s="93"/>
      <c r="CW146" s="51"/>
      <c r="CX146" s="51"/>
      <c r="CY146" s="51"/>
      <c r="CZ146" s="51"/>
      <c r="DA146" s="51"/>
      <c r="DB146" s="51"/>
      <c r="DC146" s="51"/>
      <c r="DD146" s="95"/>
      <c r="DE146" s="93"/>
      <c r="DF146" s="51"/>
      <c r="DG146" s="51"/>
      <c r="DH146" s="51"/>
      <c r="DI146" s="51"/>
      <c r="DJ146" s="51"/>
      <c r="DK146" s="51"/>
      <c r="DL146" s="95"/>
      <c r="DM146" s="478"/>
      <c r="DN146" s="682">
        <f t="shared" si="23"/>
        <v>0</v>
      </c>
      <c r="DO146" s="683"/>
    </row>
    <row r="147" spans="1:119" ht="25.5" customHeight="1" thickTop="1" thickBot="1" x14ac:dyDescent="0.2">
      <c r="A147" s="676">
        <f t="shared" si="19"/>
        <v>132</v>
      </c>
      <c r="B147" s="1054"/>
      <c r="C147" s="1054"/>
      <c r="D147" s="83"/>
      <c r="E147" s="954"/>
      <c r="F147" s="52"/>
      <c r="G147" s="103"/>
      <c r="H147" s="1058"/>
      <c r="I147" s="684" t="str">
        <f t="shared" si="16"/>
        <v/>
      </c>
      <c r="J147" s="685">
        <f t="shared" si="17"/>
        <v>0</v>
      </c>
      <c r="K147" s="1252"/>
      <c r="L147" s="1251"/>
      <c r="M147" s="1257"/>
      <c r="N147" s="719" t="str">
        <f t="shared" si="20"/>
        <v/>
      </c>
      <c r="O147" s="720" t="str">
        <f>IF('Set up ~ Config'!$G$32=6,IF(OR($N147=7,$N147=8,$N147=9),1,IF(OR($N147=10,$N147=11,$N147=12),2,IF(OR($N147=1,$N147=2,$N147=3),3,IF(OR($N147=4,$N147=5,$N147=6),4,"")))),IF(OR($N147=9,$N147=10,$N147=11),1,IF(OR($N147=12,$N147=1,$N147=2),2,IF(OR($N147=3,$N147=4,$N147=5),3,IF(OR($N147=6,$N147=7,$N147=8),4,"")))))</f>
        <v/>
      </c>
      <c r="P147" s="99"/>
      <c r="Q147" s="62"/>
      <c r="R147" s="62"/>
      <c r="S147" s="51"/>
      <c r="T147" s="51"/>
      <c r="U147" s="51"/>
      <c r="V147" s="51"/>
      <c r="W147" s="51"/>
      <c r="X147" s="51"/>
      <c r="Y147" s="51"/>
      <c r="Z147" s="51"/>
      <c r="AA147" s="51"/>
      <c r="AB147" s="51"/>
      <c r="AC147" s="51"/>
      <c r="AD147" s="51"/>
      <c r="AE147" s="51"/>
      <c r="AF147" s="51"/>
      <c r="AG147" s="51"/>
      <c r="AH147" s="94"/>
      <c r="AI147" s="94"/>
      <c r="AJ147" s="94"/>
      <c r="AK147" s="94"/>
      <c r="AL147" s="94"/>
      <c r="AM147" s="94"/>
      <c r="AN147" s="94"/>
      <c r="AO147" s="95"/>
      <c r="AP147" s="686">
        <f t="shared" si="21"/>
        <v>0</v>
      </c>
      <c r="AQ147" s="42"/>
      <c r="AR147" s="42"/>
      <c r="AS147" s="42"/>
      <c r="AT147" s="43"/>
      <c r="AU147" s="687">
        <f t="shared" si="22"/>
        <v>0</v>
      </c>
      <c r="AV147" s="42"/>
      <c r="AW147" s="42"/>
      <c r="AX147" s="42"/>
      <c r="AY147" s="43"/>
      <c r="AZ147" s="486"/>
      <c r="BA147" s="51"/>
      <c r="BB147" s="51"/>
      <c r="BC147" s="51"/>
      <c r="BD147" s="51"/>
      <c r="BE147" s="51"/>
      <c r="BF147" s="51"/>
      <c r="BG147" s="51"/>
      <c r="BH147" s="94"/>
      <c r="BI147" s="94"/>
      <c r="BJ147" s="94"/>
      <c r="BK147" s="94"/>
      <c r="BL147" s="94"/>
      <c r="BM147" s="483"/>
      <c r="BN147" s="94"/>
      <c r="BO147" s="94"/>
      <c r="BP147" s="94"/>
      <c r="BQ147" s="94"/>
      <c r="BR147" s="94"/>
      <c r="BS147" s="94"/>
      <c r="BT147" s="94"/>
      <c r="BU147" s="94"/>
      <c r="BV147" s="94"/>
      <c r="BW147" s="688">
        <f t="shared" si="18"/>
        <v>0</v>
      </c>
      <c r="BX147" s="51"/>
      <c r="BY147" s="51"/>
      <c r="BZ147" s="51"/>
      <c r="CA147" s="51"/>
      <c r="CB147" s="51"/>
      <c r="CC147" s="51"/>
      <c r="CD147" s="97"/>
      <c r="CE147" s="479"/>
      <c r="CF147" s="51"/>
      <c r="CG147" s="51"/>
      <c r="CH147" s="62"/>
      <c r="CI147" s="62"/>
      <c r="CJ147" s="51"/>
      <c r="CK147" s="51"/>
      <c r="CL147" s="95"/>
      <c r="CM147" s="93"/>
      <c r="CN147" s="51"/>
      <c r="CO147" s="51"/>
      <c r="CP147" s="51"/>
      <c r="CQ147" s="51"/>
      <c r="CR147" s="51"/>
      <c r="CS147" s="51"/>
      <c r="CT147" s="51"/>
      <c r="CU147" s="95"/>
      <c r="CV147" s="93"/>
      <c r="CW147" s="51"/>
      <c r="CX147" s="51"/>
      <c r="CY147" s="51"/>
      <c r="CZ147" s="51"/>
      <c r="DA147" s="51"/>
      <c r="DB147" s="51"/>
      <c r="DC147" s="51"/>
      <c r="DD147" s="95"/>
      <c r="DE147" s="93"/>
      <c r="DF147" s="51"/>
      <c r="DG147" s="51"/>
      <c r="DH147" s="51"/>
      <c r="DI147" s="51"/>
      <c r="DJ147" s="51"/>
      <c r="DK147" s="51"/>
      <c r="DL147" s="95"/>
      <c r="DM147" s="478"/>
      <c r="DN147" s="682">
        <f t="shared" si="23"/>
        <v>0</v>
      </c>
      <c r="DO147" s="683"/>
    </row>
    <row r="148" spans="1:119" ht="25.5" customHeight="1" thickTop="1" thickBot="1" x14ac:dyDescent="0.2">
      <c r="A148" s="676">
        <f t="shared" si="19"/>
        <v>133</v>
      </c>
      <c r="B148" s="1054"/>
      <c r="C148" s="1054"/>
      <c r="D148" s="83"/>
      <c r="E148" s="954"/>
      <c r="F148" s="52"/>
      <c r="G148" s="103"/>
      <c r="H148" s="1058"/>
      <c r="I148" s="684" t="str">
        <f t="shared" si="16"/>
        <v/>
      </c>
      <c r="J148" s="685">
        <f t="shared" si="17"/>
        <v>0</v>
      </c>
      <c r="K148" s="1252"/>
      <c r="L148" s="1251"/>
      <c r="M148" s="1257"/>
      <c r="N148" s="719" t="str">
        <f t="shared" si="20"/>
        <v/>
      </c>
      <c r="O148" s="720" t="str">
        <f>IF('Set up ~ Config'!$G$32=6,IF(OR($N148=7,$N148=8,$N148=9),1,IF(OR($N148=10,$N148=11,$N148=12),2,IF(OR($N148=1,$N148=2,$N148=3),3,IF(OR($N148=4,$N148=5,$N148=6),4,"")))),IF(OR($N148=9,$N148=10,$N148=11),1,IF(OR($N148=12,$N148=1,$N148=2),2,IF(OR($N148=3,$N148=4,$N148=5),3,IF(OR($N148=6,$N148=7,$N148=8),4,"")))))</f>
        <v/>
      </c>
      <c r="P148" s="99"/>
      <c r="Q148" s="62"/>
      <c r="R148" s="62"/>
      <c r="S148" s="51"/>
      <c r="T148" s="51"/>
      <c r="U148" s="51"/>
      <c r="V148" s="51"/>
      <c r="W148" s="51"/>
      <c r="X148" s="51"/>
      <c r="Y148" s="51"/>
      <c r="Z148" s="51"/>
      <c r="AA148" s="51"/>
      <c r="AB148" s="51"/>
      <c r="AC148" s="51"/>
      <c r="AD148" s="51"/>
      <c r="AE148" s="51"/>
      <c r="AF148" s="51"/>
      <c r="AG148" s="51"/>
      <c r="AH148" s="94"/>
      <c r="AI148" s="94"/>
      <c r="AJ148" s="94"/>
      <c r="AK148" s="94"/>
      <c r="AL148" s="94"/>
      <c r="AM148" s="94"/>
      <c r="AN148" s="94"/>
      <c r="AO148" s="95"/>
      <c r="AP148" s="686">
        <f t="shared" si="21"/>
        <v>0</v>
      </c>
      <c r="AQ148" s="42"/>
      <c r="AR148" s="42"/>
      <c r="AS148" s="42"/>
      <c r="AT148" s="43"/>
      <c r="AU148" s="687">
        <f t="shared" si="22"/>
        <v>0</v>
      </c>
      <c r="AV148" s="42"/>
      <c r="AW148" s="42"/>
      <c r="AX148" s="42"/>
      <c r="AY148" s="43"/>
      <c r="AZ148" s="486"/>
      <c r="BA148" s="51"/>
      <c r="BB148" s="51"/>
      <c r="BC148" s="51"/>
      <c r="BD148" s="51"/>
      <c r="BE148" s="51"/>
      <c r="BF148" s="51"/>
      <c r="BG148" s="51"/>
      <c r="BH148" s="94"/>
      <c r="BI148" s="94"/>
      <c r="BJ148" s="94"/>
      <c r="BK148" s="94"/>
      <c r="BL148" s="94"/>
      <c r="BM148" s="483"/>
      <c r="BN148" s="94"/>
      <c r="BO148" s="94"/>
      <c r="BP148" s="94"/>
      <c r="BQ148" s="94"/>
      <c r="BR148" s="94"/>
      <c r="BS148" s="94"/>
      <c r="BT148" s="94"/>
      <c r="BU148" s="94"/>
      <c r="BV148" s="94"/>
      <c r="BW148" s="688">
        <f t="shared" si="18"/>
        <v>0</v>
      </c>
      <c r="BX148" s="51"/>
      <c r="BY148" s="51"/>
      <c r="BZ148" s="51"/>
      <c r="CA148" s="51"/>
      <c r="CB148" s="51"/>
      <c r="CC148" s="51"/>
      <c r="CD148" s="97"/>
      <c r="CE148" s="479"/>
      <c r="CF148" s="51"/>
      <c r="CG148" s="51"/>
      <c r="CH148" s="62"/>
      <c r="CI148" s="62"/>
      <c r="CJ148" s="51"/>
      <c r="CK148" s="51"/>
      <c r="CL148" s="95"/>
      <c r="CM148" s="93"/>
      <c r="CN148" s="51"/>
      <c r="CO148" s="51"/>
      <c r="CP148" s="51"/>
      <c r="CQ148" s="51"/>
      <c r="CR148" s="51"/>
      <c r="CS148" s="51"/>
      <c r="CT148" s="51"/>
      <c r="CU148" s="95"/>
      <c r="CV148" s="93"/>
      <c r="CW148" s="51"/>
      <c r="CX148" s="51"/>
      <c r="CY148" s="51"/>
      <c r="CZ148" s="51"/>
      <c r="DA148" s="51"/>
      <c r="DB148" s="51"/>
      <c r="DC148" s="51"/>
      <c r="DD148" s="95"/>
      <c r="DE148" s="93"/>
      <c r="DF148" s="51"/>
      <c r="DG148" s="51"/>
      <c r="DH148" s="51"/>
      <c r="DI148" s="51"/>
      <c r="DJ148" s="51"/>
      <c r="DK148" s="51"/>
      <c r="DL148" s="95"/>
      <c r="DM148" s="478"/>
      <c r="DN148" s="682">
        <f t="shared" si="23"/>
        <v>0</v>
      </c>
      <c r="DO148" s="683"/>
    </row>
    <row r="149" spans="1:119" ht="25.5" customHeight="1" thickTop="1" thickBot="1" x14ac:dyDescent="0.2">
      <c r="A149" s="676">
        <f t="shared" si="19"/>
        <v>134</v>
      </c>
      <c r="B149" s="1054"/>
      <c r="C149" s="1054"/>
      <c r="D149" s="83"/>
      <c r="E149" s="954"/>
      <c r="F149" s="52"/>
      <c r="G149" s="103"/>
      <c r="H149" s="1058"/>
      <c r="I149" s="684" t="str">
        <f t="shared" si="16"/>
        <v/>
      </c>
      <c r="J149" s="685">
        <f t="shared" si="17"/>
        <v>0</v>
      </c>
      <c r="K149" s="1252"/>
      <c r="L149" s="1251"/>
      <c r="M149" s="1257"/>
      <c r="N149" s="719" t="str">
        <f t="shared" si="20"/>
        <v/>
      </c>
      <c r="O149" s="720" t="str">
        <f>IF('Set up ~ Config'!$G$32=6,IF(OR($N149=7,$N149=8,$N149=9),1,IF(OR($N149=10,$N149=11,$N149=12),2,IF(OR($N149=1,$N149=2,$N149=3),3,IF(OR($N149=4,$N149=5,$N149=6),4,"")))),IF(OR($N149=9,$N149=10,$N149=11),1,IF(OR($N149=12,$N149=1,$N149=2),2,IF(OR($N149=3,$N149=4,$N149=5),3,IF(OR($N149=6,$N149=7,$N149=8),4,"")))))</f>
        <v/>
      </c>
      <c r="P149" s="99"/>
      <c r="Q149" s="62"/>
      <c r="R149" s="62"/>
      <c r="S149" s="51"/>
      <c r="T149" s="51"/>
      <c r="U149" s="51"/>
      <c r="V149" s="51"/>
      <c r="W149" s="51"/>
      <c r="X149" s="51"/>
      <c r="Y149" s="51"/>
      <c r="Z149" s="51"/>
      <c r="AA149" s="51"/>
      <c r="AB149" s="51"/>
      <c r="AC149" s="51"/>
      <c r="AD149" s="51"/>
      <c r="AE149" s="51"/>
      <c r="AF149" s="51"/>
      <c r="AG149" s="51"/>
      <c r="AH149" s="94"/>
      <c r="AI149" s="94"/>
      <c r="AJ149" s="94"/>
      <c r="AK149" s="94"/>
      <c r="AL149" s="94"/>
      <c r="AM149" s="94"/>
      <c r="AN149" s="94"/>
      <c r="AO149" s="95"/>
      <c r="AP149" s="686">
        <f t="shared" si="21"/>
        <v>0</v>
      </c>
      <c r="AQ149" s="42"/>
      <c r="AR149" s="42"/>
      <c r="AS149" s="42"/>
      <c r="AT149" s="43"/>
      <c r="AU149" s="687">
        <f t="shared" si="22"/>
        <v>0</v>
      </c>
      <c r="AV149" s="42"/>
      <c r="AW149" s="42"/>
      <c r="AX149" s="42"/>
      <c r="AY149" s="43"/>
      <c r="AZ149" s="486"/>
      <c r="BA149" s="51"/>
      <c r="BB149" s="51"/>
      <c r="BC149" s="51"/>
      <c r="BD149" s="51"/>
      <c r="BE149" s="51"/>
      <c r="BF149" s="51"/>
      <c r="BG149" s="51"/>
      <c r="BH149" s="94"/>
      <c r="BI149" s="94"/>
      <c r="BJ149" s="94"/>
      <c r="BK149" s="94"/>
      <c r="BL149" s="94"/>
      <c r="BM149" s="483"/>
      <c r="BN149" s="94"/>
      <c r="BO149" s="94"/>
      <c r="BP149" s="94"/>
      <c r="BQ149" s="94"/>
      <c r="BR149" s="94"/>
      <c r="BS149" s="94"/>
      <c r="BT149" s="94"/>
      <c r="BU149" s="94"/>
      <c r="BV149" s="94"/>
      <c r="BW149" s="688">
        <f t="shared" si="18"/>
        <v>0</v>
      </c>
      <c r="BX149" s="51"/>
      <c r="BY149" s="51"/>
      <c r="BZ149" s="51"/>
      <c r="CA149" s="51"/>
      <c r="CB149" s="51"/>
      <c r="CC149" s="51"/>
      <c r="CD149" s="97"/>
      <c r="CE149" s="479"/>
      <c r="CF149" s="51"/>
      <c r="CG149" s="51"/>
      <c r="CH149" s="62"/>
      <c r="CI149" s="62"/>
      <c r="CJ149" s="51"/>
      <c r="CK149" s="51"/>
      <c r="CL149" s="95"/>
      <c r="CM149" s="93"/>
      <c r="CN149" s="51"/>
      <c r="CO149" s="51"/>
      <c r="CP149" s="51"/>
      <c r="CQ149" s="51"/>
      <c r="CR149" s="51"/>
      <c r="CS149" s="51"/>
      <c r="CT149" s="51"/>
      <c r="CU149" s="95"/>
      <c r="CV149" s="93"/>
      <c r="CW149" s="51"/>
      <c r="CX149" s="51"/>
      <c r="CY149" s="51"/>
      <c r="CZ149" s="51"/>
      <c r="DA149" s="51"/>
      <c r="DB149" s="51"/>
      <c r="DC149" s="51"/>
      <c r="DD149" s="95"/>
      <c r="DE149" s="93"/>
      <c r="DF149" s="51"/>
      <c r="DG149" s="51"/>
      <c r="DH149" s="51"/>
      <c r="DI149" s="51"/>
      <c r="DJ149" s="51"/>
      <c r="DK149" s="51"/>
      <c r="DL149" s="95"/>
      <c r="DM149" s="478"/>
      <c r="DN149" s="682">
        <f t="shared" si="23"/>
        <v>0</v>
      </c>
      <c r="DO149" s="683"/>
    </row>
    <row r="150" spans="1:119" ht="25.5" customHeight="1" thickTop="1" thickBot="1" x14ac:dyDescent="0.2">
      <c r="A150" s="676">
        <f t="shared" si="19"/>
        <v>135</v>
      </c>
      <c r="B150" s="1054"/>
      <c r="C150" s="1054"/>
      <c r="D150" s="83"/>
      <c r="E150" s="954"/>
      <c r="F150" s="52"/>
      <c r="G150" s="103"/>
      <c r="H150" s="1058"/>
      <c r="I150" s="684" t="str">
        <f t="shared" si="16"/>
        <v/>
      </c>
      <c r="J150" s="685">
        <f t="shared" si="17"/>
        <v>0</v>
      </c>
      <c r="K150" s="1252"/>
      <c r="L150" s="1251"/>
      <c r="M150" s="1257"/>
      <c r="N150" s="719" t="str">
        <f t="shared" si="20"/>
        <v/>
      </c>
      <c r="O150" s="720" t="str">
        <f>IF('Set up ~ Config'!$G$32=6,IF(OR($N150=7,$N150=8,$N150=9),1,IF(OR($N150=10,$N150=11,$N150=12),2,IF(OR($N150=1,$N150=2,$N150=3),3,IF(OR($N150=4,$N150=5,$N150=6),4,"")))),IF(OR($N150=9,$N150=10,$N150=11),1,IF(OR($N150=12,$N150=1,$N150=2),2,IF(OR($N150=3,$N150=4,$N150=5),3,IF(OR($N150=6,$N150=7,$N150=8),4,"")))))</f>
        <v/>
      </c>
      <c r="P150" s="99"/>
      <c r="Q150" s="62"/>
      <c r="R150" s="62"/>
      <c r="S150" s="51"/>
      <c r="T150" s="51"/>
      <c r="U150" s="51"/>
      <c r="V150" s="51"/>
      <c r="W150" s="51"/>
      <c r="X150" s="51"/>
      <c r="Y150" s="51"/>
      <c r="Z150" s="51"/>
      <c r="AA150" s="51"/>
      <c r="AB150" s="51"/>
      <c r="AC150" s="51"/>
      <c r="AD150" s="51"/>
      <c r="AE150" s="51"/>
      <c r="AF150" s="51"/>
      <c r="AG150" s="51"/>
      <c r="AH150" s="94"/>
      <c r="AI150" s="94"/>
      <c r="AJ150" s="94"/>
      <c r="AK150" s="94"/>
      <c r="AL150" s="94"/>
      <c r="AM150" s="94"/>
      <c r="AN150" s="94"/>
      <c r="AO150" s="95"/>
      <c r="AP150" s="686">
        <f t="shared" si="21"/>
        <v>0</v>
      </c>
      <c r="AQ150" s="42"/>
      <c r="AR150" s="42"/>
      <c r="AS150" s="42"/>
      <c r="AT150" s="43"/>
      <c r="AU150" s="687">
        <f t="shared" si="22"/>
        <v>0</v>
      </c>
      <c r="AV150" s="42"/>
      <c r="AW150" s="42"/>
      <c r="AX150" s="42"/>
      <c r="AY150" s="43"/>
      <c r="AZ150" s="486"/>
      <c r="BA150" s="51"/>
      <c r="BB150" s="51"/>
      <c r="BC150" s="51"/>
      <c r="BD150" s="51"/>
      <c r="BE150" s="51"/>
      <c r="BF150" s="51"/>
      <c r="BG150" s="51"/>
      <c r="BH150" s="94"/>
      <c r="BI150" s="94"/>
      <c r="BJ150" s="94"/>
      <c r="BK150" s="94"/>
      <c r="BL150" s="94"/>
      <c r="BM150" s="483"/>
      <c r="BN150" s="94"/>
      <c r="BO150" s="94"/>
      <c r="BP150" s="94"/>
      <c r="BQ150" s="94"/>
      <c r="BR150" s="94"/>
      <c r="BS150" s="94"/>
      <c r="BT150" s="94"/>
      <c r="BU150" s="94"/>
      <c r="BV150" s="94"/>
      <c r="BW150" s="688">
        <f t="shared" si="18"/>
        <v>0</v>
      </c>
      <c r="BX150" s="51"/>
      <c r="BY150" s="51"/>
      <c r="BZ150" s="51"/>
      <c r="CA150" s="51"/>
      <c r="CB150" s="51"/>
      <c r="CC150" s="51"/>
      <c r="CD150" s="97"/>
      <c r="CE150" s="479"/>
      <c r="CF150" s="51"/>
      <c r="CG150" s="51"/>
      <c r="CH150" s="62"/>
      <c r="CI150" s="62"/>
      <c r="CJ150" s="51"/>
      <c r="CK150" s="51"/>
      <c r="CL150" s="95"/>
      <c r="CM150" s="93"/>
      <c r="CN150" s="51"/>
      <c r="CO150" s="51"/>
      <c r="CP150" s="51"/>
      <c r="CQ150" s="51"/>
      <c r="CR150" s="51"/>
      <c r="CS150" s="51"/>
      <c r="CT150" s="51"/>
      <c r="CU150" s="95"/>
      <c r="CV150" s="93"/>
      <c r="CW150" s="51"/>
      <c r="CX150" s="51"/>
      <c r="CY150" s="51"/>
      <c r="CZ150" s="51"/>
      <c r="DA150" s="51"/>
      <c r="DB150" s="51"/>
      <c r="DC150" s="51"/>
      <c r="DD150" s="95"/>
      <c r="DE150" s="93"/>
      <c r="DF150" s="51"/>
      <c r="DG150" s="51"/>
      <c r="DH150" s="51"/>
      <c r="DI150" s="51"/>
      <c r="DJ150" s="51"/>
      <c r="DK150" s="51"/>
      <c r="DL150" s="95"/>
      <c r="DM150" s="478"/>
      <c r="DN150" s="682">
        <f t="shared" si="23"/>
        <v>0</v>
      </c>
      <c r="DO150" s="683"/>
    </row>
    <row r="151" spans="1:119" ht="25.5" customHeight="1" thickTop="1" thickBot="1" x14ac:dyDescent="0.2">
      <c r="A151" s="676">
        <f t="shared" si="19"/>
        <v>136</v>
      </c>
      <c r="B151" s="1054"/>
      <c r="C151" s="1054"/>
      <c r="D151" s="83"/>
      <c r="E151" s="954"/>
      <c r="F151" s="52"/>
      <c r="G151" s="103"/>
      <c r="H151" s="1058"/>
      <c r="I151" s="684" t="str">
        <f t="shared" si="16"/>
        <v/>
      </c>
      <c r="J151" s="685">
        <f t="shared" si="17"/>
        <v>0</v>
      </c>
      <c r="K151" s="1252"/>
      <c r="L151" s="1251"/>
      <c r="M151" s="1257"/>
      <c r="N151" s="719" t="str">
        <f t="shared" si="20"/>
        <v/>
      </c>
      <c r="O151" s="720" t="str">
        <f>IF('Set up ~ Config'!$G$32=6,IF(OR($N151=7,$N151=8,$N151=9),1,IF(OR($N151=10,$N151=11,$N151=12),2,IF(OR($N151=1,$N151=2,$N151=3),3,IF(OR($N151=4,$N151=5,$N151=6),4,"")))),IF(OR($N151=9,$N151=10,$N151=11),1,IF(OR($N151=12,$N151=1,$N151=2),2,IF(OR($N151=3,$N151=4,$N151=5),3,IF(OR($N151=6,$N151=7,$N151=8),4,"")))))</f>
        <v/>
      </c>
      <c r="P151" s="99"/>
      <c r="Q151" s="62"/>
      <c r="R151" s="62"/>
      <c r="S151" s="51"/>
      <c r="T151" s="51"/>
      <c r="U151" s="51"/>
      <c r="V151" s="51"/>
      <c r="W151" s="51"/>
      <c r="X151" s="51"/>
      <c r="Y151" s="51"/>
      <c r="Z151" s="51"/>
      <c r="AA151" s="51"/>
      <c r="AB151" s="51"/>
      <c r="AC151" s="51"/>
      <c r="AD151" s="51"/>
      <c r="AE151" s="51"/>
      <c r="AF151" s="51"/>
      <c r="AG151" s="51"/>
      <c r="AH151" s="94"/>
      <c r="AI151" s="94"/>
      <c r="AJ151" s="94"/>
      <c r="AK151" s="94"/>
      <c r="AL151" s="94"/>
      <c r="AM151" s="94"/>
      <c r="AN151" s="94"/>
      <c r="AO151" s="95"/>
      <c r="AP151" s="686">
        <f t="shared" si="21"/>
        <v>0</v>
      </c>
      <c r="AQ151" s="42"/>
      <c r="AR151" s="42"/>
      <c r="AS151" s="42"/>
      <c r="AT151" s="43"/>
      <c r="AU151" s="687">
        <f t="shared" si="22"/>
        <v>0</v>
      </c>
      <c r="AV151" s="42"/>
      <c r="AW151" s="42"/>
      <c r="AX151" s="42"/>
      <c r="AY151" s="43"/>
      <c r="AZ151" s="486"/>
      <c r="BA151" s="51"/>
      <c r="BB151" s="51"/>
      <c r="BC151" s="51"/>
      <c r="BD151" s="51"/>
      <c r="BE151" s="51"/>
      <c r="BF151" s="51"/>
      <c r="BG151" s="51"/>
      <c r="BH151" s="94"/>
      <c r="BI151" s="94"/>
      <c r="BJ151" s="94"/>
      <c r="BK151" s="94"/>
      <c r="BL151" s="94"/>
      <c r="BM151" s="483"/>
      <c r="BN151" s="94"/>
      <c r="BO151" s="94"/>
      <c r="BP151" s="94"/>
      <c r="BQ151" s="94"/>
      <c r="BR151" s="94"/>
      <c r="BS151" s="94"/>
      <c r="BT151" s="94"/>
      <c r="BU151" s="94"/>
      <c r="BV151" s="94"/>
      <c r="BW151" s="688">
        <f t="shared" si="18"/>
        <v>0</v>
      </c>
      <c r="BX151" s="51"/>
      <c r="BY151" s="51"/>
      <c r="BZ151" s="51"/>
      <c r="CA151" s="51"/>
      <c r="CB151" s="51"/>
      <c r="CC151" s="51"/>
      <c r="CD151" s="97"/>
      <c r="CE151" s="479"/>
      <c r="CF151" s="51"/>
      <c r="CG151" s="51"/>
      <c r="CH151" s="62"/>
      <c r="CI151" s="62"/>
      <c r="CJ151" s="51"/>
      <c r="CK151" s="51"/>
      <c r="CL151" s="95"/>
      <c r="CM151" s="93"/>
      <c r="CN151" s="51"/>
      <c r="CO151" s="51"/>
      <c r="CP151" s="51"/>
      <c r="CQ151" s="51"/>
      <c r="CR151" s="51"/>
      <c r="CS151" s="51"/>
      <c r="CT151" s="51"/>
      <c r="CU151" s="95"/>
      <c r="CV151" s="93"/>
      <c r="CW151" s="51"/>
      <c r="CX151" s="51"/>
      <c r="CY151" s="51"/>
      <c r="CZ151" s="51"/>
      <c r="DA151" s="51"/>
      <c r="DB151" s="51"/>
      <c r="DC151" s="51"/>
      <c r="DD151" s="95"/>
      <c r="DE151" s="93"/>
      <c r="DF151" s="51"/>
      <c r="DG151" s="51"/>
      <c r="DH151" s="51"/>
      <c r="DI151" s="51"/>
      <c r="DJ151" s="51"/>
      <c r="DK151" s="51"/>
      <c r="DL151" s="95"/>
      <c r="DM151" s="478"/>
      <c r="DN151" s="682">
        <f t="shared" si="23"/>
        <v>0</v>
      </c>
      <c r="DO151" s="683"/>
    </row>
    <row r="152" spans="1:119" ht="25.5" customHeight="1" thickTop="1" thickBot="1" x14ac:dyDescent="0.2">
      <c r="A152" s="676">
        <f t="shared" si="19"/>
        <v>137</v>
      </c>
      <c r="B152" s="1054"/>
      <c r="C152" s="1054"/>
      <c r="D152" s="83"/>
      <c r="E152" s="954"/>
      <c r="F152" s="52"/>
      <c r="G152" s="103"/>
      <c r="H152" s="1058"/>
      <c r="I152" s="684" t="str">
        <f t="shared" si="16"/>
        <v/>
      </c>
      <c r="J152" s="685">
        <f t="shared" si="17"/>
        <v>0</v>
      </c>
      <c r="K152" s="1252"/>
      <c r="L152" s="1251"/>
      <c r="M152" s="1257"/>
      <c r="N152" s="719" t="str">
        <f t="shared" si="20"/>
        <v/>
      </c>
      <c r="O152" s="720" t="str">
        <f>IF('Set up ~ Config'!$G$32=6,IF(OR($N152=7,$N152=8,$N152=9),1,IF(OR($N152=10,$N152=11,$N152=12),2,IF(OR($N152=1,$N152=2,$N152=3),3,IF(OR($N152=4,$N152=5,$N152=6),4,"")))),IF(OR($N152=9,$N152=10,$N152=11),1,IF(OR($N152=12,$N152=1,$N152=2),2,IF(OR($N152=3,$N152=4,$N152=5),3,IF(OR($N152=6,$N152=7,$N152=8),4,"")))))</f>
        <v/>
      </c>
      <c r="P152" s="99"/>
      <c r="Q152" s="62"/>
      <c r="R152" s="62"/>
      <c r="S152" s="51"/>
      <c r="T152" s="51"/>
      <c r="U152" s="51"/>
      <c r="V152" s="51"/>
      <c r="W152" s="51"/>
      <c r="X152" s="51"/>
      <c r="Y152" s="51"/>
      <c r="Z152" s="51"/>
      <c r="AA152" s="51"/>
      <c r="AB152" s="51"/>
      <c r="AC152" s="51"/>
      <c r="AD152" s="51"/>
      <c r="AE152" s="51"/>
      <c r="AF152" s="51"/>
      <c r="AG152" s="51"/>
      <c r="AH152" s="94"/>
      <c r="AI152" s="94"/>
      <c r="AJ152" s="94"/>
      <c r="AK152" s="94"/>
      <c r="AL152" s="94"/>
      <c r="AM152" s="94"/>
      <c r="AN152" s="94"/>
      <c r="AO152" s="95"/>
      <c r="AP152" s="686">
        <f t="shared" si="21"/>
        <v>0</v>
      </c>
      <c r="AQ152" s="42"/>
      <c r="AR152" s="42"/>
      <c r="AS152" s="42"/>
      <c r="AT152" s="43"/>
      <c r="AU152" s="687">
        <f t="shared" si="22"/>
        <v>0</v>
      </c>
      <c r="AV152" s="42"/>
      <c r="AW152" s="42"/>
      <c r="AX152" s="42"/>
      <c r="AY152" s="43"/>
      <c r="AZ152" s="486"/>
      <c r="BA152" s="51"/>
      <c r="BB152" s="51"/>
      <c r="BC152" s="51"/>
      <c r="BD152" s="51"/>
      <c r="BE152" s="51"/>
      <c r="BF152" s="51"/>
      <c r="BG152" s="51"/>
      <c r="BH152" s="94"/>
      <c r="BI152" s="94"/>
      <c r="BJ152" s="94"/>
      <c r="BK152" s="94"/>
      <c r="BL152" s="94"/>
      <c r="BM152" s="483"/>
      <c r="BN152" s="94"/>
      <c r="BO152" s="94"/>
      <c r="BP152" s="94"/>
      <c r="BQ152" s="94"/>
      <c r="BR152" s="94"/>
      <c r="BS152" s="94"/>
      <c r="BT152" s="94"/>
      <c r="BU152" s="94"/>
      <c r="BV152" s="94"/>
      <c r="BW152" s="688">
        <f t="shared" si="18"/>
        <v>0</v>
      </c>
      <c r="BX152" s="51"/>
      <c r="BY152" s="51"/>
      <c r="BZ152" s="51"/>
      <c r="CA152" s="51"/>
      <c r="CB152" s="51"/>
      <c r="CC152" s="51"/>
      <c r="CD152" s="97"/>
      <c r="CE152" s="479"/>
      <c r="CF152" s="51"/>
      <c r="CG152" s="51"/>
      <c r="CH152" s="62"/>
      <c r="CI152" s="62"/>
      <c r="CJ152" s="51"/>
      <c r="CK152" s="51"/>
      <c r="CL152" s="95"/>
      <c r="CM152" s="93"/>
      <c r="CN152" s="51"/>
      <c r="CO152" s="51"/>
      <c r="CP152" s="51"/>
      <c r="CQ152" s="51"/>
      <c r="CR152" s="51"/>
      <c r="CS152" s="51"/>
      <c r="CT152" s="51"/>
      <c r="CU152" s="95"/>
      <c r="CV152" s="93"/>
      <c r="CW152" s="51"/>
      <c r="CX152" s="51"/>
      <c r="CY152" s="51"/>
      <c r="CZ152" s="51"/>
      <c r="DA152" s="51"/>
      <c r="DB152" s="51"/>
      <c r="DC152" s="51"/>
      <c r="DD152" s="95"/>
      <c r="DE152" s="93"/>
      <c r="DF152" s="51"/>
      <c r="DG152" s="51"/>
      <c r="DH152" s="51"/>
      <c r="DI152" s="51"/>
      <c r="DJ152" s="51"/>
      <c r="DK152" s="51"/>
      <c r="DL152" s="95"/>
      <c r="DM152" s="478"/>
      <c r="DN152" s="682">
        <f t="shared" si="23"/>
        <v>0</v>
      </c>
      <c r="DO152" s="683"/>
    </row>
    <row r="153" spans="1:119" ht="25.5" customHeight="1" thickTop="1" thickBot="1" x14ac:dyDescent="0.2">
      <c r="A153" s="676">
        <f t="shared" si="19"/>
        <v>138</v>
      </c>
      <c r="B153" s="1054"/>
      <c r="C153" s="1054"/>
      <c r="D153" s="83"/>
      <c r="E153" s="954"/>
      <c r="F153" s="52"/>
      <c r="G153" s="103"/>
      <c r="H153" s="1058"/>
      <c r="I153" s="684" t="str">
        <f t="shared" si="16"/>
        <v/>
      </c>
      <c r="J153" s="685">
        <f t="shared" si="17"/>
        <v>0</v>
      </c>
      <c r="K153" s="1252"/>
      <c r="L153" s="1251"/>
      <c r="M153" s="1257"/>
      <c r="N153" s="719" t="str">
        <f t="shared" si="20"/>
        <v/>
      </c>
      <c r="O153" s="720" t="str">
        <f>IF('Set up ~ Config'!$G$32=6,IF(OR($N153=7,$N153=8,$N153=9),1,IF(OR($N153=10,$N153=11,$N153=12),2,IF(OR($N153=1,$N153=2,$N153=3),3,IF(OR($N153=4,$N153=5,$N153=6),4,"")))),IF(OR($N153=9,$N153=10,$N153=11),1,IF(OR($N153=12,$N153=1,$N153=2),2,IF(OR($N153=3,$N153=4,$N153=5),3,IF(OR($N153=6,$N153=7,$N153=8),4,"")))))</f>
        <v/>
      </c>
      <c r="P153" s="99"/>
      <c r="Q153" s="62"/>
      <c r="R153" s="62"/>
      <c r="S153" s="51"/>
      <c r="T153" s="51"/>
      <c r="U153" s="51"/>
      <c r="V153" s="51"/>
      <c r="W153" s="51"/>
      <c r="X153" s="51"/>
      <c r="Y153" s="51"/>
      <c r="Z153" s="51"/>
      <c r="AA153" s="51"/>
      <c r="AB153" s="51"/>
      <c r="AC153" s="51"/>
      <c r="AD153" s="51"/>
      <c r="AE153" s="51"/>
      <c r="AF153" s="51"/>
      <c r="AG153" s="51"/>
      <c r="AH153" s="94"/>
      <c r="AI153" s="94"/>
      <c r="AJ153" s="94"/>
      <c r="AK153" s="94"/>
      <c r="AL153" s="94"/>
      <c r="AM153" s="94"/>
      <c r="AN153" s="94"/>
      <c r="AO153" s="95"/>
      <c r="AP153" s="686">
        <f t="shared" si="21"/>
        <v>0</v>
      </c>
      <c r="AQ153" s="42"/>
      <c r="AR153" s="42"/>
      <c r="AS153" s="42"/>
      <c r="AT153" s="43"/>
      <c r="AU153" s="687">
        <f t="shared" si="22"/>
        <v>0</v>
      </c>
      <c r="AV153" s="42"/>
      <c r="AW153" s="42"/>
      <c r="AX153" s="42"/>
      <c r="AY153" s="43"/>
      <c r="AZ153" s="486"/>
      <c r="BA153" s="51"/>
      <c r="BB153" s="51"/>
      <c r="BC153" s="51"/>
      <c r="BD153" s="51"/>
      <c r="BE153" s="51"/>
      <c r="BF153" s="51"/>
      <c r="BG153" s="51"/>
      <c r="BH153" s="94"/>
      <c r="BI153" s="94"/>
      <c r="BJ153" s="94"/>
      <c r="BK153" s="94"/>
      <c r="BL153" s="94"/>
      <c r="BM153" s="483"/>
      <c r="BN153" s="94"/>
      <c r="BO153" s="94"/>
      <c r="BP153" s="94"/>
      <c r="BQ153" s="94"/>
      <c r="BR153" s="94"/>
      <c r="BS153" s="94"/>
      <c r="BT153" s="94"/>
      <c r="BU153" s="94"/>
      <c r="BV153" s="94"/>
      <c r="BW153" s="688">
        <f t="shared" si="18"/>
        <v>0</v>
      </c>
      <c r="BX153" s="51"/>
      <c r="BY153" s="51"/>
      <c r="BZ153" s="51"/>
      <c r="CA153" s="51"/>
      <c r="CB153" s="51"/>
      <c r="CC153" s="51"/>
      <c r="CD153" s="97"/>
      <c r="CE153" s="479"/>
      <c r="CF153" s="51"/>
      <c r="CG153" s="51"/>
      <c r="CH153" s="62"/>
      <c r="CI153" s="62"/>
      <c r="CJ153" s="51"/>
      <c r="CK153" s="51"/>
      <c r="CL153" s="95"/>
      <c r="CM153" s="93"/>
      <c r="CN153" s="51"/>
      <c r="CO153" s="51"/>
      <c r="CP153" s="51"/>
      <c r="CQ153" s="51"/>
      <c r="CR153" s="51"/>
      <c r="CS153" s="51"/>
      <c r="CT153" s="51"/>
      <c r="CU153" s="95"/>
      <c r="CV153" s="93"/>
      <c r="CW153" s="51"/>
      <c r="CX153" s="51"/>
      <c r="CY153" s="51"/>
      <c r="CZ153" s="51"/>
      <c r="DA153" s="51"/>
      <c r="DB153" s="51"/>
      <c r="DC153" s="51"/>
      <c r="DD153" s="95"/>
      <c r="DE153" s="93"/>
      <c r="DF153" s="51"/>
      <c r="DG153" s="51"/>
      <c r="DH153" s="51"/>
      <c r="DI153" s="51"/>
      <c r="DJ153" s="51"/>
      <c r="DK153" s="51"/>
      <c r="DL153" s="95"/>
      <c r="DM153" s="478"/>
      <c r="DN153" s="682">
        <f t="shared" si="23"/>
        <v>0</v>
      </c>
      <c r="DO153" s="683"/>
    </row>
    <row r="154" spans="1:119" ht="25.5" customHeight="1" thickTop="1" thickBot="1" x14ac:dyDescent="0.2">
      <c r="A154" s="676">
        <f t="shared" si="19"/>
        <v>139</v>
      </c>
      <c r="B154" s="1054"/>
      <c r="C154" s="1054"/>
      <c r="D154" s="83"/>
      <c r="E154" s="954"/>
      <c r="F154" s="52"/>
      <c r="G154" s="103"/>
      <c r="H154" s="1058"/>
      <c r="I154" s="684" t="str">
        <f t="shared" si="16"/>
        <v/>
      </c>
      <c r="J154" s="685">
        <f t="shared" si="17"/>
        <v>0</v>
      </c>
      <c r="K154" s="1252"/>
      <c r="L154" s="1251"/>
      <c r="M154" s="1257"/>
      <c r="N154" s="719" t="str">
        <f t="shared" si="20"/>
        <v/>
      </c>
      <c r="O154" s="720" t="str">
        <f>IF('Set up ~ Config'!$G$32=6,IF(OR($N154=7,$N154=8,$N154=9),1,IF(OR($N154=10,$N154=11,$N154=12),2,IF(OR($N154=1,$N154=2,$N154=3),3,IF(OR($N154=4,$N154=5,$N154=6),4,"")))),IF(OR($N154=9,$N154=10,$N154=11),1,IF(OR($N154=12,$N154=1,$N154=2),2,IF(OR($N154=3,$N154=4,$N154=5),3,IF(OR($N154=6,$N154=7,$N154=8),4,"")))))</f>
        <v/>
      </c>
      <c r="P154" s="99"/>
      <c r="Q154" s="62"/>
      <c r="R154" s="62"/>
      <c r="S154" s="51"/>
      <c r="T154" s="51"/>
      <c r="U154" s="51"/>
      <c r="V154" s="51"/>
      <c r="W154" s="51"/>
      <c r="X154" s="51"/>
      <c r="Y154" s="51"/>
      <c r="Z154" s="51"/>
      <c r="AA154" s="51"/>
      <c r="AB154" s="51"/>
      <c r="AC154" s="51"/>
      <c r="AD154" s="51"/>
      <c r="AE154" s="51"/>
      <c r="AF154" s="51"/>
      <c r="AG154" s="51"/>
      <c r="AH154" s="94"/>
      <c r="AI154" s="94"/>
      <c r="AJ154" s="94"/>
      <c r="AK154" s="94"/>
      <c r="AL154" s="94"/>
      <c r="AM154" s="94"/>
      <c r="AN154" s="94"/>
      <c r="AO154" s="95"/>
      <c r="AP154" s="686">
        <f t="shared" si="21"/>
        <v>0</v>
      </c>
      <c r="AQ154" s="42"/>
      <c r="AR154" s="42"/>
      <c r="AS154" s="42"/>
      <c r="AT154" s="43"/>
      <c r="AU154" s="687">
        <f t="shared" si="22"/>
        <v>0</v>
      </c>
      <c r="AV154" s="42"/>
      <c r="AW154" s="42"/>
      <c r="AX154" s="42"/>
      <c r="AY154" s="43"/>
      <c r="AZ154" s="486"/>
      <c r="BA154" s="51"/>
      <c r="BB154" s="51"/>
      <c r="BC154" s="51"/>
      <c r="BD154" s="51"/>
      <c r="BE154" s="51"/>
      <c r="BF154" s="51"/>
      <c r="BG154" s="51"/>
      <c r="BH154" s="94"/>
      <c r="BI154" s="94"/>
      <c r="BJ154" s="94"/>
      <c r="BK154" s="94"/>
      <c r="BL154" s="94"/>
      <c r="BM154" s="483"/>
      <c r="BN154" s="94"/>
      <c r="BO154" s="94"/>
      <c r="BP154" s="94"/>
      <c r="BQ154" s="94"/>
      <c r="BR154" s="94"/>
      <c r="BS154" s="94"/>
      <c r="BT154" s="94"/>
      <c r="BU154" s="94"/>
      <c r="BV154" s="94"/>
      <c r="BW154" s="688">
        <f t="shared" si="18"/>
        <v>0</v>
      </c>
      <c r="BX154" s="51"/>
      <c r="BY154" s="51"/>
      <c r="BZ154" s="51"/>
      <c r="CA154" s="51"/>
      <c r="CB154" s="51"/>
      <c r="CC154" s="51"/>
      <c r="CD154" s="97"/>
      <c r="CE154" s="479"/>
      <c r="CF154" s="51"/>
      <c r="CG154" s="51"/>
      <c r="CH154" s="62"/>
      <c r="CI154" s="62"/>
      <c r="CJ154" s="51"/>
      <c r="CK154" s="51"/>
      <c r="CL154" s="95"/>
      <c r="CM154" s="93"/>
      <c r="CN154" s="51"/>
      <c r="CO154" s="51"/>
      <c r="CP154" s="51"/>
      <c r="CQ154" s="51"/>
      <c r="CR154" s="51"/>
      <c r="CS154" s="51"/>
      <c r="CT154" s="51"/>
      <c r="CU154" s="95"/>
      <c r="CV154" s="93"/>
      <c r="CW154" s="51"/>
      <c r="CX154" s="51"/>
      <c r="CY154" s="51"/>
      <c r="CZ154" s="51"/>
      <c r="DA154" s="51"/>
      <c r="DB154" s="51"/>
      <c r="DC154" s="51"/>
      <c r="DD154" s="95"/>
      <c r="DE154" s="93"/>
      <c r="DF154" s="51"/>
      <c r="DG154" s="51"/>
      <c r="DH154" s="51"/>
      <c r="DI154" s="51"/>
      <c r="DJ154" s="51"/>
      <c r="DK154" s="51"/>
      <c r="DL154" s="95"/>
      <c r="DM154" s="478"/>
      <c r="DN154" s="682">
        <f t="shared" si="23"/>
        <v>0</v>
      </c>
      <c r="DO154" s="683"/>
    </row>
    <row r="155" spans="1:119" ht="25.5" customHeight="1" thickTop="1" thickBot="1" x14ac:dyDescent="0.2">
      <c r="A155" s="676">
        <f t="shared" si="19"/>
        <v>140</v>
      </c>
      <c r="B155" s="1054"/>
      <c r="C155" s="1054"/>
      <c r="D155" s="83"/>
      <c r="E155" s="954"/>
      <c r="F155" s="52"/>
      <c r="G155" s="103"/>
      <c r="H155" s="1058"/>
      <c r="I155" s="684" t="str">
        <f t="shared" si="16"/>
        <v/>
      </c>
      <c r="J155" s="685">
        <f t="shared" si="17"/>
        <v>0</v>
      </c>
      <c r="K155" s="1252"/>
      <c r="L155" s="1251"/>
      <c r="M155" s="1257"/>
      <c r="N155" s="719" t="str">
        <f t="shared" si="20"/>
        <v/>
      </c>
      <c r="O155" s="720" t="str">
        <f>IF('Set up ~ Config'!$G$32=6,IF(OR($N155=7,$N155=8,$N155=9),1,IF(OR($N155=10,$N155=11,$N155=12),2,IF(OR($N155=1,$N155=2,$N155=3),3,IF(OR($N155=4,$N155=5,$N155=6),4,"")))),IF(OR($N155=9,$N155=10,$N155=11),1,IF(OR($N155=12,$N155=1,$N155=2),2,IF(OR($N155=3,$N155=4,$N155=5),3,IF(OR($N155=6,$N155=7,$N155=8),4,"")))))</f>
        <v/>
      </c>
      <c r="P155" s="99"/>
      <c r="Q155" s="62"/>
      <c r="R155" s="62"/>
      <c r="S155" s="51"/>
      <c r="T155" s="51"/>
      <c r="U155" s="51"/>
      <c r="V155" s="51"/>
      <c r="W155" s="51"/>
      <c r="X155" s="51"/>
      <c r="Y155" s="51"/>
      <c r="Z155" s="51"/>
      <c r="AA155" s="51"/>
      <c r="AB155" s="51"/>
      <c r="AC155" s="51"/>
      <c r="AD155" s="51"/>
      <c r="AE155" s="51"/>
      <c r="AF155" s="51"/>
      <c r="AG155" s="51"/>
      <c r="AH155" s="94"/>
      <c r="AI155" s="94"/>
      <c r="AJ155" s="94"/>
      <c r="AK155" s="94"/>
      <c r="AL155" s="94"/>
      <c r="AM155" s="94"/>
      <c r="AN155" s="94"/>
      <c r="AO155" s="95"/>
      <c r="AP155" s="686">
        <f t="shared" si="21"/>
        <v>0</v>
      </c>
      <c r="AQ155" s="42"/>
      <c r="AR155" s="42"/>
      <c r="AS155" s="42"/>
      <c r="AT155" s="43"/>
      <c r="AU155" s="687">
        <f t="shared" si="22"/>
        <v>0</v>
      </c>
      <c r="AV155" s="42"/>
      <c r="AW155" s="42"/>
      <c r="AX155" s="42"/>
      <c r="AY155" s="43"/>
      <c r="AZ155" s="486"/>
      <c r="BA155" s="51"/>
      <c r="BB155" s="51"/>
      <c r="BC155" s="51"/>
      <c r="BD155" s="51"/>
      <c r="BE155" s="51"/>
      <c r="BF155" s="51"/>
      <c r="BG155" s="51"/>
      <c r="BH155" s="94"/>
      <c r="BI155" s="94"/>
      <c r="BJ155" s="94"/>
      <c r="BK155" s="94"/>
      <c r="BL155" s="94"/>
      <c r="BM155" s="483"/>
      <c r="BN155" s="94"/>
      <c r="BO155" s="94"/>
      <c r="BP155" s="94"/>
      <c r="BQ155" s="94"/>
      <c r="BR155" s="94"/>
      <c r="BS155" s="94"/>
      <c r="BT155" s="94"/>
      <c r="BU155" s="94"/>
      <c r="BV155" s="94"/>
      <c r="BW155" s="688">
        <f t="shared" si="18"/>
        <v>0</v>
      </c>
      <c r="BX155" s="51"/>
      <c r="BY155" s="51"/>
      <c r="BZ155" s="51"/>
      <c r="CA155" s="51"/>
      <c r="CB155" s="51"/>
      <c r="CC155" s="51"/>
      <c r="CD155" s="97"/>
      <c r="CE155" s="479"/>
      <c r="CF155" s="51"/>
      <c r="CG155" s="51"/>
      <c r="CH155" s="62"/>
      <c r="CI155" s="62"/>
      <c r="CJ155" s="51"/>
      <c r="CK155" s="51"/>
      <c r="CL155" s="95"/>
      <c r="CM155" s="93"/>
      <c r="CN155" s="51"/>
      <c r="CO155" s="51"/>
      <c r="CP155" s="51"/>
      <c r="CQ155" s="51"/>
      <c r="CR155" s="51"/>
      <c r="CS155" s="51"/>
      <c r="CT155" s="51"/>
      <c r="CU155" s="95"/>
      <c r="CV155" s="93"/>
      <c r="CW155" s="51"/>
      <c r="CX155" s="51"/>
      <c r="CY155" s="51"/>
      <c r="CZ155" s="51"/>
      <c r="DA155" s="51"/>
      <c r="DB155" s="51"/>
      <c r="DC155" s="51"/>
      <c r="DD155" s="95"/>
      <c r="DE155" s="93"/>
      <c r="DF155" s="51"/>
      <c r="DG155" s="51"/>
      <c r="DH155" s="51"/>
      <c r="DI155" s="51"/>
      <c r="DJ155" s="51"/>
      <c r="DK155" s="51"/>
      <c r="DL155" s="95"/>
      <c r="DM155" s="478"/>
      <c r="DN155" s="682">
        <f t="shared" si="23"/>
        <v>0</v>
      </c>
      <c r="DO155" s="683"/>
    </row>
    <row r="156" spans="1:119" ht="25.5" customHeight="1" thickTop="1" thickBot="1" x14ac:dyDescent="0.2">
      <c r="A156" s="676">
        <f t="shared" si="19"/>
        <v>141</v>
      </c>
      <c r="B156" s="1054"/>
      <c r="C156" s="1054"/>
      <c r="D156" s="83"/>
      <c r="E156" s="954"/>
      <c r="F156" s="52"/>
      <c r="G156" s="103"/>
      <c r="H156" s="1058"/>
      <c r="I156" s="684" t="str">
        <f t="shared" si="16"/>
        <v/>
      </c>
      <c r="J156" s="685">
        <f t="shared" si="17"/>
        <v>0</v>
      </c>
      <c r="K156" s="1252"/>
      <c r="L156" s="1251"/>
      <c r="M156" s="1257"/>
      <c r="N156" s="719" t="str">
        <f t="shared" si="20"/>
        <v/>
      </c>
      <c r="O156" s="720" t="str">
        <f>IF('Set up ~ Config'!$G$32=6,IF(OR($N156=7,$N156=8,$N156=9),1,IF(OR($N156=10,$N156=11,$N156=12),2,IF(OR($N156=1,$N156=2,$N156=3),3,IF(OR($N156=4,$N156=5,$N156=6),4,"")))),IF(OR($N156=9,$N156=10,$N156=11),1,IF(OR($N156=12,$N156=1,$N156=2),2,IF(OR($N156=3,$N156=4,$N156=5),3,IF(OR($N156=6,$N156=7,$N156=8),4,"")))))</f>
        <v/>
      </c>
      <c r="P156" s="99"/>
      <c r="Q156" s="62"/>
      <c r="R156" s="62"/>
      <c r="S156" s="51"/>
      <c r="T156" s="51"/>
      <c r="U156" s="51"/>
      <c r="V156" s="51"/>
      <c r="W156" s="51"/>
      <c r="X156" s="51"/>
      <c r="Y156" s="51"/>
      <c r="Z156" s="51"/>
      <c r="AA156" s="51"/>
      <c r="AB156" s="51"/>
      <c r="AC156" s="51"/>
      <c r="AD156" s="51"/>
      <c r="AE156" s="51"/>
      <c r="AF156" s="51"/>
      <c r="AG156" s="51"/>
      <c r="AH156" s="94"/>
      <c r="AI156" s="94"/>
      <c r="AJ156" s="94"/>
      <c r="AK156" s="94"/>
      <c r="AL156" s="94"/>
      <c r="AM156" s="94"/>
      <c r="AN156" s="94"/>
      <c r="AO156" s="95"/>
      <c r="AP156" s="686">
        <f t="shared" si="21"/>
        <v>0</v>
      </c>
      <c r="AQ156" s="42"/>
      <c r="AR156" s="42"/>
      <c r="AS156" s="42"/>
      <c r="AT156" s="43"/>
      <c r="AU156" s="687">
        <f t="shared" si="22"/>
        <v>0</v>
      </c>
      <c r="AV156" s="42"/>
      <c r="AW156" s="42"/>
      <c r="AX156" s="42"/>
      <c r="AY156" s="43"/>
      <c r="AZ156" s="486"/>
      <c r="BA156" s="51"/>
      <c r="BB156" s="51"/>
      <c r="BC156" s="51"/>
      <c r="BD156" s="51"/>
      <c r="BE156" s="51"/>
      <c r="BF156" s="51"/>
      <c r="BG156" s="51"/>
      <c r="BH156" s="94"/>
      <c r="BI156" s="94"/>
      <c r="BJ156" s="94"/>
      <c r="BK156" s="94"/>
      <c r="BL156" s="94"/>
      <c r="BM156" s="483"/>
      <c r="BN156" s="94"/>
      <c r="BO156" s="94"/>
      <c r="BP156" s="94"/>
      <c r="BQ156" s="94"/>
      <c r="BR156" s="94"/>
      <c r="BS156" s="94"/>
      <c r="BT156" s="94"/>
      <c r="BU156" s="94"/>
      <c r="BV156" s="94"/>
      <c r="BW156" s="688">
        <f t="shared" si="18"/>
        <v>0</v>
      </c>
      <c r="BX156" s="51"/>
      <c r="BY156" s="51"/>
      <c r="BZ156" s="51"/>
      <c r="CA156" s="51"/>
      <c r="CB156" s="51"/>
      <c r="CC156" s="51"/>
      <c r="CD156" s="97"/>
      <c r="CE156" s="479"/>
      <c r="CF156" s="51"/>
      <c r="CG156" s="51"/>
      <c r="CH156" s="62"/>
      <c r="CI156" s="62"/>
      <c r="CJ156" s="51"/>
      <c r="CK156" s="51"/>
      <c r="CL156" s="95"/>
      <c r="CM156" s="93"/>
      <c r="CN156" s="51"/>
      <c r="CO156" s="51"/>
      <c r="CP156" s="51"/>
      <c r="CQ156" s="51"/>
      <c r="CR156" s="51"/>
      <c r="CS156" s="51"/>
      <c r="CT156" s="51"/>
      <c r="CU156" s="95"/>
      <c r="CV156" s="93"/>
      <c r="CW156" s="51"/>
      <c r="CX156" s="51"/>
      <c r="CY156" s="51"/>
      <c r="CZ156" s="51"/>
      <c r="DA156" s="51"/>
      <c r="DB156" s="51"/>
      <c r="DC156" s="51"/>
      <c r="DD156" s="95"/>
      <c r="DE156" s="93"/>
      <c r="DF156" s="51"/>
      <c r="DG156" s="51"/>
      <c r="DH156" s="51"/>
      <c r="DI156" s="51"/>
      <c r="DJ156" s="51"/>
      <c r="DK156" s="51"/>
      <c r="DL156" s="95"/>
      <c r="DM156" s="478"/>
      <c r="DN156" s="682">
        <f t="shared" si="23"/>
        <v>0</v>
      </c>
      <c r="DO156" s="683"/>
    </row>
    <row r="157" spans="1:119" ht="25.5" customHeight="1" thickTop="1" thickBot="1" x14ac:dyDescent="0.2">
      <c r="A157" s="676">
        <f t="shared" si="19"/>
        <v>142</v>
      </c>
      <c r="B157" s="1054"/>
      <c r="C157" s="1054"/>
      <c r="D157" s="83"/>
      <c r="E157" s="954"/>
      <c r="F157" s="52"/>
      <c r="G157" s="103"/>
      <c r="H157" s="1058"/>
      <c r="I157" s="684" t="str">
        <f t="shared" si="16"/>
        <v/>
      </c>
      <c r="J157" s="685">
        <f t="shared" si="17"/>
        <v>0</v>
      </c>
      <c r="K157" s="1252"/>
      <c r="L157" s="1251"/>
      <c r="M157" s="1257"/>
      <c r="N157" s="719" t="str">
        <f t="shared" si="20"/>
        <v/>
      </c>
      <c r="O157" s="720" t="str">
        <f>IF('Set up ~ Config'!$G$32=6,IF(OR($N157=7,$N157=8,$N157=9),1,IF(OR($N157=10,$N157=11,$N157=12),2,IF(OR($N157=1,$N157=2,$N157=3),3,IF(OR($N157=4,$N157=5,$N157=6),4,"")))),IF(OR($N157=9,$N157=10,$N157=11),1,IF(OR($N157=12,$N157=1,$N157=2),2,IF(OR($N157=3,$N157=4,$N157=5),3,IF(OR($N157=6,$N157=7,$N157=8),4,"")))))</f>
        <v/>
      </c>
      <c r="P157" s="99"/>
      <c r="Q157" s="62"/>
      <c r="R157" s="62"/>
      <c r="S157" s="51"/>
      <c r="T157" s="51"/>
      <c r="U157" s="51"/>
      <c r="V157" s="51"/>
      <c r="W157" s="51"/>
      <c r="X157" s="51"/>
      <c r="Y157" s="51"/>
      <c r="Z157" s="51"/>
      <c r="AA157" s="51"/>
      <c r="AB157" s="51"/>
      <c r="AC157" s="51"/>
      <c r="AD157" s="51"/>
      <c r="AE157" s="51"/>
      <c r="AF157" s="51"/>
      <c r="AG157" s="51"/>
      <c r="AH157" s="94"/>
      <c r="AI157" s="94"/>
      <c r="AJ157" s="94"/>
      <c r="AK157" s="94"/>
      <c r="AL157" s="94"/>
      <c r="AM157" s="94"/>
      <c r="AN157" s="94"/>
      <c r="AO157" s="95"/>
      <c r="AP157" s="686">
        <f t="shared" si="21"/>
        <v>0</v>
      </c>
      <c r="AQ157" s="42"/>
      <c r="AR157" s="42"/>
      <c r="AS157" s="42"/>
      <c r="AT157" s="43"/>
      <c r="AU157" s="687">
        <f t="shared" si="22"/>
        <v>0</v>
      </c>
      <c r="AV157" s="42"/>
      <c r="AW157" s="42"/>
      <c r="AX157" s="42"/>
      <c r="AY157" s="43"/>
      <c r="AZ157" s="486"/>
      <c r="BA157" s="51"/>
      <c r="BB157" s="51"/>
      <c r="BC157" s="51"/>
      <c r="BD157" s="51"/>
      <c r="BE157" s="51"/>
      <c r="BF157" s="51"/>
      <c r="BG157" s="51"/>
      <c r="BH157" s="94"/>
      <c r="BI157" s="94"/>
      <c r="BJ157" s="94"/>
      <c r="BK157" s="94"/>
      <c r="BL157" s="94"/>
      <c r="BM157" s="483"/>
      <c r="BN157" s="94"/>
      <c r="BO157" s="94"/>
      <c r="BP157" s="94"/>
      <c r="BQ157" s="94"/>
      <c r="BR157" s="94"/>
      <c r="BS157" s="94"/>
      <c r="BT157" s="94"/>
      <c r="BU157" s="94"/>
      <c r="BV157" s="94"/>
      <c r="BW157" s="688">
        <f t="shared" si="18"/>
        <v>0</v>
      </c>
      <c r="BX157" s="51"/>
      <c r="BY157" s="51"/>
      <c r="BZ157" s="51"/>
      <c r="CA157" s="51"/>
      <c r="CB157" s="51"/>
      <c r="CC157" s="51"/>
      <c r="CD157" s="97"/>
      <c r="CE157" s="479"/>
      <c r="CF157" s="51"/>
      <c r="CG157" s="51"/>
      <c r="CH157" s="62"/>
      <c r="CI157" s="62"/>
      <c r="CJ157" s="51"/>
      <c r="CK157" s="51"/>
      <c r="CL157" s="95"/>
      <c r="CM157" s="93"/>
      <c r="CN157" s="51"/>
      <c r="CO157" s="51"/>
      <c r="CP157" s="51"/>
      <c r="CQ157" s="51"/>
      <c r="CR157" s="51"/>
      <c r="CS157" s="51"/>
      <c r="CT157" s="51"/>
      <c r="CU157" s="95"/>
      <c r="CV157" s="93"/>
      <c r="CW157" s="51"/>
      <c r="CX157" s="51"/>
      <c r="CY157" s="51"/>
      <c r="CZ157" s="51"/>
      <c r="DA157" s="51"/>
      <c r="DB157" s="51"/>
      <c r="DC157" s="51"/>
      <c r="DD157" s="95"/>
      <c r="DE157" s="93"/>
      <c r="DF157" s="51"/>
      <c r="DG157" s="51"/>
      <c r="DH157" s="51"/>
      <c r="DI157" s="51"/>
      <c r="DJ157" s="51"/>
      <c r="DK157" s="51"/>
      <c r="DL157" s="95"/>
      <c r="DM157" s="478"/>
      <c r="DN157" s="682">
        <f t="shared" si="23"/>
        <v>0</v>
      </c>
      <c r="DO157" s="683"/>
    </row>
    <row r="158" spans="1:119" ht="25.5" customHeight="1" thickTop="1" thickBot="1" x14ac:dyDescent="0.2">
      <c r="A158" s="676">
        <f t="shared" si="19"/>
        <v>143</v>
      </c>
      <c r="B158" s="1054"/>
      <c r="C158" s="1054"/>
      <c r="D158" s="83"/>
      <c r="E158" s="954"/>
      <c r="F158" s="52"/>
      <c r="G158" s="103"/>
      <c r="H158" s="1058"/>
      <c r="I158" s="684" t="str">
        <f t="shared" si="16"/>
        <v/>
      </c>
      <c r="J158" s="685">
        <f t="shared" si="17"/>
        <v>0</v>
      </c>
      <c r="K158" s="1252"/>
      <c r="L158" s="1251"/>
      <c r="M158" s="1257"/>
      <c r="N158" s="719" t="str">
        <f t="shared" si="20"/>
        <v/>
      </c>
      <c r="O158" s="720" t="str">
        <f>IF('Set up ~ Config'!$G$32=6,IF(OR($N158=7,$N158=8,$N158=9),1,IF(OR($N158=10,$N158=11,$N158=12),2,IF(OR($N158=1,$N158=2,$N158=3),3,IF(OR($N158=4,$N158=5,$N158=6),4,"")))),IF(OR($N158=9,$N158=10,$N158=11),1,IF(OR($N158=12,$N158=1,$N158=2),2,IF(OR($N158=3,$N158=4,$N158=5),3,IF(OR($N158=6,$N158=7,$N158=8),4,"")))))</f>
        <v/>
      </c>
      <c r="P158" s="99"/>
      <c r="Q158" s="62"/>
      <c r="R158" s="62"/>
      <c r="S158" s="51"/>
      <c r="T158" s="51"/>
      <c r="U158" s="51"/>
      <c r="V158" s="51"/>
      <c r="W158" s="51"/>
      <c r="X158" s="51"/>
      <c r="Y158" s="51"/>
      <c r="Z158" s="51"/>
      <c r="AA158" s="51"/>
      <c r="AB158" s="51"/>
      <c r="AC158" s="51"/>
      <c r="AD158" s="51"/>
      <c r="AE158" s="51"/>
      <c r="AF158" s="51"/>
      <c r="AG158" s="51"/>
      <c r="AH158" s="94"/>
      <c r="AI158" s="94"/>
      <c r="AJ158" s="94"/>
      <c r="AK158" s="94"/>
      <c r="AL158" s="94"/>
      <c r="AM158" s="94"/>
      <c r="AN158" s="94"/>
      <c r="AO158" s="95"/>
      <c r="AP158" s="686">
        <f t="shared" si="21"/>
        <v>0</v>
      </c>
      <c r="AQ158" s="42"/>
      <c r="AR158" s="42"/>
      <c r="AS158" s="42"/>
      <c r="AT158" s="43"/>
      <c r="AU158" s="687">
        <f t="shared" si="22"/>
        <v>0</v>
      </c>
      <c r="AV158" s="42"/>
      <c r="AW158" s="42"/>
      <c r="AX158" s="42"/>
      <c r="AY158" s="43"/>
      <c r="AZ158" s="486"/>
      <c r="BA158" s="51"/>
      <c r="BB158" s="51"/>
      <c r="BC158" s="51"/>
      <c r="BD158" s="51"/>
      <c r="BE158" s="51"/>
      <c r="BF158" s="51"/>
      <c r="BG158" s="51"/>
      <c r="BH158" s="94"/>
      <c r="BI158" s="94"/>
      <c r="BJ158" s="94"/>
      <c r="BK158" s="94"/>
      <c r="BL158" s="94"/>
      <c r="BM158" s="483"/>
      <c r="BN158" s="94"/>
      <c r="BO158" s="94"/>
      <c r="BP158" s="94"/>
      <c r="BQ158" s="94"/>
      <c r="BR158" s="94"/>
      <c r="BS158" s="94"/>
      <c r="BT158" s="94"/>
      <c r="BU158" s="94"/>
      <c r="BV158" s="94"/>
      <c r="BW158" s="688">
        <f t="shared" si="18"/>
        <v>0</v>
      </c>
      <c r="BX158" s="51"/>
      <c r="BY158" s="51"/>
      <c r="BZ158" s="51"/>
      <c r="CA158" s="51"/>
      <c r="CB158" s="51"/>
      <c r="CC158" s="51"/>
      <c r="CD158" s="97"/>
      <c r="CE158" s="479"/>
      <c r="CF158" s="51"/>
      <c r="CG158" s="51"/>
      <c r="CH158" s="62"/>
      <c r="CI158" s="62"/>
      <c r="CJ158" s="51"/>
      <c r="CK158" s="51"/>
      <c r="CL158" s="95"/>
      <c r="CM158" s="93"/>
      <c r="CN158" s="51"/>
      <c r="CO158" s="51"/>
      <c r="CP158" s="51"/>
      <c r="CQ158" s="51"/>
      <c r="CR158" s="51"/>
      <c r="CS158" s="51"/>
      <c r="CT158" s="51"/>
      <c r="CU158" s="95"/>
      <c r="CV158" s="93"/>
      <c r="CW158" s="51"/>
      <c r="CX158" s="51"/>
      <c r="CY158" s="51"/>
      <c r="CZ158" s="51"/>
      <c r="DA158" s="51"/>
      <c r="DB158" s="51"/>
      <c r="DC158" s="51"/>
      <c r="DD158" s="95"/>
      <c r="DE158" s="93"/>
      <c r="DF158" s="51"/>
      <c r="DG158" s="51"/>
      <c r="DH158" s="51"/>
      <c r="DI158" s="51"/>
      <c r="DJ158" s="51"/>
      <c r="DK158" s="51"/>
      <c r="DL158" s="95"/>
      <c r="DM158" s="478"/>
      <c r="DN158" s="682">
        <f t="shared" si="23"/>
        <v>0</v>
      </c>
      <c r="DO158" s="683"/>
    </row>
    <row r="159" spans="1:119" ht="25.5" customHeight="1" thickTop="1" thickBot="1" x14ac:dyDescent="0.2">
      <c r="A159" s="676">
        <f t="shared" si="19"/>
        <v>144</v>
      </c>
      <c r="B159" s="1054"/>
      <c r="C159" s="1054"/>
      <c r="D159" s="83"/>
      <c r="E159" s="954"/>
      <c r="F159" s="52"/>
      <c r="G159" s="103"/>
      <c r="H159" s="1058"/>
      <c r="I159" s="684" t="str">
        <f t="shared" si="16"/>
        <v/>
      </c>
      <c r="J159" s="685">
        <f t="shared" si="17"/>
        <v>0</v>
      </c>
      <c r="K159" s="1252"/>
      <c r="L159" s="1251"/>
      <c r="M159" s="1257"/>
      <c r="N159" s="719" t="str">
        <f t="shared" si="20"/>
        <v/>
      </c>
      <c r="O159" s="720" t="str">
        <f>IF('Set up ~ Config'!$G$32=6,IF(OR($N159=7,$N159=8,$N159=9),1,IF(OR($N159=10,$N159=11,$N159=12),2,IF(OR($N159=1,$N159=2,$N159=3),3,IF(OR($N159=4,$N159=5,$N159=6),4,"")))),IF(OR($N159=9,$N159=10,$N159=11),1,IF(OR($N159=12,$N159=1,$N159=2),2,IF(OR($N159=3,$N159=4,$N159=5),3,IF(OR($N159=6,$N159=7,$N159=8),4,"")))))</f>
        <v/>
      </c>
      <c r="P159" s="99"/>
      <c r="Q159" s="62"/>
      <c r="R159" s="62"/>
      <c r="S159" s="51"/>
      <c r="T159" s="51"/>
      <c r="U159" s="51"/>
      <c r="V159" s="51"/>
      <c r="W159" s="51"/>
      <c r="X159" s="51"/>
      <c r="Y159" s="51"/>
      <c r="Z159" s="51"/>
      <c r="AA159" s="51"/>
      <c r="AB159" s="51"/>
      <c r="AC159" s="51"/>
      <c r="AD159" s="51"/>
      <c r="AE159" s="51"/>
      <c r="AF159" s="51"/>
      <c r="AG159" s="51"/>
      <c r="AH159" s="94"/>
      <c r="AI159" s="94"/>
      <c r="AJ159" s="94"/>
      <c r="AK159" s="94"/>
      <c r="AL159" s="94"/>
      <c r="AM159" s="94"/>
      <c r="AN159" s="94"/>
      <c r="AO159" s="95"/>
      <c r="AP159" s="686">
        <f t="shared" si="21"/>
        <v>0</v>
      </c>
      <c r="AQ159" s="42"/>
      <c r="AR159" s="42"/>
      <c r="AS159" s="42"/>
      <c r="AT159" s="43"/>
      <c r="AU159" s="687">
        <f t="shared" si="22"/>
        <v>0</v>
      </c>
      <c r="AV159" s="42"/>
      <c r="AW159" s="42"/>
      <c r="AX159" s="42"/>
      <c r="AY159" s="43"/>
      <c r="AZ159" s="486"/>
      <c r="BA159" s="51"/>
      <c r="BB159" s="51"/>
      <c r="BC159" s="51"/>
      <c r="BD159" s="51"/>
      <c r="BE159" s="51"/>
      <c r="BF159" s="51"/>
      <c r="BG159" s="51"/>
      <c r="BH159" s="94"/>
      <c r="BI159" s="94"/>
      <c r="BJ159" s="94"/>
      <c r="BK159" s="94"/>
      <c r="BL159" s="94"/>
      <c r="BM159" s="483"/>
      <c r="BN159" s="94"/>
      <c r="BO159" s="94"/>
      <c r="BP159" s="94"/>
      <c r="BQ159" s="94"/>
      <c r="BR159" s="94"/>
      <c r="BS159" s="94"/>
      <c r="BT159" s="94"/>
      <c r="BU159" s="94"/>
      <c r="BV159" s="94"/>
      <c r="BW159" s="688">
        <f t="shared" si="18"/>
        <v>0</v>
      </c>
      <c r="BX159" s="51"/>
      <c r="BY159" s="51"/>
      <c r="BZ159" s="51"/>
      <c r="CA159" s="51"/>
      <c r="CB159" s="51"/>
      <c r="CC159" s="51"/>
      <c r="CD159" s="97"/>
      <c r="CE159" s="479"/>
      <c r="CF159" s="51"/>
      <c r="CG159" s="51"/>
      <c r="CH159" s="62"/>
      <c r="CI159" s="62"/>
      <c r="CJ159" s="51"/>
      <c r="CK159" s="51"/>
      <c r="CL159" s="95"/>
      <c r="CM159" s="93"/>
      <c r="CN159" s="51"/>
      <c r="CO159" s="51"/>
      <c r="CP159" s="51"/>
      <c r="CQ159" s="51"/>
      <c r="CR159" s="51"/>
      <c r="CS159" s="51"/>
      <c r="CT159" s="51"/>
      <c r="CU159" s="95"/>
      <c r="CV159" s="93"/>
      <c r="CW159" s="51"/>
      <c r="CX159" s="51"/>
      <c r="CY159" s="51"/>
      <c r="CZ159" s="51"/>
      <c r="DA159" s="51"/>
      <c r="DB159" s="51"/>
      <c r="DC159" s="51"/>
      <c r="DD159" s="95"/>
      <c r="DE159" s="93"/>
      <c r="DF159" s="51"/>
      <c r="DG159" s="51"/>
      <c r="DH159" s="51"/>
      <c r="DI159" s="51"/>
      <c r="DJ159" s="51"/>
      <c r="DK159" s="51"/>
      <c r="DL159" s="95"/>
      <c r="DM159" s="478"/>
      <c r="DN159" s="682">
        <f t="shared" si="23"/>
        <v>0</v>
      </c>
      <c r="DO159" s="683"/>
    </row>
    <row r="160" spans="1:119" ht="25.5" customHeight="1" thickTop="1" thickBot="1" x14ac:dyDescent="0.2">
      <c r="A160" s="676">
        <f t="shared" si="19"/>
        <v>145</v>
      </c>
      <c r="B160" s="1054"/>
      <c r="C160" s="1054"/>
      <c r="D160" s="83"/>
      <c r="E160" s="954"/>
      <c r="F160" s="52"/>
      <c r="G160" s="103"/>
      <c r="H160" s="1058"/>
      <c r="I160" s="684" t="str">
        <f t="shared" si="16"/>
        <v/>
      </c>
      <c r="J160" s="685">
        <f t="shared" si="17"/>
        <v>0</v>
      </c>
      <c r="K160" s="1252"/>
      <c r="L160" s="1251"/>
      <c r="M160" s="1257"/>
      <c r="N160" s="719" t="str">
        <f t="shared" si="20"/>
        <v/>
      </c>
      <c r="O160" s="720" t="str">
        <f>IF('Set up ~ Config'!$G$32=6,IF(OR($N160=7,$N160=8,$N160=9),1,IF(OR($N160=10,$N160=11,$N160=12),2,IF(OR($N160=1,$N160=2,$N160=3),3,IF(OR($N160=4,$N160=5,$N160=6),4,"")))),IF(OR($N160=9,$N160=10,$N160=11),1,IF(OR($N160=12,$N160=1,$N160=2),2,IF(OR($N160=3,$N160=4,$N160=5),3,IF(OR($N160=6,$N160=7,$N160=8),4,"")))))</f>
        <v/>
      </c>
      <c r="P160" s="99"/>
      <c r="Q160" s="62"/>
      <c r="R160" s="62"/>
      <c r="S160" s="51"/>
      <c r="T160" s="51"/>
      <c r="U160" s="51"/>
      <c r="V160" s="51"/>
      <c r="W160" s="51"/>
      <c r="X160" s="51"/>
      <c r="Y160" s="51"/>
      <c r="Z160" s="51"/>
      <c r="AA160" s="51"/>
      <c r="AB160" s="51"/>
      <c r="AC160" s="51"/>
      <c r="AD160" s="51"/>
      <c r="AE160" s="51"/>
      <c r="AF160" s="51"/>
      <c r="AG160" s="51"/>
      <c r="AH160" s="94"/>
      <c r="AI160" s="94"/>
      <c r="AJ160" s="94"/>
      <c r="AK160" s="94"/>
      <c r="AL160" s="94"/>
      <c r="AM160" s="94"/>
      <c r="AN160" s="94"/>
      <c r="AO160" s="95"/>
      <c r="AP160" s="686">
        <f t="shared" si="21"/>
        <v>0</v>
      </c>
      <c r="AQ160" s="42"/>
      <c r="AR160" s="42"/>
      <c r="AS160" s="42"/>
      <c r="AT160" s="43"/>
      <c r="AU160" s="687">
        <f t="shared" si="22"/>
        <v>0</v>
      </c>
      <c r="AV160" s="42"/>
      <c r="AW160" s="42"/>
      <c r="AX160" s="42"/>
      <c r="AY160" s="43"/>
      <c r="AZ160" s="486"/>
      <c r="BA160" s="51"/>
      <c r="BB160" s="51"/>
      <c r="BC160" s="51"/>
      <c r="BD160" s="51"/>
      <c r="BE160" s="51"/>
      <c r="BF160" s="51"/>
      <c r="BG160" s="51"/>
      <c r="BH160" s="94"/>
      <c r="BI160" s="94"/>
      <c r="BJ160" s="94"/>
      <c r="BK160" s="94"/>
      <c r="BL160" s="94"/>
      <c r="BM160" s="483"/>
      <c r="BN160" s="94"/>
      <c r="BO160" s="94"/>
      <c r="BP160" s="94"/>
      <c r="BQ160" s="94"/>
      <c r="BR160" s="94"/>
      <c r="BS160" s="94"/>
      <c r="BT160" s="94"/>
      <c r="BU160" s="94"/>
      <c r="BV160" s="94"/>
      <c r="BW160" s="688">
        <f t="shared" si="18"/>
        <v>0</v>
      </c>
      <c r="BX160" s="51"/>
      <c r="BY160" s="51"/>
      <c r="BZ160" s="51"/>
      <c r="CA160" s="51"/>
      <c r="CB160" s="51"/>
      <c r="CC160" s="51"/>
      <c r="CD160" s="97"/>
      <c r="CE160" s="479"/>
      <c r="CF160" s="51"/>
      <c r="CG160" s="51"/>
      <c r="CH160" s="62"/>
      <c r="CI160" s="62"/>
      <c r="CJ160" s="51"/>
      <c r="CK160" s="51"/>
      <c r="CL160" s="95"/>
      <c r="CM160" s="93"/>
      <c r="CN160" s="51"/>
      <c r="CO160" s="51"/>
      <c r="CP160" s="51"/>
      <c r="CQ160" s="51"/>
      <c r="CR160" s="51"/>
      <c r="CS160" s="51"/>
      <c r="CT160" s="51"/>
      <c r="CU160" s="95"/>
      <c r="CV160" s="93"/>
      <c r="CW160" s="51"/>
      <c r="CX160" s="51"/>
      <c r="CY160" s="51"/>
      <c r="CZ160" s="51"/>
      <c r="DA160" s="51"/>
      <c r="DB160" s="51"/>
      <c r="DC160" s="51"/>
      <c r="DD160" s="95"/>
      <c r="DE160" s="93"/>
      <c r="DF160" s="51"/>
      <c r="DG160" s="51"/>
      <c r="DH160" s="51"/>
      <c r="DI160" s="51"/>
      <c r="DJ160" s="51"/>
      <c r="DK160" s="51"/>
      <c r="DL160" s="95"/>
      <c r="DM160" s="478"/>
      <c r="DN160" s="682">
        <f t="shared" si="23"/>
        <v>0</v>
      </c>
      <c r="DO160" s="683"/>
    </row>
    <row r="161" spans="1:119" ht="25.5" customHeight="1" thickTop="1" thickBot="1" x14ac:dyDescent="0.2">
      <c r="A161" s="676">
        <f t="shared" si="19"/>
        <v>146</v>
      </c>
      <c r="B161" s="1054"/>
      <c r="C161" s="1054"/>
      <c r="D161" s="83"/>
      <c r="E161" s="954"/>
      <c r="F161" s="52"/>
      <c r="G161" s="103"/>
      <c r="H161" s="1058"/>
      <c r="I161" s="684" t="str">
        <f t="shared" si="16"/>
        <v/>
      </c>
      <c r="J161" s="685">
        <f t="shared" si="17"/>
        <v>0</v>
      </c>
      <c r="K161" s="1252"/>
      <c r="L161" s="1251"/>
      <c r="M161" s="1257"/>
      <c r="N161" s="719" t="str">
        <f t="shared" si="20"/>
        <v/>
      </c>
      <c r="O161" s="720" t="str">
        <f>IF('Set up ~ Config'!$G$32=6,IF(OR($N161=7,$N161=8,$N161=9),1,IF(OR($N161=10,$N161=11,$N161=12),2,IF(OR($N161=1,$N161=2,$N161=3),3,IF(OR($N161=4,$N161=5,$N161=6),4,"")))),IF(OR($N161=9,$N161=10,$N161=11),1,IF(OR($N161=12,$N161=1,$N161=2),2,IF(OR($N161=3,$N161=4,$N161=5),3,IF(OR($N161=6,$N161=7,$N161=8),4,"")))))</f>
        <v/>
      </c>
      <c r="P161" s="99"/>
      <c r="Q161" s="62"/>
      <c r="R161" s="62"/>
      <c r="S161" s="51"/>
      <c r="T161" s="51"/>
      <c r="U161" s="51"/>
      <c r="V161" s="51"/>
      <c r="W161" s="51"/>
      <c r="X161" s="51"/>
      <c r="Y161" s="51"/>
      <c r="Z161" s="51"/>
      <c r="AA161" s="51"/>
      <c r="AB161" s="51"/>
      <c r="AC161" s="51"/>
      <c r="AD161" s="51"/>
      <c r="AE161" s="51"/>
      <c r="AF161" s="51"/>
      <c r="AG161" s="51"/>
      <c r="AH161" s="94"/>
      <c r="AI161" s="94"/>
      <c r="AJ161" s="94"/>
      <c r="AK161" s="94"/>
      <c r="AL161" s="94"/>
      <c r="AM161" s="94"/>
      <c r="AN161" s="94"/>
      <c r="AO161" s="95"/>
      <c r="AP161" s="686">
        <f t="shared" si="21"/>
        <v>0</v>
      </c>
      <c r="AQ161" s="42"/>
      <c r="AR161" s="42"/>
      <c r="AS161" s="42"/>
      <c r="AT161" s="43"/>
      <c r="AU161" s="687">
        <f t="shared" si="22"/>
        <v>0</v>
      </c>
      <c r="AV161" s="42"/>
      <c r="AW161" s="42"/>
      <c r="AX161" s="42"/>
      <c r="AY161" s="43"/>
      <c r="AZ161" s="486"/>
      <c r="BA161" s="51"/>
      <c r="BB161" s="51"/>
      <c r="BC161" s="51"/>
      <c r="BD161" s="51"/>
      <c r="BE161" s="51"/>
      <c r="BF161" s="51"/>
      <c r="BG161" s="51"/>
      <c r="BH161" s="94"/>
      <c r="BI161" s="94"/>
      <c r="BJ161" s="94"/>
      <c r="BK161" s="94"/>
      <c r="BL161" s="94"/>
      <c r="BM161" s="483"/>
      <c r="BN161" s="94"/>
      <c r="BO161" s="94"/>
      <c r="BP161" s="94"/>
      <c r="BQ161" s="94"/>
      <c r="BR161" s="94"/>
      <c r="BS161" s="94"/>
      <c r="BT161" s="94"/>
      <c r="BU161" s="94"/>
      <c r="BV161" s="94"/>
      <c r="BW161" s="688">
        <f t="shared" si="18"/>
        <v>0</v>
      </c>
      <c r="BX161" s="51"/>
      <c r="BY161" s="51"/>
      <c r="BZ161" s="51"/>
      <c r="CA161" s="51"/>
      <c r="CB161" s="51"/>
      <c r="CC161" s="51"/>
      <c r="CD161" s="97"/>
      <c r="CE161" s="479"/>
      <c r="CF161" s="51"/>
      <c r="CG161" s="51"/>
      <c r="CH161" s="62"/>
      <c r="CI161" s="62"/>
      <c r="CJ161" s="51"/>
      <c r="CK161" s="51"/>
      <c r="CL161" s="95"/>
      <c r="CM161" s="93"/>
      <c r="CN161" s="51"/>
      <c r="CO161" s="51"/>
      <c r="CP161" s="51"/>
      <c r="CQ161" s="51"/>
      <c r="CR161" s="51"/>
      <c r="CS161" s="51"/>
      <c r="CT161" s="51"/>
      <c r="CU161" s="95"/>
      <c r="CV161" s="93"/>
      <c r="CW161" s="51"/>
      <c r="CX161" s="51"/>
      <c r="CY161" s="51"/>
      <c r="CZ161" s="51"/>
      <c r="DA161" s="51"/>
      <c r="DB161" s="51"/>
      <c r="DC161" s="51"/>
      <c r="DD161" s="95"/>
      <c r="DE161" s="93"/>
      <c r="DF161" s="51"/>
      <c r="DG161" s="51"/>
      <c r="DH161" s="51"/>
      <c r="DI161" s="51"/>
      <c r="DJ161" s="51"/>
      <c r="DK161" s="51"/>
      <c r="DL161" s="95"/>
      <c r="DM161" s="478"/>
      <c r="DN161" s="682">
        <f t="shared" si="23"/>
        <v>0</v>
      </c>
      <c r="DO161" s="683"/>
    </row>
    <row r="162" spans="1:119" ht="25.5" customHeight="1" thickTop="1" thickBot="1" x14ac:dyDescent="0.2">
      <c r="A162" s="676">
        <f t="shared" si="19"/>
        <v>147</v>
      </c>
      <c r="B162" s="1054"/>
      <c r="C162" s="1054"/>
      <c r="D162" s="83"/>
      <c r="E162" s="954"/>
      <c r="F162" s="52"/>
      <c r="G162" s="103"/>
      <c r="H162" s="1058"/>
      <c r="I162" s="684" t="str">
        <f t="shared" si="16"/>
        <v/>
      </c>
      <c r="J162" s="685">
        <f t="shared" si="17"/>
        <v>0</v>
      </c>
      <c r="K162" s="1252"/>
      <c r="L162" s="1251"/>
      <c r="M162" s="1257"/>
      <c r="N162" s="719" t="str">
        <f t="shared" si="20"/>
        <v/>
      </c>
      <c r="O162" s="720" t="str">
        <f>IF('Set up ~ Config'!$G$32=6,IF(OR($N162=7,$N162=8,$N162=9),1,IF(OR($N162=10,$N162=11,$N162=12),2,IF(OR($N162=1,$N162=2,$N162=3),3,IF(OR($N162=4,$N162=5,$N162=6),4,"")))),IF(OR($N162=9,$N162=10,$N162=11),1,IF(OR($N162=12,$N162=1,$N162=2),2,IF(OR($N162=3,$N162=4,$N162=5),3,IF(OR($N162=6,$N162=7,$N162=8),4,"")))))</f>
        <v/>
      </c>
      <c r="P162" s="99"/>
      <c r="Q162" s="62"/>
      <c r="R162" s="62"/>
      <c r="S162" s="51"/>
      <c r="T162" s="51"/>
      <c r="U162" s="51"/>
      <c r="V162" s="51"/>
      <c r="W162" s="51"/>
      <c r="X162" s="51"/>
      <c r="Y162" s="51"/>
      <c r="Z162" s="51"/>
      <c r="AA162" s="51"/>
      <c r="AB162" s="51"/>
      <c r="AC162" s="51"/>
      <c r="AD162" s="51"/>
      <c r="AE162" s="51"/>
      <c r="AF162" s="51"/>
      <c r="AG162" s="51"/>
      <c r="AH162" s="94"/>
      <c r="AI162" s="94"/>
      <c r="AJ162" s="94"/>
      <c r="AK162" s="94"/>
      <c r="AL162" s="94"/>
      <c r="AM162" s="94"/>
      <c r="AN162" s="94"/>
      <c r="AO162" s="95"/>
      <c r="AP162" s="686">
        <f t="shared" si="21"/>
        <v>0</v>
      </c>
      <c r="AQ162" s="42"/>
      <c r="AR162" s="42"/>
      <c r="AS162" s="42"/>
      <c r="AT162" s="43"/>
      <c r="AU162" s="687">
        <f t="shared" si="22"/>
        <v>0</v>
      </c>
      <c r="AV162" s="42"/>
      <c r="AW162" s="42"/>
      <c r="AX162" s="42"/>
      <c r="AY162" s="43"/>
      <c r="AZ162" s="486"/>
      <c r="BA162" s="51"/>
      <c r="BB162" s="51"/>
      <c r="BC162" s="51"/>
      <c r="BD162" s="51"/>
      <c r="BE162" s="51"/>
      <c r="BF162" s="51"/>
      <c r="BG162" s="51"/>
      <c r="BH162" s="94"/>
      <c r="BI162" s="94"/>
      <c r="BJ162" s="94"/>
      <c r="BK162" s="94"/>
      <c r="BL162" s="94"/>
      <c r="BM162" s="483"/>
      <c r="BN162" s="94"/>
      <c r="BO162" s="94"/>
      <c r="BP162" s="94"/>
      <c r="BQ162" s="94"/>
      <c r="BR162" s="94"/>
      <c r="BS162" s="94"/>
      <c r="BT162" s="94"/>
      <c r="BU162" s="94"/>
      <c r="BV162" s="94"/>
      <c r="BW162" s="688">
        <f t="shared" si="18"/>
        <v>0</v>
      </c>
      <c r="BX162" s="51"/>
      <c r="BY162" s="51"/>
      <c r="BZ162" s="51"/>
      <c r="CA162" s="51"/>
      <c r="CB162" s="51"/>
      <c r="CC162" s="51"/>
      <c r="CD162" s="97"/>
      <c r="CE162" s="479"/>
      <c r="CF162" s="51"/>
      <c r="CG162" s="51"/>
      <c r="CH162" s="62"/>
      <c r="CI162" s="62"/>
      <c r="CJ162" s="51"/>
      <c r="CK162" s="51"/>
      <c r="CL162" s="95"/>
      <c r="CM162" s="93"/>
      <c r="CN162" s="51"/>
      <c r="CO162" s="51"/>
      <c r="CP162" s="51"/>
      <c r="CQ162" s="51"/>
      <c r="CR162" s="51"/>
      <c r="CS162" s="51"/>
      <c r="CT162" s="51"/>
      <c r="CU162" s="95"/>
      <c r="CV162" s="93"/>
      <c r="CW162" s="51"/>
      <c r="CX162" s="51"/>
      <c r="CY162" s="51"/>
      <c r="CZ162" s="51"/>
      <c r="DA162" s="51"/>
      <c r="DB162" s="51"/>
      <c r="DC162" s="51"/>
      <c r="DD162" s="95"/>
      <c r="DE162" s="93"/>
      <c r="DF162" s="51"/>
      <c r="DG162" s="51"/>
      <c r="DH162" s="51"/>
      <c r="DI162" s="51"/>
      <c r="DJ162" s="51"/>
      <c r="DK162" s="51"/>
      <c r="DL162" s="95"/>
      <c r="DM162" s="478"/>
      <c r="DN162" s="682">
        <f t="shared" si="23"/>
        <v>0</v>
      </c>
      <c r="DO162" s="683"/>
    </row>
    <row r="163" spans="1:119" ht="25.5" customHeight="1" thickTop="1" thickBot="1" x14ac:dyDescent="0.2">
      <c r="A163" s="676">
        <f t="shared" si="19"/>
        <v>148</v>
      </c>
      <c r="B163" s="1054"/>
      <c r="C163" s="1054"/>
      <c r="D163" s="83"/>
      <c r="E163" s="954"/>
      <c r="F163" s="52"/>
      <c r="G163" s="103"/>
      <c r="H163" s="1058"/>
      <c r="I163" s="684" t="str">
        <f t="shared" si="16"/>
        <v/>
      </c>
      <c r="J163" s="685">
        <f t="shared" si="17"/>
        <v>0</v>
      </c>
      <c r="K163" s="1252"/>
      <c r="L163" s="1251"/>
      <c r="M163" s="1257"/>
      <c r="N163" s="719" t="str">
        <f t="shared" si="20"/>
        <v/>
      </c>
      <c r="O163" s="720" t="str">
        <f>IF('Set up ~ Config'!$G$32=6,IF(OR($N163=7,$N163=8,$N163=9),1,IF(OR($N163=10,$N163=11,$N163=12),2,IF(OR($N163=1,$N163=2,$N163=3),3,IF(OR($N163=4,$N163=5,$N163=6),4,"")))),IF(OR($N163=9,$N163=10,$N163=11),1,IF(OR($N163=12,$N163=1,$N163=2),2,IF(OR($N163=3,$N163=4,$N163=5),3,IF(OR($N163=6,$N163=7,$N163=8),4,"")))))</f>
        <v/>
      </c>
      <c r="P163" s="99"/>
      <c r="Q163" s="62"/>
      <c r="R163" s="62"/>
      <c r="S163" s="51"/>
      <c r="T163" s="51"/>
      <c r="U163" s="51"/>
      <c r="V163" s="51"/>
      <c r="W163" s="51"/>
      <c r="X163" s="51"/>
      <c r="Y163" s="51"/>
      <c r="Z163" s="51"/>
      <c r="AA163" s="51"/>
      <c r="AB163" s="51"/>
      <c r="AC163" s="51"/>
      <c r="AD163" s="51"/>
      <c r="AE163" s="51"/>
      <c r="AF163" s="51"/>
      <c r="AG163" s="51"/>
      <c r="AH163" s="94"/>
      <c r="AI163" s="94"/>
      <c r="AJ163" s="94"/>
      <c r="AK163" s="94"/>
      <c r="AL163" s="94"/>
      <c r="AM163" s="94"/>
      <c r="AN163" s="94"/>
      <c r="AO163" s="95"/>
      <c r="AP163" s="686">
        <f t="shared" si="21"/>
        <v>0</v>
      </c>
      <c r="AQ163" s="42"/>
      <c r="AR163" s="42"/>
      <c r="AS163" s="42"/>
      <c r="AT163" s="43"/>
      <c r="AU163" s="687">
        <f t="shared" si="22"/>
        <v>0</v>
      </c>
      <c r="AV163" s="42"/>
      <c r="AW163" s="42"/>
      <c r="AX163" s="42"/>
      <c r="AY163" s="43"/>
      <c r="AZ163" s="486"/>
      <c r="BA163" s="51"/>
      <c r="BB163" s="51"/>
      <c r="BC163" s="51"/>
      <c r="BD163" s="51"/>
      <c r="BE163" s="51"/>
      <c r="BF163" s="51"/>
      <c r="BG163" s="51"/>
      <c r="BH163" s="94"/>
      <c r="BI163" s="94"/>
      <c r="BJ163" s="94"/>
      <c r="BK163" s="94"/>
      <c r="BL163" s="94"/>
      <c r="BM163" s="483"/>
      <c r="BN163" s="94"/>
      <c r="BO163" s="94"/>
      <c r="BP163" s="94"/>
      <c r="BQ163" s="94"/>
      <c r="BR163" s="94"/>
      <c r="BS163" s="94"/>
      <c r="BT163" s="94"/>
      <c r="BU163" s="94"/>
      <c r="BV163" s="94"/>
      <c r="BW163" s="688">
        <f t="shared" si="18"/>
        <v>0</v>
      </c>
      <c r="BX163" s="51"/>
      <c r="BY163" s="51"/>
      <c r="BZ163" s="51"/>
      <c r="CA163" s="51"/>
      <c r="CB163" s="51"/>
      <c r="CC163" s="51"/>
      <c r="CD163" s="97"/>
      <c r="CE163" s="479"/>
      <c r="CF163" s="51"/>
      <c r="CG163" s="51"/>
      <c r="CH163" s="62"/>
      <c r="CI163" s="62"/>
      <c r="CJ163" s="51"/>
      <c r="CK163" s="51"/>
      <c r="CL163" s="95"/>
      <c r="CM163" s="93"/>
      <c r="CN163" s="51"/>
      <c r="CO163" s="51"/>
      <c r="CP163" s="51"/>
      <c r="CQ163" s="51"/>
      <c r="CR163" s="51"/>
      <c r="CS163" s="51"/>
      <c r="CT163" s="51"/>
      <c r="CU163" s="95"/>
      <c r="CV163" s="93"/>
      <c r="CW163" s="51"/>
      <c r="CX163" s="51"/>
      <c r="CY163" s="51"/>
      <c r="CZ163" s="51"/>
      <c r="DA163" s="51"/>
      <c r="DB163" s="51"/>
      <c r="DC163" s="51"/>
      <c r="DD163" s="95"/>
      <c r="DE163" s="93"/>
      <c r="DF163" s="51"/>
      <c r="DG163" s="51"/>
      <c r="DH163" s="51"/>
      <c r="DI163" s="51"/>
      <c r="DJ163" s="51"/>
      <c r="DK163" s="51"/>
      <c r="DL163" s="95"/>
      <c r="DM163" s="478"/>
      <c r="DN163" s="682">
        <f t="shared" si="23"/>
        <v>0</v>
      </c>
      <c r="DO163" s="683"/>
    </row>
    <row r="164" spans="1:119" ht="25.5" customHeight="1" thickTop="1" thickBot="1" x14ac:dyDescent="0.2">
      <c r="A164" s="676">
        <f t="shared" si="19"/>
        <v>149</v>
      </c>
      <c r="B164" s="1054"/>
      <c r="C164" s="1054"/>
      <c r="D164" s="83"/>
      <c r="E164" s="954"/>
      <c r="F164" s="52"/>
      <c r="G164" s="103"/>
      <c r="H164" s="1058"/>
      <c r="I164" s="684" t="str">
        <f t="shared" si="16"/>
        <v/>
      </c>
      <c r="J164" s="685">
        <f t="shared" si="17"/>
        <v>0</v>
      </c>
      <c r="K164" s="1252"/>
      <c r="L164" s="1251"/>
      <c r="M164" s="1257"/>
      <c r="N164" s="719" t="str">
        <f t="shared" si="20"/>
        <v/>
      </c>
      <c r="O164" s="720" t="str">
        <f>IF('Set up ~ Config'!$G$32=6,IF(OR($N164=7,$N164=8,$N164=9),1,IF(OR($N164=10,$N164=11,$N164=12),2,IF(OR($N164=1,$N164=2,$N164=3),3,IF(OR($N164=4,$N164=5,$N164=6),4,"")))),IF(OR($N164=9,$N164=10,$N164=11),1,IF(OR($N164=12,$N164=1,$N164=2),2,IF(OR($N164=3,$N164=4,$N164=5),3,IF(OR($N164=6,$N164=7,$N164=8),4,"")))))</f>
        <v/>
      </c>
      <c r="P164" s="99"/>
      <c r="Q164" s="62"/>
      <c r="R164" s="62"/>
      <c r="S164" s="51"/>
      <c r="T164" s="51"/>
      <c r="U164" s="51"/>
      <c r="V164" s="51"/>
      <c r="W164" s="51"/>
      <c r="X164" s="51"/>
      <c r="Y164" s="51"/>
      <c r="Z164" s="51"/>
      <c r="AA164" s="51"/>
      <c r="AB164" s="51"/>
      <c r="AC164" s="51"/>
      <c r="AD164" s="51"/>
      <c r="AE164" s="51"/>
      <c r="AF164" s="51"/>
      <c r="AG164" s="51"/>
      <c r="AH164" s="94"/>
      <c r="AI164" s="94"/>
      <c r="AJ164" s="94"/>
      <c r="AK164" s="94"/>
      <c r="AL164" s="94"/>
      <c r="AM164" s="94"/>
      <c r="AN164" s="94"/>
      <c r="AO164" s="95"/>
      <c r="AP164" s="686">
        <f t="shared" si="21"/>
        <v>0</v>
      </c>
      <c r="AQ164" s="42"/>
      <c r="AR164" s="42"/>
      <c r="AS164" s="42"/>
      <c r="AT164" s="43"/>
      <c r="AU164" s="687">
        <f t="shared" si="22"/>
        <v>0</v>
      </c>
      <c r="AV164" s="42"/>
      <c r="AW164" s="42"/>
      <c r="AX164" s="42"/>
      <c r="AY164" s="43"/>
      <c r="AZ164" s="486"/>
      <c r="BA164" s="51"/>
      <c r="BB164" s="51"/>
      <c r="BC164" s="51"/>
      <c r="BD164" s="51"/>
      <c r="BE164" s="51"/>
      <c r="BF164" s="51"/>
      <c r="BG164" s="51"/>
      <c r="BH164" s="94"/>
      <c r="BI164" s="94"/>
      <c r="BJ164" s="94"/>
      <c r="BK164" s="94"/>
      <c r="BL164" s="94"/>
      <c r="BM164" s="483"/>
      <c r="BN164" s="94"/>
      <c r="BO164" s="94"/>
      <c r="BP164" s="94"/>
      <c r="BQ164" s="94"/>
      <c r="BR164" s="94"/>
      <c r="BS164" s="94"/>
      <c r="BT164" s="94"/>
      <c r="BU164" s="94"/>
      <c r="BV164" s="94"/>
      <c r="BW164" s="688">
        <f t="shared" si="18"/>
        <v>0</v>
      </c>
      <c r="BX164" s="51"/>
      <c r="BY164" s="51"/>
      <c r="BZ164" s="51"/>
      <c r="CA164" s="51"/>
      <c r="CB164" s="51"/>
      <c r="CC164" s="51"/>
      <c r="CD164" s="97"/>
      <c r="CE164" s="479"/>
      <c r="CF164" s="51"/>
      <c r="CG164" s="51"/>
      <c r="CH164" s="62"/>
      <c r="CI164" s="62"/>
      <c r="CJ164" s="51"/>
      <c r="CK164" s="51"/>
      <c r="CL164" s="95"/>
      <c r="CM164" s="93"/>
      <c r="CN164" s="51"/>
      <c r="CO164" s="51"/>
      <c r="CP164" s="51"/>
      <c r="CQ164" s="51"/>
      <c r="CR164" s="51"/>
      <c r="CS164" s="51"/>
      <c r="CT164" s="51"/>
      <c r="CU164" s="95"/>
      <c r="CV164" s="93"/>
      <c r="CW164" s="51"/>
      <c r="CX164" s="51"/>
      <c r="CY164" s="51"/>
      <c r="CZ164" s="51"/>
      <c r="DA164" s="51"/>
      <c r="DB164" s="51"/>
      <c r="DC164" s="51"/>
      <c r="DD164" s="95"/>
      <c r="DE164" s="93"/>
      <c r="DF164" s="51"/>
      <c r="DG164" s="51"/>
      <c r="DH164" s="51"/>
      <c r="DI164" s="51"/>
      <c r="DJ164" s="51"/>
      <c r="DK164" s="51"/>
      <c r="DL164" s="95"/>
      <c r="DM164" s="478"/>
      <c r="DN164" s="682">
        <f t="shared" si="23"/>
        <v>0</v>
      </c>
      <c r="DO164" s="683"/>
    </row>
    <row r="165" spans="1:119" ht="25.5" customHeight="1" thickTop="1" thickBot="1" x14ac:dyDescent="0.2">
      <c r="A165" s="676">
        <f t="shared" si="19"/>
        <v>150</v>
      </c>
      <c r="B165" s="1054"/>
      <c r="C165" s="1054"/>
      <c r="D165" s="83"/>
      <c r="E165" s="954"/>
      <c r="F165" s="52"/>
      <c r="G165" s="103"/>
      <c r="H165" s="1058"/>
      <c r="I165" s="684" t="str">
        <f t="shared" si="16"/>
        <v/>
      </c>
      <c r="J165" s="685">
        <f t="shared" si="17"/>
        <v>0</v>
      </c>
      <c r="K165" s="1252"/>
      <c r="L165" s="1251"/>
      <c r="M165" s="1257"/>
      <c r="N165" s="719" t="str">
        <f t="shared" si="20"/>
        <v/>
      </c>
      <c r="O165" s="720" t="str">
        <f>IF('Set up ~ Config'!$G$32=6,IF(OR($N165=7,$N165=8,$N165=9),1,IF(OR($N165=10,$N165=11,$N165=12),2,IF(OR($N165=1,$N165=2,$N165=3),3,IF(OR($N165=4,$N165=5,$N165=6),4,"")))),IF(OR($N165=9,$N165=10,$N165=11),1,IF(OR($N165=12,$N165=1,$N165=2),2,IF(OR($N165=3,$N165=4,$N165=5),3,IF(OR($N165=6,$N165=7,$N165=8),4,"")))))</f>
        <v/>
      </c>
      <c r="P165" s="99"/>
      <c r="Q165" s="62"/>
      <c r="R165" s="62"/>
      <c r="S165" s="51"/>
      <c r="T165" s="51"/>
      <c r="U165" s="51"/>
      <c r="V165" s="51"/>
      <c r="W165" s="51"/>
      <c r="X165" s="51"/>
      <c r="Y165" s="51"/>
      <c r="Z165" s="51"/>
      <c r="AA165" s="51"/>
      <c r="AB165" s="51"/>
      <c r="AC165" s="51"/>
      <c r="AD165" s="51"/>
      <c r="AE165" s="51"/>
      <c r="AF165" s="51"/>
      <c r="AG165" s="51"/>
      <c r="AH165" s="94"/>
      <c r="AI165" s="94"/>
      <c r="AJ165" s="94"/>
      <c r="AK165" s="94"/>
      <c r="AL165" s="94"/>
      <c r="AM165" s="94"/>
      <c r="AN165" s="94"/>
      <c r="AO165" s="95"/>
      <c r="AP165" s="686">
        <f t="shared" si="21"/>
        <v>0</v>
      </c>
      <c r="AQ165" s="42"/>
      <c r="AR165" s="42"/>
      <c r="AS165" s="42"/>
      <c r="AT165" s="43"/>
      <c r="AU165" s="687">
        <f t="shared" si="22"/>
        <v>0</v>
      </c>
      <c r="AV165" s="42"/>
      <c r="AW165" s="42"/>
      <c r="AX165" s="42"/>
      <c r="AY165" s="43"/>
      <c r="AZ165" s="486"/>
      <c r="BA165" s="51"/>
      <c r="BB165" s="51"/>
      <c r="BC165" s="51"/>
      <c r="BD165" s="51"/>
      <c r="BE165" s="51"/>
      <c r="BF165" s="51"/>
      <c r="BG165" s="51"/>
      <c r="BH165" s="94"/>
      <c r="BI165" s="94"/>
      <c r="BJ165" s="94"/>
      <c r="BK165" s="94"/>
      <c r="BL165" s="94"/>
      <c r="BM165" s="483"/>
      <c r="BN165" s="94"/>
      <c r="BO165" s="94"/>
      <c r="BP165" s="94"/>
      <c r="BQ165" s="94"/>
      <c r="BR165" s="94"/>
      <c r="BS165" s="94"/>
      <c r="BT165" s="94"/>
      <c r="BU165" s="94"/>
      <c r="BV165" s="94"/>
      <c r="BW165" s="688">
        <f t="shared" si="18"/>
        <v>0</v>
      </c>
      <c r="BX165" s="51"/>
      <c r="BY165" s="51"/>
      <c r="BZ165" s="51"/>
      <c r="CA165" s="51"/>
      <c r="CB165" s="51"/>
      <c r="CC165" s="51"/>
      <c r="CD165" s="97"/>
      <c r="CE165" s="479"/>
      <c r="CF165" s="51"/>
      <c r="CG165" s="51"/>
      <c r="CH165" s="62"/>
      <c r="CI165" s="62"/>
      <c r="CJ165" s="51"/>
      <c r="CK165" s="51"/>
      <c r="CL165" s="95"/>
      <c r="CM165" s="93"/>
      <c r="CN165" s="51"/>
      <c r="CO165" s="51"/>
      <c r="CP165" s="51"/>
      <c r="CQ165" s="51"/>
      <c r="CR165" s="51"/>
      <c r="CS165" s="51"/>
      <c r="CT165" s="51"/>
      <c r="CU165" s="95"/>
      <c r="CV165" s="93"/>
      <c r="CW165" s="51"/>
      <c r="CX165" s="51"/>
      <c r="CY165" s="51"/>
      <c r="CZ165" s="51"/>
      <c r="DA165" s="51"/>
      <c r="DB165" s="51"/>
      <c r="DC165" s="51"/>
      <c r="DD165" s="95"/>
      <c r="DE165" s="93"/>
      <c r="DF165" s="51"/>
      <c r="DG165" s="51"/>
      <c r="DH165" s="51"/>
      <c r="DI165" s="51"/>
      <c r="DJ165" s="51"/>
      <c r="DK165" s="51"/>
      <c r="DL165" s="95"/>
      <c r="DM165" s="478"/>
      <c r="DN165" s="682">
        <f t="shared" si="23"/>
        <v>0</v>
      </c>
      <c r="DO165" s="683"/>
    </row>
    <row r="166" spans="1:119" ht="25.5" customHeight="1" thickTop="1" thickBot="1" x14ac:dyDescent="0.2">
      <c r="A166" s="676">
        <f t="shared" si="19"/>
        <v>151</v>
      </c>
      <c r="B166" s="1054"/>
      <c r="C166" s="1054"/>
      <c r="D166" s="83"/>
      <c r="E166" s="954"/>
      <c r="F166" s="52"/>
      <c r="G166" s="103"/>
      <c r="H166" s="1058"/>
      <c r="I166" s="684" t="str">
        <f t="shared" si="16"/>
        <v/>
      </c>
      <c r="J166" s="685">
        <f t="shared" si="17"/>
        <v>0</v>
      </c>
      <c r="K166" s="1258"/>
      <c r="L166" s="1251"/>
      <c r="M166" s="1257"/>
      <c r="N166" s="719" t="str">
        <f t="shared" si="20"/>
        <v/>
      </c>
      <c r="O166" s="720" t="str">
        <f>IF('Set up ~ Config'!$G$32=6,IF(OR($N166=7,$N166=8,$N166=9),1,IF(OR($N166=10,$N166=11,$N166=12),2,IF(OR($N166=1,$N166=2,$N166=3),3,IF(OR($N166=4,$N166=5,$N166=6),4,"")))),IF(OR($N166=9,$N166=10,$N166=11),1,IF(OR($N166=12,$N166=1,$N166=2),2,IF(OR($N166=3,$N166=4,$N166=5),3,IF(OR($N166=6,$N166=7,$N166=8),4,"")))))</f>
        <v/>
      </c>
      <c r="P166" s="99"/>
      <c r="Q166" s="62"/>
      <c r="R166" s="62"/>
      <c r="S166" s="51"/>
      <c r="T166" s="51"/>
      <c r="U166" s="51"/>
      <c r="V166" s="51"/>
      <c r="W166" s="51"/>
      <c r="X166" s="51"/>
      <c r="Y166" s="51"/>
      <c r="Z166" s="51"/>
      <c r="AA166" s="51"/>
      <c r="AB166" s="51"/>
      <c r="AC166" s="51"/>
      <c r="AD166" s="51"/>
      <c r="AE166" s="51"/>
      <c r="AF166" s="51"/>
      <c r="AG166" s="51"/>
      <c r="AH166" s="94"/>
      <c r="AI166" s="94"/>
      <c r="AJ166" s="94"/>
      <c r="AK166" s="94"/>
      <c r="AL166" s="94"/>
      <c r="AM166" s="94"/>
      <c r="AN166" s="94"/>
      <c r="AO166" s="95"/>
      <c r="AP166" s="686">
        <f t="shared" si="21"/>
        <v>0</v>
      </c>
      <c r="AQ166" s="42"/>
      <c r="AR166" s="42"/>
      <c r="AS166" s="42"/>
      <c r="AT166" s="43"/>
      <c r="AU166" s="687">
        <f t="shared" si="22"/>
        <v>0</v>
      </c>
      <c r="AV166" s="42"/>
      <c r="AW166" s="42"/>
      <c r="AX166" s="42"/>
      <c r="AY166" s="43"/>
      <c r="AZ166" s="486"/>
      <c r="BA166" s="51"/>
      <c r="BB166" s="51"/>
      <c r="BC166" s="51"/>
      <c r="BD166" s="51"/>
      <c r="BE166" s="51"/>
      <c r="BF166" s="51"/>
      <c r="BG166" s="51"/>
      <c r="BH166" s="94"/>
      <c r="BI166" s="94"/>
      <c r="BJ166" s="94"/>
      <c r="BK166" s="94"/>
      <c r="BL166" s="94"/>
      <c r="BM166" s="483"/>
      <c r="BN166" s="94"/>
      <c r="BO166" s="94"/>
      <c r="BP166" s="94"/>
      <c r="BQ166" s="94"/>
      <c r="BR166" s="94"/>
      <c r="BS166" s="94"/>
      <c r="BT166" s="94"/>
      <c r="BU166" s="94"/>
      <c r="BV166" s="94"/>
      <c r="BW166" s="688">
        <f t="shared" si="18"/>
        <v>0</v>
      </c>
      <c r="BX166" s="51"/>
      <c r="BY166" s="51"/>
      <c r="BZ166" s="51"/>
      <c r="CA166" s="51"/>
      <c r="CB166" s="51"/>
      <c r="CC166" s="51"/>
      <c r="CD166" s="97"/>
      <c r="CE166" s="479"/>
      <c r="CF166" s="51"/>
      <c r="CG166" s="51"/>
      <c r="CH166" s="62"/>
      <c r="CI166" s="62"/>
      <c r="CJ166" s="51"/>
      <c r="CK166" s="51"/>
      <c r="CL166" s="95"/>
      <c r="CM166" s="93"/>
      <c r="CN166" s="51"/>
      <c r="CO166" s="51"/>
      <c r="CP166" s="51"/>
      <c r="CQ166" s="51"/>
      <c r="CR166" s="51"/>
      <c r="CS166" s="51"/>
      <c r="CT166" s="51"/>
      <c r="CU166" s="95"/>
      <c r="CV166" s="93"/>
      <c r="CW166" s="51"/>
      <c r="CX166" s="51"/>
      <c r="CY166" s="51"/>
      <c r="CZ166" s="51"/>
      <c r="DA166" s="51"/>
      <c r="DB166" s="51"/>
      <c r="DC166" s="51"/>
      <c r="DD166" s="95"/>
      <c r="DE166" s="93"/>
      <c r="DF166" s="51"/>
      <c r="DG166" s="51"/>
      <c r="DH166" s="51"/>
      <c r="DI166" s="51"/>
      <c r="DJ166" s="51"/>
      <c r="DK166" s="51"/>
      <c r="DL166" s="95"/>
      <c r="DM166" s="478"/>
      <c r="DN166" s="682">
        <f t="shared" si="23"/>
        <v>0</v>
      </c>
      <c r="DO166" s="683"/>
    </row>
    <row r="167" spans="1:119" ht="25.5" customHeight="1" thickTop="1" thickBot="1" x14ac:dyDescent="0.2">
      <c r="A167" s="676">
        <f t="shared" si="19"/>
        <v>152</v>
      </c>
      <c r="B167" s="1054"/>
      <c r="C167" s="1054"/>
      <c r="D167" s="83"/>
      <c r="E167" s="954"/>
      <c r="F167" s="52"/>
      <c r="G167" s="103"/>
      <c r="H167" s="1058"/>
      <c r="I167" s="684" t="str">
        <f t="shared" si="16"/>
        <v/>
      </c>
      <c r="J167" s="685">
        <f t="shared" si="17"/>
        <v>0</v>
      </c>
      <c r="K167" s="1258"/>
      <c r="L167" s="1251"/>
      <c r="M167" s="1257"/>
      <c r="N167" s="719" t="str">
        <f t="shared" si="20"/>
        <v/>
      </c>
      <c r="O167" s="720" t="str">
        <f>IF('Set up ~ Config'!$G$32=6,IF(OR($N167=7,$N167=8,$N167=9),1,IF(OR($N167=10,$N167=11,$N167=12),2,IF(OR($N167=1,$N167=2,$N167=3),3,IF(OR($N167=4,$N167=5,$N167=6),4,"")))),IF(OR($N167=9,$N167=10,$N167=11),1,IF(OR($N167=12,$N167=1,$N167=2),2,IF(OR($N167=3,$N167=4,$N167=5),3,IF(OR($N167=6,$N167=7,$N167=8),4,"")))))</f>
        <v/>
      </c>
      <c r="P167" s="99"/>
      <c r="Q167" s="62"/>
      <c r="R167" s="62"/>
      <c r="S167" s="51"/>
      <c r="T167" s="51"/>
      <c r="U167" s="51"/>
      <c r="V167" s="51"/>
      <c r="W167" s="51"/>
      <c r="X167" s="51"/>
      <c r="Y167" s="51"/>
      <c r="Z167" s="51"/>
      <c r="AA167" s="51"/>
      <c r="AB167" s="51"/>
      <c r="AC167" s="51"/>
      <c r="AD167" s="51"/>
      <c r="AE167" s="51"/>
      <c r="AF167" s="51"/>
      <c r="AG167" s="51"/>
      <c r="AH167" s="94"/>
      <c r="AI167" s="94"/>
      <c r="AJ167" s="94"/>
      <c r="AK167" s="94"/>
      <c r="AL167" s="94"/>
      <c r="AM167" s="94"/>
      <c r="AN167" s="94"/>
      <c r="AO167" s="95"/>
      <c r="AP167" s="686">
        <f t="shared" si="21"/>
        <v>0</v>
      </c>
      <c r="AQ167" s="42"/>
      <c r="AR167" s="42"/>
      <c r="AS167" s="42"/>
      <c r="AT167" s="43"/>
      <c r="AU167" s="687">
        <f t="shared" si="22"/>
        <v>0</v>
      </c>
      <c r="AV167" s="42"/>
      <c r="AW167" s="42"/>
      <c r="AX167" s="42"/>
      <c r="AY167" s="43"/>
      <c r="AZ167" s="486"/>
      <c r="BA167" s="51"/>
      <c r="BB167" s="51"/>
      <c r="BC167" s="51"/>
      <c r="BD167" s="51"/>
      <c r="BE167" s="51"/>
      <c r="BF167" s="51"/>
      <c r="BG167" s="51"/>
      <c r="BH167" s="94"/>
      <c r="BI167" s="94"/>
      <c r="BJ167" s="94"/>
      <c r="BK167" s="94"/>
      <c r="BL167" s="94"/>
      <c r="BM167" s="483"/>
      <c r="BN167" s="94"/>
      <c r="BO167" s="94"/>
      <c r="BP167" s="94"/>
      <c r="BQ167" s="94"/>
      <c r="BR167" s="94"/>
      <c r="BS167" s="94"/>
      <c r="BT167" s="94"/>
      <c r="BU167" s="94"/>
      <c r="BV167" s="94"/>
      <c r="BW167" s="688">
        <f t="shared" si="18"/>
        <v>0</v>
      </c>
      <c r="BX167" s="51"/>
      <c r="BY167" s="51"/>
      <c r="BZ167" s="51"/>
      <c r="CA167" s="51"/>
      <c r="CB167" s="51"/>
      <c r="CC167" s="51"/>
      <c r="CD167" s="97"/>
      <c r="CE167" s="479"/>
      <c r="CF167" s="51"/>
      <c r="CG167" s="51"/>
      <c r="CH167" s="62"/>
      <c r="CI167" s="62"/>
      <c r="CJ167" s="51"/>
      <c r="CK167" s="51"/>
      <c r="CL167" s="95"/>
      <c r="CM167" s="93"/>
      <c r="CN167" s="51"/>
      <c r="CO167" s="51"/>
      <c r="CP167" s="51"/>
      <c r="CQ167" s="51"/>
      <c r="CR167" s="51"/>
      <c r="CS167" s="51"/>
      <c r="CT167" s="51"/>
      <c r="CU167" s="95"/>
      <c r="CV167" s="93"/>
      <c r="CW167" s="51"/>
      <c r="CX167" s="51"/>
      <c r="CY167" s="51"/>
      <c r="CZ167" s="51"/>
      <c r="DA167" s="51"/>
      <c r="DB167" s="51"/>
      <c r="DC167" s="51"/>
      <c r="DD167" s="95"/>
      <c r="DE167" s="93"/>
      <c r="DF167" s="51"/>
      <c r="DG167" s="51"/>
      <c r="DH167" s="51"/>
      <c r="DI167" s="51"/>
      <c r="DJ167" s="51"/>
      <c r="DK167" s="51"/>
      <c r="DL167" s="95"/>
      <c r="DM167" s="478"/>
      <c r="DN167" s="682">
        <f t="shared" si="23"/>
        <v>0</v>
      </c>
      <c r="DO167" s="683"/>
    </row>
    <row r="168" spans="1:119" ht="25.5" customHeight="1" thickTop="1" thickBot="1" x14ac:dyDescent="0.2">
      <c r="A168" s="676">
        <f t="shared" si="19"/>
        <v>153</v>
      </c>
      <c r="B168" s="1054"/>
      <c r="C168" s="1054"/>
      <c r="D168" s="83"/>
      <c r="E168" s="954"/>
      <c r="F168" s="52"/>
      <c r="G168" s="103"/>
      <c r="H168" s="1058"/>
      <c r="I168" s="684" t="str">
        <f t="shared" si="16"/>
        <v/>
      </c>
      <c r="J168" s="685">
        <f t="shared" si="17"/>
        <v>0</v>
      </c>
      <c r="K168" s="1258"/>
      <c r="L168" s="1251"/>
      <c r="M168" s="1257"/>
      <c r="N168" s="719" t="str">
        <f t="shared" si="20"/>
        <v/>
      </c>
      <c r="O168" s="720" t="str">
        <f>IF('Set up ~ Config'!$G$32=6,IF(OR($N168=7,$N168=8,$N168=9),1,IF(OR($N168=10,$N168=11,$N168=12),2,IF(OR($N168=1,$N168=2,$N168=3),3,IF(OR($N168=4,$N168=5,$N168=6),4,"")))),IF(OR($N168=9,$N168=10,$N168=11),1,IF(OR($N168=12,$N168=1,$N168=2),2,IF(OR($N168=3,$N168=4,$N168=5),3,IF(OR($N168=6,$N168=7,$N168=8),4,"")))))</f>
        <v/>
      </c>
      <c r="P168" s="99"/>
      <c r="Q168" s="62"/>
      <c r="R168" s="62"/>
      <c r="S168" s="51"/>
      <c r="T168" s="51"/>
      <c r="U168" s="51"/>
      <c r="V168" s="51"/>
      <c r="W168" s="51"/>
      <c r="X168" s="51"/>
      <c r="Y168" s="51"/>
      <c r="Z168" s="51"/>
      <c r="AA168" s="51"/>
      <c r="AB168" s="51"/>
      <c r="AC168" s="51"/>
      <c r="AD168" s="51"/>
      <c r="AE168" s="51"/>
      <c r="AF168" s="51"/>
      <c r="AG168" s="51"/>
      <c r="AH168" s="94"/>
      <c r="AI168" s="94"/>
      <c r="AJ168" s="94"/>
      <c r="AK168" s="94"/>
      <c r="AL168" s="94"/>
      <c r="AM168" s="94"/>
      <c r="AN168" s="94"/>
      <c r="AO168" s="95"/>
      <c r="AP168" s="686">
        <f t="shared" si="21"/>
        <v>0</v>
      </c>
      <c r="AQ168" s="42"/>
      <c r="AR168" s="42"/>
      <c r="AS168" s="42"/>
      <c r="AT168" s="43"/>
      <c r="AU168" s="687">
        <f t="shared" si="22"/>
        <v>0</v>
      </c>
      <c r="AV168" s="42"/>
      <c r="AW168" s="42"/>
      <c r="AX168" s="42"/>
      <c r="AY168" s="43"/>
      <c r="AZ168" s="486"/>
      <c r="BA168" s="51"/>
      <c r="BB168" s="51"/>
      <c r="BC168" s="51"/>
      <c r="BD168" s="51"/>
      <c r="BE168" s="51"/>
      <c r="BF168" s="51"/>
      <c r="BG168" s="51"/>
      <c r="BH168" s="94"/>
      <c r="BI168" s="94"/>
      <c r="BJ168" s="94"/>
      <c r="BK168" s="94"/>
      <c r="BL168" s="94"/>
      <c r="BM168" s="483"/>
      <c r="BN168" s="94"/>
      <c r="BO168" s="94"/>
      <c r="BP168" s="94"/>
      <c r="BQ168" s="94"/>
      <c r="BR168" s="94"/>
      <c r="BS168" s="94"/>
      <c r="BT168" s="94"/>
      <c r="BU168" s="94"/>
      <c r="BV168" s="94"/>
      <c r="BW168" s="688">
        <f t="shared" si="18"/>
        <v>0</v>
      </c>
      <c r="BX168" s="51"/>
      <c r="BY168" s="51"/>
      <c r="BZ168" s="51"/>
      <c r="CA168" s="51"/>
      <c r="CB168" s="51"/>
      <c r="CC168" s="51"/>
      <c r="CD168" s="97"/>
      <c r="CE168" s="479"/>
      <c r="CF168" s="51"/>
      <c r="CG168" s="51"/>
      <c r="CH168" s="62"/>
      <c r="CI168" s="62"/>
      <c r="CJ168" s="51"/>
      <c r="CK168" s="51"/>
      <c r="CL168" s="95"/>
      <c r="CM168" s="93"/>
      <c r="CN168" s="51"/>
      <c r="CO168" s="51"/>
      <c r="CP168" s="51"/>
      <c r="CQ168" s="51"/>
      <c r="CR168" s="51"/>
      <c r="CS168" s="51"/>
      <c r="CT168" s="51"/>
      <c r="CU168" s="95"/>
      <c r="CV168" s="93"/>
      <c r="CW168" s="51"/>
      <c r="CX168" s="51"/>
      <c r="CY168" s="51"/>
      <c r="CZ168" s="51"/>
      <c r="DA168" s="51"/>
      <c r="DB168" s="51"/>
      <c r="DC168" s="51"/>
      <c r="DD168" s="95"/>
      <c r="DE168" s="93"/>
      <c r="DF168" s="51"/>
      <c r="DG168" s="51"/>
      <c r="DH168" s="51"/>
      <c r="DI168" s="51"/>
      <c r="DJ168" s="51"/>
      <c r="DK168" s="51"/>
      <c r="DL168" s="95"/>
      <c r="DM168" s="478"/>
      <c r="DN168" s="682">
        <f t="shared" si="23"/>
        <v>0</v>
      </c>
      <c r="DO168" s="683"/>
    </row>
    <row r="169" spans="1:119" ht="25.5" customHeight="1" thickTop="1" thickBot="1" x14ac:dyDescent="0.2">
      <c r="A169" s="676">
        <f t="shared" si="19"/>
        <v>154</v>
      </c>
      <c r="B169" s="1054"/>
      <c r="C169" s="1054"/>
      <c r="D169" s="83"/>
      <c r="E169" s="954"/>
      <c r="F169" s="52"/>
      <c r="G169" s="103"/>
      <c r="H169" s="1058"/>
      <c r="I169" s="684" t="str">
        <f t="shared" si="16"/>
        <v/>
      </c>
      <c r="J169" s="685">
        <f t="shared" si="17"/>
        <v>0</v>
      </c>
      <c r="K169" s="1258"/>
      <c r="L169" s="1251"/>
      <c r="M169" s="1257"/>
      <c r="N169" s="719" t="str">
        <f t="shared" si="20"/>
        <v/>
      </c>
      <c r="O169" s="720" t="str">
        <f>IF('Set up ~ Config'!$G$32=6,IF(OR($N169=7,$N169=8,$N169=9),1,IF(OR($N169=10,$N169=11,$N169=12),2,IF(OR($N169=1,$N169=2,$N169=3),3,IF(OR($N169=4,$N169=5,$N169=6),4,"")))),IF(OR($N169=9,$N169=10,$N169=11),1,IF(OR($N169=12,$N169=1,$N169=2),2,IF(OR($N169=3,$N169=4,$N169=5),3,IF(OR($N169=6,$N169=7,$N169=8),4,"")))))</f>
        <v/>
      </c>
      <c r="P169" s="99"/>
      <c r="Q169" s="62"/>
      <c r="R169" s="62"/>
      <c r="S169" s="51"/>
      <c r="T169" s="51"/>
      <c r="U169" s="51"/>
      <c r="V169" s="51"/>
      <c r="W169" s="51"/>
      <c r="X169" s="51"/>
      <c r="Y169" s="51"/>
      <c r="Z169" s="51"/>
      <c r="AA169" s="51"/>
      <c r="AB169" s="51"/>
      <c r="AC169" s="51"/>
      <c r="AD169" s="51"/>
      <c r="AE169" s="51"/>
      <c r="AF169" s="51"/>
      <c r="AG169" s="51"/>
      <c r="AH169" s="94"/>
      <c r="AI169" s="94"/>
      <c r="AJ169" s="94"/>
      <c r="AK169" s="94"/>
      <c r="AL169" s="94"/>
      <c r="AM169" s="94"/>
      <c r="AN169" s="94"/>
      <c r="AO169" s="95"/>
      <c r="AP169" s="686">
        <f t="shared" si="21"/>
        <v>0</v>
      </c>
      <c r="AQ169" s="42"/>
      <c r="AR169" s="42"/>
      <c r="AS169" s="42"/>
      <c r="AT169" s="43"/>
      <c r="AU169" s="687">
        <f t="shared" si="22"/>
        <v>0</v>
      </c>
      <c r="AV169" s="42"/>
      <c r="AW169" s="42"/>
      <c r="AX169" s="42"/>
      <c r="AY169" s="43"/>
      <c r="AZ169" s="486"/>
      <c r="BA169" s="51"/>
      <c r="BB169" s="51"/>
      <c r="BC169" s="51"/>
      <c r="BD169" s="51"/>
      <c r="BE169" s="51"/>
      <c r="BF169" s="51"/>
      <c r="BG169" s="51"/>
      <c r="BH169" s="94"/>
      <c r="BI169" s="94"/>
      <c r="BJ169" s="94"/>
      <c r="BK169" s="94"/>
      <c r="BL169" s="94"/>
      <c r="BM169" s="483"/>
      <c r="BN169" s="94"/>
      <c r="BO169" s="94"/>
      <c r="BP169" s="94"/>
      <c r="BQ169" s="94"/>
      <c r="BR169" s="94"/>
      <c r="BS169" s="94"/>
      <c r="BT169" s="94"/>
      <c r="BU169" s="94"/>
      <c r="BV169" s="94"/>
      <c r="BW169" s="688">
        <f t="shared" si="18"/>
        <v>0</v>
      </c>
      <c r="BX169" s="51"/>
      <c r="BY169" s="51"/>
      <c r="BZ169" s="51"/>
      <c r="CA169" s="51"/>
      <c r="CB169" s="51"/>
      <c r="CC169" s="51"/>
      <c r="CD169" s="97"/>
      <c r="CE169" s="479"/>
      <c r="CF169" s="51"/>
      <c r="CG169" s="51"/>
      <c r="CH169" s="62"/>
      <c r="CI169" s="62"/>
      <c r="CJ169" s="51"/>
      <c r="CK169" s="51"/>
      <c r="CL169" s="95"/>
      <c r="CM169" s="93"/>
      <c r="CN169" s="51"/>
      <c r="CO169" s="51"/>
      <c r="CP169" s="51"/>
      <c r="CQ169" s="51"/>
      <c r="CR169" s="51"/>
      <c r="CS169" s="51"/>
      <c r="CT169" s="51"/>
      <c r="CU169" s="95"/>
      <c r="CV169" s="93"/>
      <c r="CW169" s="51"/>
      <c r="CX169" s="51"/>
      <c r="CY169" s="51"/>
      <c r="CZ169" s="51"/>
      <c r="DA169" s="51"/>
      <c r="DB169" s="51"/>
      <c r="DC169" s="51"/>
      <c r="DD169" s="95"/>
      <c r="DE169" s="93"/>
      <c r="DF169" s="51"/>
      <c r="DG169" s="51"/>
      <c r="DH169" s="51"/>
      <c r="DI169" s="51"/>
      <c r="DJ169" s="51"/>
      <c r="DK169" s="51"/>
      <c r="DL169" s="95"/>
      <c r="DM169" s="478"/>
      <c r="DN169" s="682">
        <f t="shared" si="23"/>
        <v>0</v>
      </c>
      <c r="DO169" s="683"/>
    </row>
    <row r="170" spans="1:119" ht="25.5" customHeight="1" thickTop="1" thickBot="1" x14ac:dyDescent="0.2">
      <c r="A170" s="676">
        <f t="shared" si="19"/>
        <v>155</v>
      </c>
      <c r="B170" s="1054"/>
      <c r="C170" s="1054"/>
      <c r="D170" s="83"/>
      <c r="E170" s="954"/>
      <c r="F170" s="52"/>
      <c r="G170" s="103"/>
      <c r="H170" s="1058"/>
      <c r="I170" s="684" t="str">
        <f t="shared" si="16"/>
        <v/>
      </c>
      <c r="J170" s="685">
        <f t="shared" si="17"/>
        <v>0</v>
      </c>
      <c r="K170" s="1258"/>
      <c r="L170" s="1251"/>
      <c r="M170" s="1257"/>
      <c r="N170" s="719" t="str">
        <f t="shared" si="20"/>
        <v/>
      </c>
      <c r="O170" s="720" t="str">
        <f>IF('Set up ~ Config'!$G$32=6,IF(OR($N170=7,$N170=8,$N170=9),1,IF(OR($N170=10,$N170=11,$N170=12),2,IF(OR($N170=1,$N170=2,$N170=3),3,IF(OR($N170=4,$N170=5,$N170=6),4,"")))),IF(OR($N170=9,$N170=10,$N170=11),1,IF(OR($N170=12,$N170=1,$N170=2),2,IF(OR($N170=3,$N170=4,$N170=5),3,IF(OR($N170=6,$N170=7,$N170=8),4,"")))))</f>
        <v/>
      </c>
      <c r="P170" s="99"/>
      <c r="Q170" s="62"/>
      <c r="R170" s="62"/>
      <c r="S170" s="51"/>
      <c r="T170" s="51"/>
      <c r="U170" s="51"/>
      <c r="V170" s="51"/>
      <c r="W170" s="51"/>
      <c r="X170" s="51"/>
      <c r="Y170" s="51"/>
      <c r="Z170" s="51"/>
      <c r="AA170" s="51"/>
      <c r="AB170" s="51"/>
      <c r="AC170" s="51"/>
      <c r="AD170" s="51"/>
      <c r="AE170" s="51"/>
      <c r="AF170" s="51"/>
      <c r="AG170" s="51"/>
      <c r="AH170" s="94"/>
      <c r="AI170" s="94"/>
      <c r="AJ170" s="94"/>
      <c r="AK170" s="94"/>
      <c r="AL170" s="94"/>
      <c r="AM170" s="94"/>
      <c r="AN170" s="94"/>
      <c r="AO170" s="95"/>
      <c r="AP170" s="686">
        <f t="shared" si="21"/>
        <v>0</v>
      </c>
      <c r="AQ170" s="42"/>
      <c r="AR170" s="42"/>
      <c r="AS170" s="42"/>
      <c r="AT170" s="43"/>
      <c r="AU170" s="687">
        <f t="shared" si="22"/>
        <v>0</v>
      </c>
      <c r="AV170" s="42"/>
      <c r="AW170" s="42"/>
      <c r="AX170" s="42"/>
      <c r="AY170" s="43"/>
      <c r="AZ170" s="486"/>
      <c r="BA170" s="51"/>
      <c r="BB170" s="51"/>
      <c r="BC170" s="51"/>
      <c r="BD170" s="51"/>
      <c r="BE170" s="51"/>
      <c r="BF170" s="51"/>
      <c r="BG170" s="51"/>
      <c r="BH170" s="94"/>
      <c r="BI170" s="94"/>
      <c r="BJ170" s="94"/>
      <c r="BK170" s="94"/>
      <c r="BL170" s="94"/>
      <c r="BM170" s="483"/>
      <c r="BN170" s="94"/>
      <c r="BO170" s="94"/>
      <c r="BP170" s="94"/>
      <c r="BQ170" s="94"/>
      <c r="BR170" s="94"/>
      <c r="BS170" s="94"/>
      <c r="BT170" s="94"/>
      <c r="BU170" s="94"/>
      <c r="BV170" s="94"/>
      <c r="BW170" s="688">
        <f t="shared" si="18"/>
        <v>0</v>
      </c>
      <c r="BX170" s="51"/>
      <c r="BY170" s="51"/>
      <c r="BZ170" s="51"/>
      <c r="CA170" s="51"/>
      <c r="CB170" s="51"/>
      <c r="CC170" s="51"/>
      <c r="CD170" s="97"/>
      <c r="CE170" s="479"/>
      <c r="CF170" s="51"/>
      <c r="CG170" s="51"/>
      <c r="CH170" s="62"/>
      <c r="CI170" s="62"/>
      <c r="CJ170" s="51"/>
      <c r="CK170" s="51"/>
      <c r="CL170" s="95"/>
      <c r="CM170" s="93"/>
      <c r="CN170" s="51"/>
      <c r="CO170" s="51"/>
      <c r="CP170" s="51"/>
      <c r="CQ170" s="51"/>
      <c r="CR170" s="51"/>
      <c r="CS170" s="51"/>
      <c r="CT170" s="51"/>
      <c r="CU170" s="95"/>
      <c r="CV170" s="93"/>
      <c r="CW170" s="51"/>
      <c r="CX170" s="51"/>
      <c r="CY170" s="51"/>
      <c r="CZ170" s="51"/>
      <c r="DA170" s="51"/>
      <c r="DB170" s="51"/>
      <c r="DC170" s="51"/>
      <c r="DD170" s="95"/>
      <c r="DE170" s="93"/>
      <c r="DF170" s="51"/>
      <c r="DG170" s="51"/>
      <c r="DH170" s="51"/>
      <c r="DI170" s="51"/>
      <c r="DJ170" s="51"/>
      <c r="DK170" s="51"/>
      <c r="DL170" s="95"/>
      <c r="DM170" s="478"/>
      <c r="DN170" s="682">
        <f t="shared" si="23"/>
        <v>0</v>
      </c>
      <c r="DO170" s="683"/>
    </row>
    <row r="171" spans="1:119" ht="25.5" customHeight="1" thickTop="1" thickBot="1" x14ac:dyDescent="0.2">
      <c r="A171" s="676">
        <f t="shared" si="19"/>
        <v>156</v>
      </c>
      <c r="B171" s="1054"/>
      <c r="C171" s="1054"/>
      <c r="D171" s="83"/>
      <c r="E171" s="954"/>
      <c r="F171" s="52"/>
      <c r="G171" s="103"/>
      <c r="H171" s="1058"/>
      <c r="I171" s="684" t="str">
        <f t="shared" si="16"/>
        <v/>
      </c>
      <c r="J171" s="685">
        <f t="shared" si="17"/>
        <v>0</v>
      </c>
      <c r="K171" s="1258"/>
      <c r="L171" s="1251"/>
      <c r="M171" s="1257"/>
      <c r="N171" s="719" t="str">
        <f t="shared" si="20"/>
        <v/>
      </c>
      <c r="O171" s="720" t="str">
        <f>IF('Set up ~ Config'!$G$32=6,IF(OR($N171=7,$N171=8,$N171=9),1,IF(OR($N171=10,$N171=11,$N171=12),2,IF(OR($N171=1,$N171=2,$N171=3),3,IF(OR($N171=4,$N171=5,$N171=6),4,"")))),IF(OR($N171=9,$N171=10,$N171=11),1,IF(OR($N171=12,$N171=1,$N171=2),2,IF(OR($N171=3,$N171=4,$N171=5),3,IF(OR($N171=6,$N171=7,$N171=8),4,"")))))</f>
        <v/>
      </c>
      <c r="P171" s="99"/>
      <c r="Q171" s="62"/>
      <c r="R171" s="62"/>
      <c r="S171" s="51"/>
      <c r="T171" s="51"/>
      <c r="U171" s="51"/>
      <c r="V171" s="51"/>
      <c r="W171" s="51"/>
      <c r="X171" s="51"/>
      <c r="Y171" s="51"/>
      <c r="Z171" s="51"/>
      <c r="AA171" s="51"/>
      <c r="AB171" s="51"/>
      <c r="AC171" s="51"/>
      <c r="AD171" s="51"/>
      <c r="AE171" s="51"/>
      <c r="AF171" s="51"/>
      <c r="AG171" s="51"/>
      <c r="AH171" s="94"/>
      <c r="AI171" s="94"/>
      <c r="AJ171" s="94"/>
      <c r="AK171" s="94"/>
      <c r="AL171" s="94"/>
      <c r="AM171" s="94"/>
      <c r="AN171" s="94"/>
      <c r="AO171" s="95"/>
      <c r="AP171" s="686">
        <f t="shared" si="21"/>
        <v>0</v>
      </c>
      <c r="AQ171" s="42"/>
      <c r="AR171" s="42"/>
      <c r="AS171" s="42"/>
      <c r="AT171" s="43"/>
      <c r="AU171" s="687">
        <f t="shared" si="22"/>
        <v>0</v>
      </c>
      <c r="AV171" s="42"/>
      <c r="AW171" s="42"/>
      <c r="AX171" s="42"/>
      <c r="AY171" s="43"/>
      <c r="AZ171" s="486"/>
      <c r="BA171" s="51"/>
      <c r="BB171" s="51"/>
      <c r="BC171" s="51"/>
      <c r="BD171" s="51"/>
      <c r="BE171" s="51"/>
      <c r="BF171" s="51"/>
      <c r="BG171" s="51"/>
      <c r="BH171" s="94"/>
      <c r="BI171" s="94"/>
      <c r="BJ171" s="94"/>
      <c r="BK171" s="94"/>
      <c r="BL171" s="94"/>
      <c r="BM171" s="483"/>
      <c r="BN171" s="94"/>
      <c r="BO171" s="94"/>
      <c r="BP171" s="94"/>
      <c r="BQ171" s="94"/>
      <c r="BR171" s="94"/>
      <c r="BS171" s="94"/>
      <c r="BT171" s="94"/>
      <c r="BU171" s="94"/>
      <c r="BV171" s="94"/>
      <c r="BW171" s="688">
        <f t="shared" si="18"/>
        <v>0</v>
      </c>
      <c r="BX171" s="51"/>
      <c r="BY171" s="51"/>
      <c r="BZ171" s="51"/>
      <c r="CA171" s="51"/>
      <c r="CB171" s="51"/>
      <c r="CC171" s="51"/>
      <c r="CD171" s="97"/>
      <c r="CE171" s="479"/>
      <c r="CF171" s="51"/>
      <c r="CG171" s="51"/>
      <c r="CH171" s="62"/>
      <c r="CI171" s="62"/>
      <c r="CJ171" s="51"/>
      <c r="CK171" s="51"/>
      <c r="CL171" s="95"/>
      <c r="CM171" s="93"/>
      <c r="CN171" s="51"/>
      <c r="CO171" s="51"/>
      <c r="CP171" s="51"/>
      <c r="CQ171" s="51"/>
      <c r="CR171" s="51"/>
      <c r="CS171" s="51"/>
      <c r="CT171" s="51"/>
      <c r="CU171" s="95"/>
      <c r="CV171" s="93"/>
      <c r="CW171" s="51"/>
      <c r="CX171" s="51"/>
      <c r="CY171" s="51"/>
      <c r="CZ171" s="51"/>
      <c r="DA171" s="51"/>
      <c r="DB171" s="51"/>
      <c r="DC171" s="51"/>
      <c r="DD171" s="95"/>
      <c r="DE171" s="93"/>
      <c r="DF171" s="51"/>
      <c r="DG171" s="51"/>
      <c r="DH171" s="51"/>
      <c r="DI171" s="51"/>
      <c r="DJ171" s="51"/>
      <c r="DK171" s="51"/>
      <c r="DL171" s="95"/>
      <c r="DM171" s="478"/>
      <c r="DN171" s="682">
        <f t="shared" si="23"/>
        <v>0</v>
      </c>
      <c r="DO171" s="683"/>
    </row>
    <row r="172" spans="1:119" ht="25.5" customHeight="1" thickTop="1" thickBot="1" x14ac:dyDescent="0.2">
      <c r="A172" s="676">
        <f t="shared" si="19"/>
        <v>157</v>
      </c>
      <c r="B172" s="1054"/>
      <c r="C172" s="1054"/>
      <c r="D172" s="83"/>
      <c r="E172" s="954"/>
      <c r="F172" s="52"/>
      <c r="G172" s="103"/>
      <c r="H172" s="1058"/>
      <c r="I172" s="684" t="str">
        <f t="shared" si="16"/>
        <v/>
      </c>
      <c r="J172" s="685">
        <f t="shared" si="17"/>
        <v>0</v>
      </c>
      <c r="K172" s="1258"/>
      <c r="L172" s="1251"/>
      <c r="M172" s="1257"/>
      <c r="N172" s="719" t="str">
        <f t="shared" si="20"/>
        <v/>
      </c>
      <c r="O172" s="720" t="str">
        <f>IF('Set up ~ Config'!$G$32=6,IF(OR($N172=7,$N172=8,$N172=9),1,IF(OR($N172=10,$N172=11,$N172=12),2,IF(OR($N172=1,$N172=2,$N172=3),3,IF(OR($N172=4,$N172=5,$N172=6),4,"")))),IF(OR($N172=9,$N172=10,$N172=11),1,IF(OR($N172=12,$N172=1,$N172=2),2,IF(OR($N172=3,$N172=4,$N172=5),3,IF(OR($N172=6,$N172=7,$N172=8),4,"")))))</f>
        <v/>
      </c>
      <c r="P172" s="99"/>
      <c r="Q172" s="62"/>
      <c r="R172" s="62"/>
      <c r="S172" s="51"/>
      <c r="T172" s="51"/>
      <c r="U172" s="51"/>
      <c r="V172" s="51"/>
      <c r="W172" s="51"/>
      <c r="X172" s="51"/>
      <c r="Y172" s="51"/>
      <c r="Z172" s="51"/>
      <c r="AA172" s="51"/>
      <c r="AB172" s="51"/>
      <c r="AC172" s="51"/>
      <c r="AD172" s="51"/>
      <c r="AE172" s="51"/>
      <c r="AF172" s="51"/>
      <c r="AG172" s="51"/>
      <c r="AH172" s="94"/>
      <c r="AI172" s="94"/>
      <c r="AJ172" s="94"/>
      <c r="AK172" s="94"/>
      <c r="AL172" s="94"/>
      <c r="AM172" s="94"/>
      <c r="AN172" s="94"/>
      <c r="AO172" s="95"/>
      <c r="AP172" s="686">
        <f t="shared" si="21"/>
        <v>0</v>
      </c>
      <c r="AQ172" s="42"/>
      <c r="AR172" s="42"/>
      <c r="AS172" s="42"/>
      <c r="AT172" s="43"/>
      <c r="AU172" s="687">
        <f t="shared" si="22"/>
        <v>0</v>
      </c>
      <c r="AV172" s="42"/>
      <c r="AW172" s="42"/>
      <c r="AX172" s="42"/>
      <c r="AY172" s="43"/>
      <c r="AZ172" s="486"/>
      <c r="BA172" s="51"/>
      <c r="BB172" s="51"/>
      <c r="BC172" s="51"/>
      <c r="BD172" s="51"/>
      <c r="BE172" s="51"/>
      <c r="BF172" s="51"/>
      <c r="BG172" s="51"/>
      <c r="BH172" s="94"/>
      <c r="BI172" s="94"/>
      <c r="BJ172" s="94"/>
      <c r="BK172" s="94"/>
      <c r="BL172" s="94"/>
      <c r="BM172" s="483"/>
      <c r="BN172" s="94"/>
      <c r="BO172" s="94"/>
      <c r="BP172" s="94"/>
      <c r="BQ172" s="94"/>
      <c r="BR172" s="94"/>
      <c r="BS172" s="94"/>
      <c r="BT172" s="94"/>
      <c r="BU172" s="94"/>
      <c r="BV172" s="94"/>
      <c r="BW172" s="688">
        <f t="shared" si="18"/>
        <v>0</v>
      </c>
      <c r="BX172" s="51"/>
      <c r="BY172" s="51"/>
      <c r="BZ172" s="51"/>
      <c r="CA172" s="51"/>
      <c r="CB172" s="51"/>
      <c r="CC172" s="51"/>
      <c r="CD172" s="97"/>
      <c r="CE172" s="479"/>
      <c r="CF172" s="51"/>
      <c r="CG172" s="51"/>
      <c r="CH172" s="62"/>
      <c r="CI172" s="62"/>
      <c r="CJ172" s="51"/>
      <c r="CK172" s="51"/>
      <c r="CL172" s="95"/>
      <c r="CM172" s="93"/>
      <c r="CN172" s="51"/>
      <c r="CO172" s="51"/>
      <c r="CP172" s="51"/>
      <c r="CQ172" s="51"/>
      <c r="CR172" s="51"/>
      <c r="CS172" s="51"/>
      <c r="CT172" s="51"/>
      <c r="CU172" s="95"/>
      <c r="CV172" s="93"/>
      <c r="CW172" s="51"/>
      <c r="CX172" s="51"/>
      <c r="CY172" s="51"/>
      <c r="CZ172" s="51"/>
      <c r="DA172" s="51"/>
      <c r="DB172" s="51"/>
      <c r="DC172" s="51"/>
      <c r="DD172" s="95"/>
      <c r="DE172" s="93"/>
      <c r="DF172" s="51"/>
      <c r="DG172" s="51"/>
      <c r="DH172" s="51"/>
      <c r="DI172" s="51"/>
      <c r="DJ172" s="51"/>
      <c r="DK172" s="51"/>
      <c r="DL172" s="95"/>
      <c r="DM172" s="478"/>
      <c r="DN172" s="682">
        <f t="shared" si="23"/>
        <v>0</v>
      </c>
      <c r="DO172" s="683"/>
    </row>
    <row r="173" spans="1:119" ht="25.5" customHeight="1" thickTop="1" thickBot="1" x14ac:dyDescent="0.2">
      <c r="A173" s="676">
        <f t="shared" si="19"/>
        <v>158</v>
      </c>
      <c r="B173" s="1054"/>
      <c r="C173" s="1054"/>
      <c r="D173" s="83"/>
      <c r="E173" s="954"/>
      <c r="F173" s="52"/>
      <c r="G173" s="103"/>
      <c r="H173" s="1058"/>
      <c r="I173" s="684" t="str">
        <f t="shared" si="16"/>
        <v/>
      </c>
      <c r="J173" s="685">
        <f t="shared" si="17"/>
        <v>0</v>
      </c>
      <c r="K173" s="1258"/>
      <c r="L173" s="1251"/>
      <c r="M173" s="1257"/>
      <c r="N173" s="719" t="str">
        <f t="shared" si="20"/>
        <v/>
      </c>
      <c r="O173" s="720" t="str">
        <f>IF('Set up ~ Config'!$G$32=6,IF(OR($N173=7,$N173=8,$N173=9),1,IF(OR($N173=10,$N173=11,$N173=12),2,IF(OR($N173=1,$N173=2,$N173=3),3,IF(OR($N173=4,$N173=5,$N173=6),4,"")))),IF(OR($N173=9,$N173=10,$N173=11),1,IF(OR($N173=12,$N173=1,$N173=2),2,IF(OR($N173=3,$N173=4,$N173=5),3,IF(OR($N173=6,$N173=7,$N173=8),4,"")))))</f>
        <v/>
      </c>
      <c r="P173" s="99"/>
      <c r="Q173" s="62"/>
      <c r="R173" s="62"/>
      <c r="S173" s="51"/>
      <c r="T173" s="51"/>
      <c r="U173" s="51"/>
      <c r="V173" s="51"/>
      <c r="W173" s="51"/>
      <c r="X173" s="51"/>
      <c r="Y173" s="51"/>
      <c r="Z173" s="51"/>
      <c r="AA173" s="51"/>
      <c r="AB173" s="51"/>
      <c r="AC173" s="51"/>
      <c r="AD173" s="51"/>
      <c r="AE173" s="51"/>
      <c r="AF173" s="51"/>
      <c r="AG173" s="51"/>
      <c r="AH173" s="94"/>
      <c r="AI173" s="94"/>
      <c r="AJ173" s="94"/>
      <c r="AK173" s="94"/>
      <c r="AL173" s="94"/>
      <c r="AM173" s="94"/>
      <c r="AN173" s="94"/>
      <c r="AO173" s="95"/>
      <c r="AP173" s="686">
        <f t="shared" si="21"/>
        <v>0</v>
      </c>
      <c r="AQ173" s="42"/>
      <c r="AR173" s="42"/>
      <c r="AS173" s="42"/>
      <c r="AT173" s="43"/>
      <c r="AU173" s="687">
        <f t="shared" si="22"/>
        <v>0</v>
      </c>
      <c r="AV173" s="42"/>
      <c r="AW173" s="42"/>
      <c r="AX173" s="42"/>
      <c r="AY173" s="43"/>
      <c r="AZ173" s="486"/>
      <c r="BA173" s="51"/>
      <c r="BB173" s="51"/>
      <c r="BC173" s="51"/>
      <c r="BD173" s="51"/>
      <c r="BE173" s="51"/>
      <c r="BF173" s="51"/>
      <c r="BG173" s="51"/>
      <c r="BH173" s="94"/>
      <c r="BI173" s="94"/>
      <c r="BJ173" s="94"/>
      <c r="BK173" s="94"/>
      <c r="BL173" s="94"/>
      <c r="BM173" s="483"/>
      <c r="BN173" s="94"/>
      <c r="BO173" s="94"/>
      <c r="BP173" s="94"/>
      <c r="BQ173" s="94"/>
      <c r="BR173" s="94"/>
      <c r="BS173" s="94"/>
      <c r="BT173" s="94"/>
      <c r="BU173" s="94"/>
      <c r="BV173" s="94"/>
      <c r="BW173" s="688">
        <f t="shared" si="18"/>
        <v>0</v>
      </c>
      <c r="BX173" s="51"/>
      <c r="BY173" s="51"/>
      <c r="BZ173" s="51"/>
      <c r="CA173" s="51"/>
      <c r="CB173" s="51"/>
      <c r="CC173" s="51"/>
      <c r="CD173" s="97"/>
      <c r="CE173" s="479"/>
      <c r="CF173" s="51"/>
      <c r="CG173" s="51"/>
      <c r="CH173" s="62"/>
      <c r="CI173" s="62"/>
      <c r="CJ173" s="51"/>
      <c r="CK173" s="51"/>
      <c r="CL173" s="95"/>
      <c r="CM173" s="93"/>
      <c r="CN173" s="51"/>
      <c r="CO173" s="51"/>
      <c r="CP173" s="51"/>
      <c r="CQ173" s="51"/>
      <c r="CR173" s="51"/>
      <c r="CS173" s="51"/>
      <c r="CT173" s="51"/>
      <c r="CU173" s="95"/>
      <c r="CV173" s="93"/>
      <c r="CW173" s="51"/>
      <c r="CX173" s="51"/>
      <c r="CY173" s="51"/>
      <c r="CZ173" s="51"/>
      <c r="DA173" s="51"/>
      <c r="DB173" s="51"/>
      <c r="DC173" s="51"/>
      <c r="DD173" s="95"/>
      <c r="DE173" s="93"/>
      <c r="DF173" s="51"/>
      <c r="DG173" s="51"/>
      <c r="DH173" s="51"/>
      <c r="DI173" s="51"/>
      <c r="DJ173" s="51"/>
      <c r="DK173" s="51"/>
      <c r="DL173" s="95"/>
      <c r="DM173" s="478"/>
      <c r="DN173" s="682">
        <f t="shared" si="23"/>
        <v>0</v>
      </c>
      <c r="DO173" s="683"/>
    </row>
    <row r="174" spans="1:119" ht="25.5" customHeight="1" thickTop="1" thickBot="1" x14ac:dyDescent="0.2">
      <c r="A174" s="676">
        <f t="shared" si="19"/>
        <v>159</v>
      </c>
      <c r="B174" s="1054"/>
      <c r="C174" s="1054"/>
      <c r="D174" s="83"/>
      <c r="E174" s="954"/>
      <c r="F174" s="52"/>
      <c r="G174" s="103"/>
      <c r="H174" s="1058"/>
      <c r="I174" s="684" t="str">
        <f t="shared" si="16"/>
        <v/>
      </c>
      <c r="J174" s="685">
        <f t="shared" si="17"/>
        <v>0</v>
      </c>
      <c r="K174" s="1258"/>
      <c r="L174" s="1251"/>
      <c r="M174" s="1257"/>
      <c r="N174" s="719" t="str">
        <f t="shared" si="20"/>
        <v/>
      </c>
      <c r="O174" s="720" t="str">
        <f>IF('Set up ~ Config'!$G$32=6,IF(OR($N174=7,$N174=8,$N174=9),1,IF(OR($N174=10,$N174=11,$N174=12),2,IF(OR($N174=1,$N174=2,$N174=3),3,IF(OR($N174=4,$N174=5,$N174=6),4,"")))),IF(OR($N174=9,$N174=10,$N174=11),1,IF(OR($N174=12,$N174=1,$N174=2),2,IF(OR($N174=3,$N174=4,$N174=5),3,IF(OR($N174=6,$N174=7,$N174=8),4,"")))))</f>
        <v/>
      </c>
      <c r="P174" s="99"/>
      <c r="Q174" s="62"/>
      <c r="R174" s="62"/>
      <c r="S174" s="51"/>
      <c r="T174" s="51"/>
      <c r="U174" s="51"/>
      <c r="V174" s="51"/>
      <c r="W174" s="51"/>
      <c r="X174" s="51"/>
      <c r="Y174" s="51"/>
      <c r="Z174" s="51"/>
      <c r="AA174" s="51"/>
      <c r="AB174" s="51"/>
      <c r="AC174" s="51"/>
      <c r="AD174" s="51"/>
      <c r="AE174" s="51"/>
      <c r="AF174" s="51"/>
      <c r="AG174" s="51"/>
      <c r="AH174" s="94"/>
      <c r="AI174" s="94"/>
      <c r="AJ174" s="94"/>
      <c r="AK174" s="94"/>
      <c r="AL174" s="94"/>
      <c r="AM174" s="94"/>
      <c r="AN174" s="94"/>
      <c r="AO174" s="95"/>
      <c r="AP174" s="686">
        <f t="shared" si="21"/>
        <v>0</v>
      </c>
      <c r="AQ174" s="42"/>
      <c r="AR174" s="42"/>
      <c r="AS174" s="42"/>
      <c r="AT174" s="43"/>
      <c r="AU174" s="687">
        <f t="shared" si="22"/>
        <v>0</v>
      </c>
      <c r="AV174" s="42"/>
      <c r="AW174" s="42"/>
      <c r="AX174" s="42"/>
      <c r="AY174" s="43"/>
      <c r="AZ174" s="486"/>
      <c r="BA174" s="51"/>
      <c r="BB174" s="51"/>
      <c r="BC174" s="51"/>
      <c r="BD174" s="51"/>
      <c r="BE174" s="51"/>
      <c r="BF174" s="51"/>
      <c r="BG174" s="51"/>
      <c r="BH174" s="94"/>
      <c r="BI174" s="94"/>
      <c r="BJ174" s="94"/>
      <c r="BK174" s="94"/>
      <c r="BL174" s="94"/>
      <c r="BM174" s="483"/>
      <c r="BN174" s="94"/>
      <c r="BO174" s="94"/>
      <c r="BP174" s="94"/>
      <c r="BQ174" s="94"/>
      <c r="BR174" s="94"/>
      <c r="BS174" s="94"/>
      <c r="BT174" s="94"/>
      <c r="BU174" s="94"/>
      <c r="BV174" s="94"/>
      <c r="BW174" s="688">
        <f t="shared" si="18"/>
        <v>0</v>
      </c>
      <c r="BX174" s="51"/>
      <c r="BY174" s="51"/>
      <c r="BZ174" s="51"/>
      <c r="CA174" s="51"/>
      <c r="CB174" s="51"/>
      <c r="CC174" s="51"/>
      <c r="CD174" s="97"/>
      <c r="CE174" s="479"/>
      <c r="CF174" s="51"/>
      <c r="CG174" s="51"/>
      <c r="CH174" s="62"/>
      <c r="CI174" s="62"/>
      <c r="CJ174" s="51"/>
      <c r="CK174" s="51"/>
      <c r="CL174" s="95"/>
      <c r="CM174" s="93"/>
      <c r="CN174" s="51"/>
      <c r="CO174" s="51"/>
      <c r="CP174" s="51"/>
      <c r="CQ174" s="51"/>
      <c r="CR174" s="51"/>
      <c r="CS174" s="51"/>
      <c r="CT174" s="51"/>
      <c r="CU174" s="95"/>
      <c r="CV174" s="93"/>
      <c r="CW174" s="51"/>
      <c r="CX174" s="51"/>
      <c r="CY174" s="51"/>
      <c r="CZ174" s="51"/>
      <c r="DA174" s="51"/>
      <c r="DB174" s="51"/>
      <c r="DC174" s="51"/>
      <c r="DD174" s="95"/>
      <c r="DE174" s="93"/>
      <c r="DF174" s="51"/>
      <c r="DG174" s="51"/>
      <c r="DH174" s="51"/>
      <c r="DI174" s="51"/>
      <c r="DJ174" s="51"/>
      <c r="DK174" s="51"/>
      <c r="DL174" s="95"/>
      <c r="DM174" s="478"/>
      <c r="DN174" s="682">
        <f t="shared" si="23"/>
        <v>0</v>
      </c>
      <c r="DO174" s="683"/>
    </row>
    <row r="175" spans="1:119" ht="25.5" customHeight="1" thickTop="1" thickBot="1" x14ac:dyDescent="0.2">
      <c r="A175" s="676">
        <f t="shared" si="19"/>
        <v>160</v>
      </c>
      <c r="B175" s="1054"/>
      <c r="C175" s="1054"/>
      <c r="D175" s="83"/>
      <c r="E175" s="954"/>
      <c r="F175" s="52"/>
      <c r="G175" s="103"/>
      <c r="H175" s="1058"/>
      <c r="I175" s="684" t="str">
        <f t="shared" si="16"/>
        <v/>
      </c>
      <c r="J175" s="685">
        <f t="shared" si="17"/>
        <v>0</v>
      </c>
      <c r="K175" s="1258"/>
      <c r="L175" s="1251"/>
      <c r="M175" s="1257"/>
      <c r="N175" s="719" t="str">
        <f t="shared" si="20"/>
        <v/>
      </c>
      <c r="O175" s="720" t="str">
        <f>IF('Set up ~ Config'!$G$32=6,IF(OR($N175=7,$N175=8,$N175=9),1,IF(OR($N175=10,$N175=11,$N175=12),2,IF(OR($N175=1,$N175=2,$N175=3),3,IF(OR($N175=4,$N175=5,$N175=6),4,"")))),IF(OR($N175=9,$N175=10,$N175=11),1,IF(OR($N175=12,$N175=1,$N175=2),2,IF(OR($N175=3,$N175=4,$N175=5),3,IF(OR($N175=6,$N175=7,$N175=8),4,"")))))</f>
        <v/>
      </c>
      <c r="P175" s="99"/>
      <c r="Q175" s="62"/>
      <c r="R175" s="62"/>
      <c r="S175" s="51"/>
      <c r="T175" s="51"/>
      <c r="U175" s="51"/>
      <c r="V175" s="51"/>
      <c r="W175" s="51"/>
      <c r="X175" s="51"/>
      <c r="Y175" s="51"/>
      <c r="Z175" s="51"/>
      <c r="AA175" s="51"/>
      <c r="AB175" s="51"/>
      <c r="AC175" s="51"/>
      <c r="AD175" s="51"/>
      <c r="AE175" s="51"/>
      <c r="AF175" s="51"/>
      <c r="AG175" s="51"/>
      <c r="AH175" s="94"/>
      <c r="AI175" s="94"/>
      <c r="AJ175" s="94"/>
      <c r="AK175" s="94"/>
      <c r="AL175" s="94"/>
      <c r="AM175" s="94"/>
      <c r="AN175" s="94"/>
      <c r="AO175" s="95"/>
      <c r="AP175" s="686">
        <f t="shared" si="21"/>
        <v>0</v>
      </c>
      <c r="AQ175" s="42"/>
      <c r="AR175" s="42"/>
      <c r="AS175" s="42"/>
      <c r="AT175" s="43"/>
      <c r="AU175" s="687">
        <f t="shared" si="22"/>
        <v>0</v>
      </c>
      <c r="AV175" s="42"/>
      <c r="AW175" s="42"/>
      <c r="AX175" s="42"/>
      <c r="AY175" s="43"/>
      <c r="AZ175" s="486"/>
      <c r="BA175" s="51"/>
      <c r="BB175" s="51"/>
      <c r="BC175" s="51"/>
      <c r="BD175" s="51"/>
      <c r="BE175" s="51"/>
      <c r="BF175" s="51"/>
      <c r="BG175" s="51"/>
      <c r="BH175" s="94"/>
      <c r="BI175" s="94"/>
      <c r="BJ175" s="94"/>
      <c r="BK175" s="94"/>
      <c r="BL175" s="94"/>
      <c r="BM175" s="483"/>
      <c r="BN175" s="94"/>
      <c r="BO175" s="94"/>
      <c r="BP175" s="94"/>
      <c r="BQ175" s="94"/>
      <c r="BR175" s="94"/>
      <c r="BS175" s="94"/>
      <c r="BT175" s="94"/>
      <c r="BU175" s="94"/>
      <c r="BV175" s="94"/>
      <c r="BW175" s="688">
        <f t="shared" si="18"/>
        <v>0</v>
      </c>
      <c r="BX175" s="51"/>
      <c r="BY175" s="51"/>
      <c r="BZ175" s="51"/>
      <c r="CA175" s="51"/>
      <c r="CB175" s="51"/>
      <c r="CC175" s="51"/>
      <c r="CD175" s="97"/>
      <c r="CE175" s="479"/>
      <c r="CF175" s="51"/>
      <c r="CG175" s="51"/>
      <c r="CH175" s="62"/>
      <c r="CI175" s="62"/>
      <c r="CJ175" s="51"/>
      <c r="CK175" s="51"/>
      <c r="CL175" s="95"/>
      <c r="CM175" s="93"/>
      <c r="CN175" s="51"/>
      <c r="CO175" s="51"/>
      <c r="CP175" s="51"/>
      <c r="CQ175" s="51"/>
      <c r="CR175" s="51"/>
      <c r="CS175" s="51"/>
      <c r="CT175" s="51"/>
      <c r="CU175" s="95"/>
      <c r="CV175" s="93"/>
      <c r="CW175" s="51"/>
      <c r="CX175" s="51"/>
      <c r="CY175" s="51"/>
      <c r="CZ175" s="51"/>
      <c r="DA175" s="51"/>
      <c r="DB175" s="51"/>
      <c r="DC175" s="51"/>
      <c r="DD175" s="95"/>
      <c r="DE175" s="93"/>
      <c r="DF175" s="51"/>
      <c r="DG175" s="51"/>
      <c r="DH175" s="51"/>
      <c r="DI175" s="51"/>
      <c r="DJ175" s="51"/>
      <c r="DK175" s="51"/>
      <c r="DL175" s="95"/>
      <c r="DM175" s="478"/>
      <c r="DN175" s="682">
        <f t="shared" si="23"/>
        <v>0</v>
      </c>
      <c r="DO175" s="683"/>
    </row>
    <row r="176" spans="1:119" ht="25.5" customHeight="1" thickTop="1" thickBot="1" x14ac:dyDescent="0.2">
      <c r="A176" s="676">
        <f t="shared" si="19"/>
        <v>161</v>
      </c>
      <c r="B176" s="1054"/>
      <c r="C176" s="1054"/>
      <c r="D176" s="83"/>
      <c r="E176" s="954"/>
      <c r="F176" s="52"/>
      <c r="G176" s="103"/>
      <c r="H176" s="1058"/>
      <c r="I176" s="684" t="str">
        <f t="shared" si="16"/>
        <v/>
      </c>
      <c r="J176" s="685">
        <f t="shared" si="17"/>
        <v>0</v>
      </c>
      <c r="K176" s="1258"/>
      <c r="L176" s="1251"/>
      <c r="M176" s="1257"/>
      <c r="N176" s="719" t="str">
        <f t="shared" si="20"/>
        <v/>
      </c>
      <c r="O176" s="720" t="str">
        <f>IF('Set up ~ Config'!$G$32=6,IF(OR($N176=7,$N176=8,$N176=9),1,IF(OR($N176=10,$N176=11,$N176=12),2,IF(OR($N176=1,$N176=2,$N176=3),3,IF(OR($N176=4,$N176=5,$N176=6),4,"")))),IF(OR($N176=9,$N176=10,$N176=11),1,IF(OR($N176=12,$N176=1,$N176=2),2,IF(OR($N176=3,$N176=4,$N176=5),3,IF(OR($N176=6,$N176=7,$N176=8),4,"")))))</f>
        <v/>
      </c>
      <c r="P176" s="99"/>
      <c r="Q176" s="62"/>
      <c r="R176" s="62"/>
      <c r="S176" s="51"/>
      <c r="T176" s="51"/>
      <c r="U176" s="51"/>
      <c r="V176" s="51"/>
      <c r="W176" s="51"/>
      <c r="X176" s="51"/>
      <c r="Y176" s="51"/>
      <c r="Z176" s="51"/>
      <c r="AA176" s="51"/>
      <c r="AB176" s="51"/>
      <c r="AC176" s="51"/>
      <c r="AD176" s="51"/>
      <c r="AE176" s="51"/>
      <c r="AF176" s="51"/>
      <c r="AG176" s="51"/>
      <c r="AH176" s="94"/>
      <c r="AI176" s="94"/>
      <c r="AJ176" s="94"/>
      <c r="AK176" s="94"/>
      <c r="AL176" s="94"/>
      <c r="AM176" s="94"/>
      <c r="AN176" s="94"/>
      <c r="AO176" s="95"/>
      <c r="AP176" s="686">
        <f t="shared" si="21"/>
        <v>0</v>
      </c>
      <c r="AQ176" s="42"/>
      <c r="AR176" s="42"/>
      <c r="AS176" s="42"/>
      <c r="AT176" s="43"/>
      <c r="AU176" s="687">
        <f t="shared" si="22"/>
        <v>0</v>
      </c>
      <c r="AV176" s="42"/>
      <c r="AW176" s="42"/>
      <c r="AX176" s="42"/>
      <c r="AY176" s="43"/>
      <c r="AZ176" s="486"/>
      <c r="BA176" s="51"/>
      <c r="BB176" s="51"/>
      <c r="BC176" s="51"/>
      <c r="BD176" s="51"/>
      <c r="BE176" s="51"/>
      <c r="BF176" s="51"/>
      <c r="BG176" s="51"/>
      <c r="BH176" s="94"/>
      <c r="BI176" s="94"/>
      <c r="BJ176" s="94"/>
      <c r="BK176" s="94"/>
      <c r="BL176" s="94"/>
      <c r="BM176" s="483"/>
      <c r="BN176" s="94"/>
      <c r="BO176" s="94"/>
      <c r="BP176" s="94"/>
      <c r="BQ176" s="94"/>
      <c r="BR176" s="94"/>
      <c r="BS176" s="94"/>
      <c r="BT176" s="94"/>
      <c r="BU176" s="94"/>
      <c r="BV176" s="94"/>
      <c r="BW176" s="688">
        <f t="shared" si="18"/>
        <v>0</v>
      </c>
      <c r="BX176" s="51"/>
      <c r="BY176" s="51"/>
      <c r="BZ176" s="51"/>
      <c r="CA176" s="51"/>
      <c r="CB176" s="51"/>
      <c r="CC176" s="51"/>
      <c r="CD176" s="97"/>
      <c r="CE176" s="479"/>
      <c r="CF176" s="51"/>
      <c r="CG176" s="51"/>
      <c r="CH176" s="62"/>
      <c r="CI176" s="62"/>
      <c r="CJ176" s="51"/>
      <c r="CK176" s="51"/>
      <c r="CL176" s="95"/>
      <c r="CM176" s="93"/>
      <c r="CN176" s="51"/>
      <c r="CO176" s="51"/>
      <c r="CP176" s="51"/>
      <c r="CQ176" s="51"/>
      <c r="CR176" s="51"/>
      <c r="CS176" s="51"/>
      <c r="CT176" s="51"/>
      <c r="CU176" s="95"/>
      <c r="CV176" s="93"/>
      <c r="CW176" s="51"/>
      <c r="CX176" s="51"/>
      <c r="CY176" s="51"/>
      <c r="CZ176" s="51"/>
      <c r="DA176" s="51"/>
      <c r="DB176" s="51"/>
      <c r="DC176" s="51"/>
      <c r="DD176" s="95"/>
      <c r="DE176" s="93"/>
      <c r="DF176" s="51"/>
      <c r="DG176" s="51"/>
      <c r="DH176" s="51"/>
      <c r="DI176" s="51"/>
      <c r="DJ176" s="51"/>
      <c r="DK176" s="51"/>
      <c r="DL176" s="95"/>
      <c r="DM176" s="478"/>
      <c r="DN176" s="682">
        <f t="shared" si="23"/>
        <v>0</v>
      </c>
      <c r="DO176" s="683"/>
    </row>
    <row r="177" spans="1:119" ht="25.5" customHeight="1" thickTop="1" thickBot="1" x14ac:dyDescent="0.2">
      <c r="A177" s="676">
        <f t="shared" si="19"/>
        <v>162</v>
      </c>
      <c r="B177" s="1054"/>
      <c r="C177" s="1054"/>
      <c r="D177" s="83"/>
      <c r="E177" s="954"/>
      <c r="F177" s="52"/>
      <c r="G177" s="103"/>
      <c r="H177" s="1058"/>
      <c r="I177" s="684" t="str">
        <f t="shared" si="16"/>
        <v/>
      </c>
      <c r="J177" s="685">
        <f t="shared" si="17"/>
        <v>0</v>
      </c>
      <c r="K177" s="1258"/>
      <c r="L177" s="1251"/>
      <c r="M177" s="1257"/>
      <c r="N177" s="719" t="str">
        <f t="shared" si="20"/>
        <v/>
      </c>
      <c r="O177" s="720" t="str">
        <f>IF('Set up ~ Config'!$G$32=6,IF(OR($N177=7,$N177=8,$N177=9),1,IF(OR($N177=10,$N177=11,$N177=12),2,IF(OR($N177=1,$N177=2,$N177=3),3,IF(OR($N177=4,$N177=5,$N177=6),4,"")))),IF(OR($N177=9,$N177=10,$N177=11),1,IF(OR($N177=12,$N177=1,$N177=2),2,IF(OR($N177=3,$N177=4,$N177=5),3,IF(OR($N177=6,$N177=7,$N177=8),4,"")))))</f>
        <v/>
      </c>
      <c r="P177" s="99"/>
      <c r="Q177" s="62"/>
      <c r="R177" s="62"/>
      <c r="S177" s="51"/>
      <c r="T177" s="51"/>
      <c r="U177" s="51"/>
      <c r="V177" s="51"/>
      <c r="W177" s="51"/>
      <c r="X177" s="51"/>
      <c r="Y177" s="51"/>
      <c r="Z177" s="51"/>
      <c r="AA177" s="51"/>
      <c r="AB177" s="51"/>
      <c r="AC177" s="51"/>
      <c r="AD177" s="51"/>
      <c r="AE177" s="51"/>
      <c r="AF177" s="51"/>
      <c r="AG177" s="51"/>
      <c r="AH177" s="94"/>
      <c r="AI177" s="94"/>
      <c r="AJ177" s="94"/>
      <c r="AK177" s="94"/>
      <c r="AL177" s="94"/>
      <c r="AM177" s="94"/>
      <c r="AN177" s="94"/>
      <c r="AO177" s="95"/>
      <c r="AP177" s="686">
        <f t="shared" si="21"/>
        <v>0</v>
      </c>
      <c r="AQ177" s="42"/>
      <c r="AR177" s="42"/>
      <c r="AS177" s="42"/>
      <c r="AT177" s="43"/>
      <c r="AU177" s="687">
        <f t="shared" si="22"/>
        <v>0</v>
      </c>
      <c r="AV177" s="42"/>
      <c r="AW177" s="42"/>
      <c r="AX177" s="42"/>
      <c r="AY177" s="43"/>
      <c r="AZ177" s="486"/>
      <c r="BA177" s="51"/>
      <c r="BB177" s="51"/>
      <c r="BC177" s="51"/>
      <c r="BD177" s="51"/>
      <c r="BE177" s="51"/>
      <c r="BF177" s="51"/>
      <c r="BG177" s="51"/>
      <c r="BH177" s="94"/>
      <c r="BI177" s="94"/>
      <c r="BJ177" s="94"/>
      <c r="BK177" s="94"/>
      <c r="BL177" s="94"/>
      <c r="BM177" s="483"/>
      <c r="BN177" s="94"/>
      <c r="BO177" s="94"/>
      <c r="BP177" s="94"/>
      <c r="BQ177" s="94"/>
      <c r="BR177" s="94"/>
      <c r="BS177" s="94"/>
      <c r="BT177" s="94"/>
      <c r="BU177" s="94"/>
      <c r="BV177" s="94"/>
      <c r="BW177" s="688">
        <f t="shared" si="18"/>
        <v>0</v>
      </c>
      <c r="BX177" s="51"/>
      <c r="BY177" s="51"/>
      <c r="BZ177" s="51"/>
      <c r="CA177" s="51"/>
      <c r="CB177" s="51"/>
      <c r="CC177" s="51"/>
      <c r="CD177" s="97"/>
      <c r="CE177" s="479"/>
      <c r="CF177" s="51"/>
      <c r="CG177" s="51"/>
      <c r="CH177" s="62"/>
      <c r="CI177" s="62"/>
      <c r="CJ177" s="51"/>
      <c r="CK177" s="51"/>
      <c r="CL177" s="95"/>
      <c r="CM177" s="93"/>
      <c r="CN177" s="51"/>
      <c r="CO177" s="51"/>
      <c r="CP177" s="51"/>
      <c r="CQ177" s="51"/>
      <c r="CR177" s="51"/>
      <c r="CS177" s="51"/>
      <c r="CT177" s="51"/>
      <c r="CU177" s="95"/>
      <c r="CV177" s="93"/>
      <c r="CW177" s="51"/>
      <c r="CX177" s="51"/>
      <c r="CY177" s="51"/>
      <c r="CZ177" s="51"/>
      <c r="DA177" s="51"/>
      <c r="DB177" s="51"/>
      <c r="DC177" s="51"/>
      <c r="DD177" s="95"/>
      <c r="DE177" s="93"/>
      <c r="DF177" s="51"/>
      <c r="DG177" s="51"/>
      <c r="DH177" s="51"/>
      <c r="DI177" s="51"/>
      <c r="DJ177" s="51"/>
      <c r="DK177" s="51"/>
      <c r="DL177" s="95"/>
      <c r="DM177" s="478"/>
      <c r="DN177" s="682">
        <f t="shared" si="23"/>
        <v>0</v>
      </c>
      <c r="DO177" s="683"/>
    </row>
    <row r="178" spans="1:119" ht="25.5" customHeight="1" thickTop="1" thickBot="1" x14ac:dyDescent="0.2">
      <c r="A178" s="676">
        <f t="shared" si="19"/>
        <v>163</v>
      </c>
      <c r="B178" s="1054"/>
      <c r="C178" s="1054"/>
      <c r="D178" s="83"/>
      <c r="E178" s="954"/>
      <c r="F178" s="52"/>
      <c r="G178" s="103"/>
      <c r="H178" s="1058"/>
      <c r="I178" s="684" t="str">
        <f t="shared" si="16"/>
        <v/>
      </c>
      <c r="J178" s="685">
        <f t="shared" si="17"/>
        <v>0</v>
      </c>
      <c r="K178" s="1258"/>
      <c r="L178" s="1251"/>
      <c r="M178" s="1257"/>
      <c r="N178" s="719" t="str">
        <f t="shared" si="20"/>
        <v/>
      </c>
      <c r="O178" s="720" t="str">
        <f>IF('Set up ~ Config'!$G$32=6,IF(OR($N178=7,$N178=8,$N178=9),1,IF(OR($N178=10,$N178=11,$N178=12),2,IF(OR($N178=1,$N178=2,$N178=3),3,IF(OR($N178=4,$N178=5,$N178=6),4,"")))),IF(OR($N178=9,$N178=10,$N178=11),1,IF(OR($N178=12,$N178=1,$N178=2),2,IF(OR($N178=3,$N178=4,$N178=5),3,IF(OR($N178=6,$N178=7,$N178=8),4,"")))))</f>
        <v/>
      </c>
      <c r="P178" s="99"/>
      <c r="Q178" s="62"/>
      <c r="R178" s="62"/>
      <c r="S178" s="51"/>
      <c r="T178" s="51"/>
      <c r="U178" s="51"/>
      <c r="V178" s="51"/>
      <c r="W178" s="51"/>
      <c r="X178" s="51"/>
      <c r="Y178" s="51"/>
      <c r="Z178" s="51"/>
      <c r="AA178" s="51"/>
      <c r="AB178" s="51"/>
      <c r="AC178" s="51"/>
      <c r="AD178" s="51"/>
      <c r="AE178" s="51"/>
      <c r="AF178" s="51"/>
      <c r="AG178" s="51"/>
      <c r="AH178" s="94"/>
      <c r="AI178" s="94"/>
      <c r="AJ178" s="94"/>
      <c r="AK178" s="94"/>
      <c r="AL178" s="94"/>
      <c r="AM178" s="94"/>
      <c r="AN178" s="94"/>
      <c r="AO178" s="95"/>
      <c r="AP178" s="686">
        <f t="shared" si="21"/>
        <v>0</v>
      </c>
      <c r="AQ178" s="42"/>
      <c r="AR178" s="42"/>
      <c r="AS178" s="42"/>
      <c r="AT178" s="43"/>
      <c r="AU178" s="687">
        <f t="shared" si="22"/>
        <v>0</v>
      </c>
      <c r="AV178" s="42"/>
      <c r="AW178" s="42"/>
      <c r="AX178" s="42"/>
      <c r="AY178" s="43"/>
      <c r="AZ178" s="486"/>
      <c r="BA178" s="51"/>
      <c r="BB178" s="51"/>
      <c r="BC178" s="51"/>
      <c r="BD178" s="51"/>
      <c r="BE178" s="51"/>
      <c r="BF178" s="51"/>
      <c r="BG178" s="51"/>
      <c r="BH178" s="94"/>
      <c r="BI178" s="94"/>
      <c r="BJ178" s="94"/>
      <c r="BK178" s="94"/>
      <c r="BL178" s="94"/>
      <c r="BM178" s="483"/>
      <c r="BN178" s="94"/>
      <c r="BO178" s="94"/>
      <c r="BP178" s="94"/>
      <c r="BQ178" s="94"/>
      <c r="BR178" s="94"/>
      <c r="BS178" s="94"/>
      <c r="BT178" s="94"/>
      <c r="BU178" s="94"/>
      <c r="BV178" s="94"/>
      <c r="BW178" s="688">
        <f t="shared" si="18"/>
        <v>0</v>
      </c>
      <c r="BX178" s="51"/>
      <c r="BY178" s="51"/>
      <c r="BZ178" s="51"/>
      <c r="CA178" s="51"/>
      <c r="CB178" s="51"/>
      <c r="CC178" s="51"/>
      <c r="CD178" s="97"/>
      <c r="CE178" s="479"/>
      <c r="CF178" s="51"/>
      <c r="CG178" s="51"/>
      <c r="CH178" s="62"/>
      <c r="CI178" s="62"/>
      <c r="CJ178" s="51"/>
      <c r="CK178" s="51"/>
      <c r="CL178" s="95"/>
      <c r="CM178" s="93"/>
      <c r="CN178" s="51"/>
      <c r="CO178" s="51"/>
      <c r="CP178" s="51"/>
      <c r="CQ178" s="51"/>
      <c r="CR178" s="51"/>
      <c r="CS178" s="51"/>
      <c r="CT178" s="51"/>
      <c r="CU178" s="95"/>
      <c r="CV178" s="93"/>
      <c r="CW178" s="51"/>
      <c r="CX178" s="51"/>
      <c r="CY178" s="51"/>
      <c r="CZ178" s="51"/>
      <c r="DA178" s="51"/>
      <c r="DB178" s="51"/>
      <c r="DC178" s="51"/>
      <c r="DD178" s="95"/>
      <c r="DE178" s="93"/>
      <c r="DF178" s="51"/>
      <c r="DG178" s="51"/>
      <c r="DH178" s="51"/>
      <c r="DI178" s="51"/>
      <c r="DJ178" s="51"/>
      <c r="DK178" s="51"/>
      <c r="DL178" s="95"/>
      <c r="DM178" s="478"/>
      <c r="DN178" s="682">
        <f t="shared" si="23"/>
        <v>0</v>
      </c>
      <c r="DO178" s="683"/>
    </row>
    <row r="179" spans="1:119" ht="25.5" customHeight="1" thickTop="1" thickBot="1" x14ac:dyDescent="0.2">
      <c r="A179" s="676">
        <f t="shared" si="19"/>
        <v>164</v>
      </c>
      <c r="B179" s="1054"/>
      <c r="C179" s="1054"/>
      <c r="D179" s="83"/>
      <c r="E179" s="954"/>
      <c r="F179" s="52"/>
      <c r="G179" s="103"/>
      <c r="H179" s="1058"/>
      <c r="I179" s="684" t="str">
        <f t="shared" si="16"/>
        <v/>
      </c>
      <c r="J179" s="685">
        <f t="shared" si="17"/>
        <v>0</v>
      </c>
      <c r="K179" s="1258"/>
      <c r="L179" s="1251"/>
      <c r="M179" s="1257"/>
      <c r="N179" s="719" t="str">
        <f t="shared" si="20"/>
        <v/>
      </c>
      <c r="O179" s="720" t="str">
        <f>IF('Set up ~ Config'!$G$32=6,IF(OR($N179=7,$N179=8,$N179=9),1,IF(OR($N179=10,$N179=11,$N179=12),2,IF(OR($N179=1,$N179=2,$N179=3),3,IF(OR($N179=4,$N179=5,$N179=6),4,"")))),IF(OR($N179=9,$N179=10,$N179=11),1,IF(OR($N179=12,$N179=1,$N179=2),2,IF(OR($N179=3,$N179=4,$N179=5),3,IF(OR($N179=6,$N179=7,$N179=8),4,"")))))</f>
        <v/>
      </c>
      <c r="P179" s="99"/>
      <c r="Q179" s="62"/>
      <c r="R179" s="62"/>
      <c r="S179" s="51"/>
      <c r="T179" s="51"/>
      <c r="U179" s="51"/>
      <c r="V179" s="51"/>
      <c r="W179" s="51"/>
      <c r="X179" s="51"/>
      <c r="Y179" s="51"/>
      <c r="Z179" s="51"/>
      <c r="AA179" s="51"/>
      <c r="AB179" s="51"/>
      <c r="AC179" s="51"/>
      <c r="AD179" s="51"/>
      <c r="AE179" s="51"/>
      <c r="AF179" s="51"/>
      <c r="AG179" s="51"/>
      <c r="AH179" s="94"/>
      <c r="AI179" s="94"/>
      <c r="AJ179" s="94"/>
      <c r="AK179" s="94"/>
      <c r="AL179" s="94"/>
      <c r="AM179" s="94"/>
      <c r="AN179" s="94"/>
      <c r="AO179" s="95"/>
      <c r="AP179" s="686">
        <f t="shared" si="21"/>
        <v>0</v>
      </c>
      <c r="AQ179" s="42"/>
      <c r="AR179" s="42"/>
      <c r="AS179" s="42"/>
      <c r="AT179" s="43"/>
      <c r="AU179" s="687">
        <f t="shared" si="22"/>
        <v>0</v>
      </c>
      <c r="AV179" s="42"/>
      <c r="AW179" s="42"/>
      <c r="AX179" s="42"/>
      <c r="AY179" s="43"/>
      <c r="AZ179" s="486"/>
      <c r="BA179" s="51"/>
      <c r="BB179" s="51"/>
      <c r="BC179" s="51"/>
      <c r="BD179" s="51"/>
      <c r="BE179" s="51"/>
      <c r="BF179" s="51"/>
      <c r="BG179" s="51"/>
      <c r="BH179" s="94"/>
      <c r="BI179" s="94"/>
      <c r="BJ179" s="94"/>
      <c r="BK179" s="94"/>
      <c r="BL179" s="94"/>
      <c r="BM179" s="483"/>
      <c r="BN179" s="94"/>
      <c r="BO179" s="94"/>
      <c r="BP179" s="94"/>
      <c r="BQ179" s="94"/>
      <c r="BR179" s="94"/>
      <c r="BS179" s="94"/>
      <c r="BT179" s="94"/>
      <c r="BU179" s="94"/>
      <c r="BV179" s="94"/>
      <c r="BW179" s="688">
        <f t="shared" si="18"/>
        <v>0</v>
      </c>
      <c r="BX179" s="51"/>
      <c r="BY179" s="51"/>
      <c r="BZ179" s="51"/>
      <c r="CA179" s="51"/>
      <c r="CB179" s="51"/>
      <c r="CC179" s="51"/>
      <c r="CD179" s="97"/>
      <c r="CE179" s="479"/>
      <c r="CF179" s="51"/>
      <c r="CG179" s="51"/>
      <c r="CH179" s="62"/>
      <c r="CI179" s="62"/>
      <c r="CJ179" s="51"/>
      <c r="CK179" s="51"/>
      <c r="CL179" s="95"/>
      <c r="CM179" s="93"/>
      <c r="CN179" s="51"/>
      <c r="CO179" s="51"/>
      <c r="CP179" s="51"/>
      <c r="CQ179" s="51"/>
      <c r="CR179" s="51"/>
      <c r="CS179" s="51"/>
      <c r="CT179" s="51"/>
      <c r="CU179" s="95"/>
      <c r="CV179" s="93"/>
      <c r="CW179" s="51"/>
      <c r="CX179" s="51"/>
      <c r="CY179" s="51"/>
      <c r="CZ179" s="51"/>
      <c r="DA179" s="51"/>
      <c r="DB179" s="51"/>
      <c r="DC179" s="51"/>
      <c r="DD179" s="95"/>
      <c r="DE179" s="93"/>
      <c r="DF179" s="51"/>
      <c r="DG179" s="51"/>
      <c r="DH179" s="51"/>
      <c r="DI179" s="51"/>
      <c r="DJ179" s="51"/>
      <c r="DK179" s="51"/>
      <c r="DL179" s="95"/>
      <c r="DM179" s="478"/>
      <c r="DN179" s="682">
        <f t="shared" si="23"/>
        <v>0</v>
      </c>
      <c r="DO179" s="683"/>
    </row>
    <row r="180" spans="1:119" ht="25.5" customHeight="1" thickTop="1" thickBot="1" x14ac:dyDescent="0.2">
      <c r="A180" s="676">
        <f t="shared" si="19"/>
        <v>165</v>
      </c>
      <c r="B180" s="1054"/>
      <c r="C180" s="1054"/>
      <c r="D180" s="83"/>
      <c r="E180" s="954"/>
      <c r="F180" s="52"/>
      <c r="G180" s="103"/>
      <c r="H180" s="1058"/>
      <c r="I180" s="684" t="str">
        <f t="shared" si="16"/>
        <v/>
      </c>
      <c r="J180" s="685">
        <f t="shared" si="17"/>
        <v>0</v>
      </c>
      <c r="K180" s="1258"/>
      <c r="L180" s="1251"/>
      <c r="M180" s="1257"/>
      <c r="N180" s="719" t="str">
        <f t="shared" si="20"/>
        <v/>
      </c>
      <c r="O180" s="720" t="str">
        <f>IF('Set up ~ Config'!$G$32=6,IF(OR($N180=7,$N180=8,$N180=9),1,IF(OR($N180=10,$N180=11,$N180=12),2,IF(OR($N180=1,$N180=2,$N180=3),3,IF(OR($N180=4,$N180=5,$N180=6),4,"")))),IF(OR($N180=9,$N180=10,$N180=11),1,IF(OR($N180=12,$N180=1,$N180=2),2,IF(OR($N180=3,$N180=4,$N180=5),3,IF(OR($N180=6,$N180=7,$N180=8),4,"")))))</f>
        <v/>
      </c>
      <c r="P180" s="99"/>
      <c r="Q180" s="62"/>
      <c r="R180" s="62"/>
      <c r="S180" s="51"/>
      <c r="T180" s="51"/>
      <c r="U180" s="51"/>
      <c r="V180" s="51"/>
      <c r="W180" s="51"/>
      <c r="X180" s="51"/>
      <c r="Y180" s="51"/>
      <c r="Z180" s="51"/>
      <c r="AA180" s="51"/>
      <c r="AB180" s="51"/>
      <c r="AC180" s="51"/>
      <c r="AD180" s="51"/>
      <c r="AE180" s="51"/>
      <c r="AF180" s="51"/>
      <c r="AG180" s="51"/>
      <c r="AH180" s="94"/>
      <c r="AI180" s="94"/>
      <c r="AJ180" s="94"/>
      <c r="AK180" s="94"/>
      <c r="AL180" s="94"/>
      <c r="AM180" s="94"/>
      <c r="AN180" s="94"/>
      <c r="AO180" s="95"/>
      <c r="AP180" s="686">
        <f t="shared" si="21"/>
        <v>0</v>
      </c>
      <c r="AQ180" s="42"/>
      <c r="AR180" s="42"/>
      <c r="AS180" s="42"/>
      <c r="AT180" s="43"/>
      <c r="AU180" s="687">
        <f t="shared" si="22"/>
        <v>0</v>
      </c>
      <c r="AV180" s="42"/>
      <c r="AW180" s="42"/>
      <c r="AX180" s="42"/>
      <c r="AY180" s="43"/>
      <c r="AZ180" s="486"/>
      <c r="BA180" s="51"/>
      <c r="BB180" s="51"/>
      <c r="BC180" s="51"/>
      <c r="BD180" s="51"/>
      <c r="BE180" s="51"/>
      <c r="BF180" s="51"/>
      <c r="BG180" s="51"/>
      <c r="BH180" s="94"/>
      <c r="BI180" s="94"/>
      <c r="BJ180" s="94"/>
      <c r="BK180" s="94"/>
      <c r="BL180" s="94"/>
      <c r="BM180" s="483"/>
      <c r="BN180" s="94"/>
      <c r="BO180" s="94"/>
      <c r="BP180" s="94"/>
      <c r="BQ180" s="94"/>
      <c r="BR180" s="94"/>
      <c r="BS180" s="94"/>
      <c r="BT180" s="94"/>
      <c r="BU180" s="94"/>
      <c r="BV180" s="94"/>
      <c r="BW180" s="688">
        <f t="shared" si="18"/>
        <v>0</v>
      </c>
      <c r="BX180" s="51"/>
      <c r="BY180" s="51"/>
      <c r="BZ180" s="51"/>
      <c r="CA180" s="51"/>
      <c r="CB180" s="51"/>
      <c r="CC180" s="51"/>
      <c r="CD180" s="97"/>
      <c r="CE180" s="479"/>
      <c r="CF180" s="51"/>
      <c r="CG180" s="51"/>
      <c r="CH180" s="62"/>
      <c r="CI180" s="62"/>
      <c r="CJ180" s="51"/>
      <c r="CK180" s="51"/>
      <c r="CL180" s="95"/>
      <c r="CM180" s="93"/>
      <c r="CN180" s="51"/>
      <c r="CO180" s="51"/>
      <c r="CP180" s="51"/>
      <c r="CQ180" s="51"/>
      <c r="CR180" s="51"/>
      <c r="CS180" s="51"/>
      <c r="CT180" s="51"/>
      <c r="CU180" s="95"/>
      <c r="CV180" s="93"/>
      <c r="CW180" s="51"/>
      <c r="CX180" s="51"/>
      <c r="CY180" s="51"/>
      <c r="CZ180" s="51"/>
      <c r="DA180" s="51"/>
      <c r="DB180" s="51"/>
      <c r="DC180" s="51"/>
      <c r="DD180" s="95"/>
      <c r="DE180" s="93"/>
      <c r="DF180" s="51"/>
      <c r="DG180" s="51"/>
      <c r="DH180" s="51"/>
      <c r="DI180" s="51"/>
      <c r="DJ180" s="51"/>
      <c r="DK180" s="51"/>
      <c r="DL180" s="95"/>
      <c r="DM180" s="478"/>
      <c r="DN180" s="682">
        <f t="shared" si="23"/>
        <v>0</v>
      </c>
      <c r="DO180" s="683"/>
    </row>
    <row r="181" spans="1:119" ht="25.5" customHeight="1" thickTop="1" thickBot="1" x14ac:dyDescent="0.2">
      <c r="A181" s="676">
        <f t="shared" si="19"/>
        <v>166</v>
      </c>
      <c r="B181" s="1054"/>
      <c r="C181" s="1054"/>
      <c r="D181" s="83"/>
      <c r="E181" s="954"/>
      <c r="F181" s="52"/>
      <c r="G181" s="103"/>
      <c r="H181" s="1058"/>
      <c r="I181" s="684" t="str">
        <f t="shared" si="16"/>
        <v/>
      </c>
      <c r="J181" s="685">
        <f t="shared" si="17"/>
        <v>0</v>
      </c>
      <c r="K181" s="1258"/>
      <c r="L181" s="1251"/>
      <c r="M181" s="1257"/>
      <c r="N181" s="719" t="str">
        <f t="shared" si="20"/>
        <v/>
      </c>
      <c r="O181" s="720" t="str">
        <f>IF('Set up ~ Config'!$G$32=6,IF(OR($N181=7,$N181=8,$N181=9),1,IF(OR($N181=10,$N181=11,$N181=12),2,IF(OR($N181=1,$N181=2,$N181=3),3,IF(OR($N181=4,$N181=5,$N181=6),4,"")))),IF(OR($N181=9,$N181=10,$N181=11),1,IF(OR($N181=12,$N181=1,$N181=2),2,IF(OR($N181=3,$N181=4,$N181=5),3,IF(OR($N181=6,$N181=7,$N181=8),4,"")))))</f>
        <v/>
      </c>
      <c r="P181" s="99"/>
      <c r="Q181" s="62"/>
      <c r="R181" s="62"/>
      <c r="S181" s="51"/>
      <c r="T181" s="51"/>
      <c r="U181" s="51"/>
      <c r="V181" s="51"/>
      <c r="W181" s="51"/>
      <c r="X181" s="51"/>
      <c r="Y181" s="51"/>
      <c r="Z181" s="51"/>
      <c r="AA181" s="51"/>
      <c r="AB181" s="51"/>
      <c r="AC181" s="51"/>
      <c r="AD181" s="51"/>
      <c r="AE181" s="51"/>
      <c r="AF181" s="51"/>
      <c r="AG181" s="51"/>
      <c r="AH181" s="94"/>
      <c r="AI181" s="94"/>
      <c r="AJ181" s="94"/>
      <c r="AK181" s="94"/>
      <c r="AL181" s="94"/>
      <c r="AM181" s="94"/>
      <c r="AN181" s="94"/>
      <c r="AO181" s="95"/>
      <c r="AP181" s="686">
        <f t="shared" si="21"/>
        <v>0</v>
      </c>
      <c r="AQ181" s="42"/>
      <c r="AR181" s="42"/>
      <c r="AS181" s="42"/>
      <c r="AT181" s="43"/>
      <c r="AU181" s="687">
        <f t="shared" si="22"/>
        <v>0</v>
      </c>
      <c r="AV181" s="42"/>
      <c r="AW181" s="42"/>
      <c r="AX181" s="42"/>
      <c r="AY181" s="43"/>
      <c r="AZ181" s="486"/>
      <c r="BA181" s="51"/>
      <c r="BB181" s="51"/>
      <c r="BC181" s="51"/>
      <c r="BD181" s="51"/>
      <c r="BE181" s="51"/>
      <c r="BF181" s="51"/>
      <c r="BG181" s="51"/>
      <c r="BH181" s="94"/>
      <c r="BI181" s="94"/>
      <c r="BJ181" s="94"/>
      <c r="BK181" s="94"/>
      <c r="BL181" s="94"/>
      <c r="BM181" s="483"/>
      <c r="BN181" s="94"/>
      <c r="BO181" s="94"/>
      <c r="BP181" s="94"/>
      <c r="BQ181" s="94"/>
      <c r="BR181" s="94"/>
      <c r="BS181" s="94"/>
      <c r="BT181" s="94"/>
      <c r="BU181" s="94"/>
      <c r="BV181" s="94"/>
      <c r="BW181" s="688">
        <f t="shared" si="18"/>
        <v>0</v>
      </c>
      <c r="BX181" s="51"/>
      <c r="BY181" s="51"/>
      <c r="BZ181" s="51"/>
      <c r="CA181" s="51"/>
      <c r="CB181" s="51"/>
      <c r="CC181" s="51"/>
      <c r="CD181" s="97"/>
      <c r="CE181" s="479"/>
      <c r="CF181" s="51"/>
      <c r="CG181" s="51"/>
      <c r="CH181" s="62"/>
      <c r="CI181" s="62"/>
      <c r="CJ181" s="51"/>
      <c r="CK181" s="51"/>
      <c r="CL181" s="95"/>
      <c r="CM181" s="93"/>
      <c r="CN181" s="51"/>
      <c r="CO181" s="51"/>
      <c r="CP181" s="51"/>
      <c r="CQ181" s="51"/>
      <c r="CR181" s="51"/>
      <c r="CS181" s="51"/>
      <c r="CT181" s="51"/>
      <c r="CU181" s="95"/>
      <c r="CV181" s="93"/>
      <c r="CW181" s="51"/>
      <c r="CX181" s="51"/>
      <c r="CY181" s="51"/>
      <c r="CZ181" s="51"/>
      <c r="DA181" s="51"/>
      <c r="DB181" s="51"/>
      <c r="DC181" s="51"/>
      <c r="DD181" s="95"/>
      <c r="DE181" s="93"/>
      <c r="DF181" s="51"/>
      <c r="DG181" s="51"/>
      <c r="DH181" s="51"/>
      <c r="DI181" s="51"/>
      <c r="DJ181" s="51"/>
      <c r="DK181" s="51"/>
      <c r="DL181" s="95"/>
      <c r="DM181" s="478"/>
      <c r="DN181" s="682">
        <f t="shared" si="23"/>
        <v>0</v>
      </c>
      <c r="DO181" s="683"/>
    </row>
    <row r="182" spans="1:119" ht="25.5" customHeight="1" thickTop="1" thickBot="1" x14ac:dyDescent="0.2">
      <c r="A182" s="676">
        <f t="shared" si="19"/>
        <v>167</v>
      </c>
      <c r="B182" s="1054"/>
      <c r="C182" s="1054"/>
      <c r="D182" s="83"/>
      <c r="E182" s="954"/>
      <c r="F182" s="52"/>
      <c r="G182" s="103"/>
      <c r="H182" s="1058"/>
      <c r="I182" s="684" t="str">
        <f t="shared" si="16"/>
        <v/>
      </c>
      <c r="J182" s="685">
        <f t="shared" si="17"/>
        <v>0</v>
      </c>
      <c r="K182" s="1258"/>
      <c r="L182" s="1251"/>
      <c r="M182" s="1257"/>
      <c r="N182" s="719" t="str">
        <f t="shared" si="20"/>
        <v/>
      </c>
      <c r="O182" s="720" t="str">
        <f>IF('Set up ~ Config'!$G$32=6,IF(OR($N182=7,$N182=8,$N182=9),1,IF(OR($N182=10,$N182=11,$N182=12),2,IF(OR($N182=1,$N182=2,$N182=3),3,IF(OR($N182=4,$N182=5,$N182=6),4,"")))),IF(OR($N182=9,$N182=10,$N182=11),1,IF(OR($N182=12,$N182=1,$N182=2),2,IF(OR($N182=3,$N182=4,$N182=5),3,IF(OR($N182=6,$N182=7,$N182=8),4,"")))))</f>
        <v/>
      </c>
      <c r="P182" s="99"/>
      <c r="Q182" s="62"/>
      <c r="R182" s="62"/>
      <c r="S182" s="51"/>
      <c r="T182" s="51"/>
      <c r="U182" s="51"/>
      <c r="V182" s="51"/>
      <c r="W182" s="51"/>
      <c r="X182" s="51"/>
      <c r="Y182" s="51"/>
      <c r="Z182" s="51"/>
      <c r="AA182" s="51"/>
      <c r="AB182" s="51"/>
      <c r="AC182" s="51"/>
      <c r="AD182" s="51"/>
      <c r="AE182" s="51"/>
      <c r="AF182" s="51"/>
      <c r="AG182" s="51"/>
      <c r="AH182" s="94"/>
      <c r="AI182" s="94"/>
      <c r="AJ182" s="94"/>
      <c r="AK182" s="94"/>
      <c r="AL182" s="94"/>
      <c r="AM182" s="94"/>
      <c r="AN182" s="94"/>
      <c r="AO182" s="95"/>
      <c r="AP182" s="686">
        <f t="shared" si="21"/>
        <v>0</v>
      </c>
      <c r="AQ182" s="42"/>
      <c r="AR182" s="42"/>
      <c r="AS182" s="42"/>
      <c r="AT182" s="43"/>
      <c r="AU182" s="687">
        <f t="shared" si="22"/>
        <v>0</v>
      </c>
      <c r="AV182" s="42"/>
      <c r="AW182" s="42"/>
      <c r="AX182" s="42"/>
      <c r="AY182" s="43"/>
      <c r="AZ182" s="486"/>
      <c r="BA182" s="51"/>
      <c r="BB182" s="51"/>
      <c r="BC182" s="51"/>
      <c r="BD182" s="51"/>
      <c r="BE182" s="51"/>
      <c r="BF182" s="51"/>
      <c r="BG182" s="51"/>
      <c r="BH182" s="94"/>
      <c r="BI182" s="94"/>
      <c r="BJ182" s="94"/>
      <c r="BK182" s="94"/>
      <c r="BL182" s="94"/>
      <c r="BM182" s="483"/>
      <c r="BN182" s="94"/>
      <c r="BO182" s="94"/>
      <c r="BP182" s="94"/>
      <c r="BQ182" s="94"/>
      <c r="BR182" s="94"/>
      <c r="BS182" s="94"/>
      <c r="BT182" s="94"/>
      <c r="BU182" s="94"/>
      <c r="BV182" s="94"/>
      <c r="BW182" s="688">
        <f t="shared" si="18"/>
        <v>0</v>
      </c>
      <c r="BX182" s="51"/>
      <c r="BY182" s="51"/>
      <c r="BZ182" s="51"/>
      <c r="CA182" s="51"/>
      <c r="CB182" s="51"/>
      <c r="CC182" s="51"/>
      <c r="CD182" s="97"/>
      <c r="CE182" s="479"/>
      <c r="CF182" s="51"/>
      <c r="CG182" s="51"/>
      <c r="CH182" s="62"/>
      <c r="CI182" s="62"/>
      <c r="CJ182" s="51"/>
      <c r="CK182" s="51"/>
      <c r="CL182" s="95"/>
      <c r="CM182" s="93"/>
      <c r="CN182" s="51"/>
      <c r="CO182" s="51"/>
      <c r="CP182" s="51"/>
      <c r="CQ182" s="51"/>
      <c r="CR182" s="51"/>
      <c r="CS182" s="51"/>
      <c r="CT182" s="51"/>
      <c r="CU182" s="95"/>
      <c r="CV182" s="93"/>
      <c r="CW182" s="51"/>
      <c r="CX182" s="51"/>
      <c r="CY182" s="51"/>
      <c r="CZ182" s="51"/>
      <c r="DA182" s="51"/>
      <c r="DB182" s="51"/>
      <c r="DC182" s="51"/>
      <c r="DD182" s="95"/>
      <c r="DE182" s="93"/>
      <c r="DF182" s="51"/>
      <c r="DG182" s="51"/>
      <c r="DH182" s="51"/>
      <c r="DI182" s="51"/>
      <c r="DJ182" s="51"/>
      <c r="DK182" s="51"/>
      <c r="DL182" s="95"/>
      <c r="DM182" s="478"/>
      <c r="DN182" s="682">
        <f t="shared" si="23"/>
        <v>0</v>
      </c>
      <c r="DO182" s="683"/>
    </row>
    <row r="183" spans="1:119" ht="25.5" customHeight="1" thickTop="1" thickBot="1" x14ac:dyDescent="0.2">
      <c r="A183" s="676">
        <f t="shared" si="19"/>
        <v>168</v>
      </c>
      <c r="B183" s="1054"/>
      <c r="C183" s="1054"/>
      <c r="D183" s="83"/>
      <c r="E183" s="954"/>
      <c r="F183" s="52"/>
      <c r="G183" s="103"/>
      <c r="H183" s="1058"/>
      <c r="I183" s="684" t="str">
        <f t="shared" si="16"/>
        <v/>
      </c>
      <c r="J183" s="685">
        <f t="shared" si="17"/>
        <v>0</v>
      </c>
      <c r="K183" s="1258"/>
      <c r="L183" s="1251"/>
      <c r="M183" s="1257"/>
      <c r="N183" s="719" t="str">
        <f t="shared" si="20"/>
        <v/>
      </c>
      <c r="O183" s="720" t="str">
        <f>IF('Set up ~ Config'!$G$32=6,IF(OR($N183=7,$N183=8,$N183=9),1,IF(OR($N183=10,$N183=11,$N183=12),2,IF(OR($N183=1,$N183=2,$N183=3),3,IF(OR($N183=4,$N183=5,$N183=6),4,"")))),IF(OR($N183=9,$N183=10,$N183=11),1,IF(OR($N183=12,$N183=1,$N183=2),2,IF(OR($N183=3,$N183=4,$N183=5),3,IF(OR($N183=6,$N183=7,$N183=8),4,"")))))</f>
        <v/>
      </c>
      <c r="P183" s="99"/>
      <c r="Q183" s="62"/>
      <c r="R183" s="62"/>
      <c r="S183" s="51"/>
      <c r="T183" s="51"/>
      <c r="U183" s="51"/>
      <c r="V183" s="51"/>
      <c r="W183" s="51"/>
      <c r="X183" s="51"/>
      <c r="Y183" s="51"/>
      <c r="Z183" s="51"/>
      <c r="AA183" s="51"/>
      <c r="AB183" s="51"/>
      <c r="AC183" s="51"/>
      <c r="AD183" s="51"/>
      <c r="AE183" s="51"/>
      <c r="AF183" s="51"/>
      <c r="AG183" s="51"/>
      <c r="AH183" s="94"/>
      <c r="AI183" s="94"/>
      <c r="AJ183" s="94"/>
      <c r="AK183" s="94"/>
      <c r="AL183" s="94"/>
      <c r="AM183" s="94"/>
      <c r="AN183" s="94"/>
      <c r="AO183" s="95"/>
      <c r="AP183" s="686">
        <f t="shared" si="21"/>
        <v>0</v>
      </c>
      <c r="AQ183" s="42"/>
      <c r="AR183" s="42"/>
      <c r="AS183" s="42"/>
      <c r="AT183" s="43"/>
      <c r="AU183" s="687">
        <f t="shared" si="22"/>
        <v>0</v>
      </c>
      <c r="AV183" s="42"/>
      <c r="AW183" s="42"/>
      <c r="AX183" s="42"/>
      <c r="AY183" s="43"/>
      <c r="AZ183" s="486"/>
      <c r="BA183" s="51"/>
      <c r="BB183" s="51"/>
      <c r="BC183" s="51"/>
      <c r="BD183" s="51"/>
      <c r="BE183" s="51"/>
      <c r="BF183" s="51"/>
      <c r="BG183" s="51"/>
      <c r="BH183" s="94"/>
      <c r="BI183" s="94"/>
      <c r="BJ183" s="94"/>
      <c r="BK183" s="94"/>
      <c r="BL183" s="94"/>
      <c r="BM183" s="483"/>
      <c r="BN183" s="94"/>
      <c r="BO183" s="94"/>
      <c r="BP183" s="94"/>
      <c r="BQ183" s="94"/>
      <c r="BR183" s="94"/>
      <c r="BS183" s="94"/>
      <c r="BT183" s="94"/>
      <c r="BU183" s="94"/>
      <c r="BV183" s="94"/>
      <c r="BW183" s="688">
        <f t="shared" si="18"/>
        <v>0</v>
      </c>
      <c r="BX183" s="51"/>
      <c r="BY183" s="51"/>
      <c r="BZ183" s="51"/>
      <c r="CA183" s="51"/>
      <c r="CB183" s="51"/>
      <c r="CC183" s="51"/>
      <c r="CD183" s="97"/>
      <c r="CE183" s="479"/>
      <c r="CF183" s="51"/>
      <c r="CG183" s="51"/>
      <c r="CH183" s="62"/>
      <c r="CI183" s="62"/>
      <c r="CJ183" s="51"/>
      <c r="CK183" s="51"/>
      <c r="CL183" s="95"/>
      <c r="CM183" s="93"/>
      <c r="CN183" s="51"/>
      <c r="CO183" s="51"/>
      <c r="CP183" s="51"/>
      <c r="CQ183" s="51"/>
      <c r="CR183" s="51"/>
      <c r="CS183" s="51"/>
      <c r="CT183" s="51"/>
      <c r="CU183" s="95"/>
      <c r="CV183" s="93"/>
      <c r="CW183" s="51"/>
      <c r="CX183" s="51"/>
      <c r="CY183" s="51"/>
      <c r="CZ183" s="51"/>
      <c r="DA183" s="51"/>
      <c r="DB183" s="51"/>
      <c r="DC183" s="51"/>
      <c r="DD183" s="95"/>
      <c r="DE183" s="93"/>
      <c r="DF183" s="51"/>
      <c r="DG183" s="51"/>
      <c r="DH183" s="51"/>
      <c r="DI183" s="51"/>
      <c r="DJ183" s="51"/>
      <c r="DK183" s="51"/>
      <c r="DL183" s="95"/>
      <c r="DM183" s="478"/>
      <c r="DN183" s="682">
        <f t="shared" si="23"/>
        <v>0</v>
      </c>
      <c r="DO183" s="683"/>
    </row>
    <row r="184" spans="1:119" ht="25.5" customHeight="1" thickTop="1" thickBot="1" x14ac:dyDescent="0.2">
      <c r="A184" s="676">
        <f t="shared" si="19"/>
        <v>169</v>
      </c>
      <c r="B184" s="1054"/>
      <c r="C184" s="1054"/>
      <c r="D184" s="83"/>
      <c r="E184" s="954"/>
      <c r="F184" s="52"/>
      <c r="G184" s="103"/>
      <c r="H184" s="1058"/>
      <c r="I184" s="684" t="str">
        <f t="shared" si="16"/>
        <v/>
      </c>
      <c r="J184" s="685">
        <f t="shared" si="17"/>
        <v>0</v>
      </c>
      <c r="K184" s="1258"/>
      <c r="L184" s="1251"/>
      <c r="M184" s="1257"/>
      <c r="N184" s="719" t="str">
        <f t="shared" si="20"/>
        <v/>
      </c>
      <c r="O184" s="720" t="str">
        <f>IF('Set up ~ Config'!$G$32=6,IF(OR($N184=7,$N184=8,$N184=9),1,IF(OR($N184=10,$N184=11,$N184=12),2,IF(OR($N184=1,$N184=2,$N184=3),3,IF(OR($N184=4,$N184=5,$N184=6),4,"")))),IF(OR($N184=9,$N184=10,$N184=11),1,IF(OR($N184=12,$N184=1,$N184=2),2,IF(OR($N184=3,$N184=4,$N184=5),3,IF(OR($N184=6,$N184=7,$N184=8),4,"")))))</f>
        <v/>
      </c>
      <c r="P184" s="99"/>
      <c r="Q184" s="62"/>
      <c r="R184" s="62"/>
      <c r="S184" s="51"/>
      <c r="T184" s="51"/>
      <c r="U184" s="51"/>
      <c r="V184" s="51"/>
      <c r="W184" s="51"/>
      <c r="X184" s="51"/>
      <c r="Y184" s="51"/>
      <c r="Z184" s="51"/>
      <c r="AA184" s="51"/>
      <c r="AB184" s="51"/>
      <c r="AC184" s="51"/>
      <c r="AD184" s="51"/>
      <c r="AE184" s="51"/>
      <c r="AF184" s="51"/>
      <c r="AG184" s="51"/>
      <c r="AH184" s="94"/>
      <c r="AI184" s="94"/>
      <c r="AJ184" s="94"/>
      <c r="AK184" s="94"/>
      <c r="AL184" s="94"/>
      <c r="AM184" s="94"/>
      <c r="AN184" s="94"/>
      <c r="AO184" s="95"/>
      <c r="AP184" s="686">
        <f t="shared" si="21"/>
        <v>0</v>
      </c>
      <c r="AQ184" s="42"/>
      <c r="AR184" s="42"/>
      <c r="AS184" s="42"/>
      <c r="AT184" s="43"/>
      <c r="AU184" s="687">
        <f t="shared" si="22"/>
        <v>0</v>
      </c>
      <c r="AV184" s="42"/>
      <c r="AW184" s="42"/>
      <c r="AX184" s="42"/>
      <c r="AY184" s="43"/>
      <c r="AZ184" s="486"/>
      <c r="BA184" s="51"/>
      <c r="BB184" s="51"/>
      <c r="BC184" s="51"/>
      <c r="BD184" s="51"/>
      <c r="BE184" s="51"/>
      <c r="BF184" s="51"/>
      <c r="BG184" s="51"/>
      <c r="BH184" s="94"/>
      <c r="BI184" s="94"/>
      <c r="BJ184" s="94"/>
      <c r="BK184" s="94"/>
      <c r="BL184" s="94"/>
      <c r="BM184" s="483"/>
      <c r="BN184" s="94"/>
      <c r="BO184" s="94"/>
      <c r="BP184" s="94"/>
      <c r="BQ184" s="94"/>
      <c r="BR184" s="94"/>
      <c r="BS184" s="94"/>
      <c r="BT184" s="94"/>
      <c r="BU184" s="94"/>
      <c r="BV184" s="94"/>
      <c r="BW184" s="688">
        <f t="shared" si="18"/>
        <v>0</v>
      </c>
      <c r="BX184" s="51"/>
      <c r="BY184" s="51"/>
      <c r="BZ184" s="51"/>
      <c r="CA184" s="51"/>
      <c r="CB184" s="51"/>
      <c r="CC184" s="51"/>
      <c r="CD184" s="97"/>
      <c r="CE184" s="479"/>
      <c r="CF184" s="51"/>
      <c r="CG184" s="51"/>
      <c r="CH184" s="62"/>
      <c r="CI184" s="62"/>
      <c r="CJ184" s="51"/>
      <c r="CK184" s="51"/>
      <c r="CL184" s="95"/>
      <c r="CM184" s="93"/>
      <c r="CN184" s="51"/>
      <c r="CO184" s="51"/>
      <c r="CP184" s="51"/>
      <c r="CQ184" s="51"/>
      <c r="CR184" s="51"/>
      <c r="CS184" s="51"/>
      <c r="CT184" s="51"/>
      <c r="CU184" s="95"/>
      <c r="CV184" s="93"/>
      <c r="CW184" s="51"/>
      <c r="CX184" s="51"/>
      <c r="CY184" s="51"/>
      <c r="CZ184" s="51"/>
      <c r="DA184" s="51"/>
      <c r="DB184" s="51"/>
      <c r="DC184" s="51"/>
      <c r="DD184" s="95"/>
      <c r="DE184" s="93"/>
      <c r="DF184" s="51"/>
      <c r="DG184" s="51"/>
      <c r="DH184" s="51"/>
      <c r="DI184" s="51"/>
      <c r="DJ184" s="51"/>
      <c r="DK184" s="51"/>
      <c r="DL184" s="95"/>
      <c r="DM184" s="478"/>
      <c r="DN184" s="682">
        <f t="shared" si="23"/>
        <v>0</v>
      </c>
      <c r="DO184" s="683"/>
    </row>
    <row r="185" spans="1:119" ht="25.5" customHeight="1" thickTop="1" thickBot="1" x14ac:dyDescent="0.2">
      <c r="A185" s="676">
        <f t="shared" si="19"/>
        <v>170</v>
      </c>
      <c r="B185" s="1054"/>
      <c r="C185" s="1054"/>
      <c r="D185" s="83"/>
      <c r="E185" s="954"/>
      <c r="F185" s="52"/>
      <c r="G185" s="103"/>
      <c r="H185" s="1058"/>
      <c r="I185" s="684" t="str">
        <f t="shared" si="16"/>
        <v/>
      </c>
      <c r="J185" s="685">
        <f t="shared" si="17"/>
        <v>0</v>
      </c>
      <c r="K185" s="1258"/>
      <c r="L185" s="1251"/>
      <c r="M185" s="1257"/>
      <c r="N185" s="719" t="str">
        <f t="shared" si="20"/>
        <v/>
      </c>
      <c r="O185" s="720" t="str">
        <f>IF('Set up ~ Config'!$G$32=6,IF(OR($N185=7,$N185=8,$N185=9),1,IF(OR($N185=10,$N185=11,$N185=12),2,IF(OR($N185=1,$N185=2,$N185=3),3,IF(OR($N185=4,$N185=5,$N185=6),4,"")))),IF(OR($N185=9,$N185=10,$N185=11),1,IF(OR($N185=12,$N185=1,$N185=2),2,IF(OR($N185=3,$N185=4,$N185=5),3,IF(OR($N185=6,$N185=7,$N185=8),4,"")))))</f>
        <v/>
      </c>
      <c r="P185" s="99"/>
      <c r="Q185" s="62"/>
      <c r="R185" s="62"/>
      <c r="S185" s="51"/>
      <c r="T185" s="51"/>
      <c r="U185" s="51"/>
      <c r="V185" s="51"/>
      <c r="W185" s="51"/>
      <c r="X185" s="51"/>
      <c r="Y185" s="51"/>
      <c r="Z185" s="51"/>
      <c r="AA185" s="51"/>
      <c r="AB185" s="51"/>
      <c r="AC185" s="51"/>
      <c r="AD185" s="51"/>
      <c r="AE185" s="51"/>
      <c r="AF185" s="51"/>
      <c r="AG185" s="51"/>
      <c r="AH185" s="94"/>
      <c r="AI185" s="94"/>
      <c r="AJ185" s="94"/>
      <c r="AK185" s="94"/>
      <c r="AL185" s="94"/>
      <c r="AM185" s="94"/>
      <c r="AN185" s="94"/>
      <c r="AO185" s="95"/>
      <c r="AP185" s="686">
        <f t="shared" si="21"/>
        <v>0</v>
      </c>
      <c r="AQ185" s="42"/>
      <c r="AR185" s="42"/>
      <c r="AS185" s="42"/>
      <c r="AT185" s="43"/>
      <c r="AU185" s="687">
        <f t="shared" si="22"/>
        <v>0</v>
      </c>
      <c r="AV185" s="42"/>
      <c r="AW185" s="42"/>
      <c r="AX185" s="42"/>
      <c r="AY185" s="43"/>
      <c r="AZ185" s="486"/>
      <c r="BA185" s="51"/>
      <c r="BB185" s="51"/>
      <c r="BC185" s="51"/>
      <c r="BD185" s="51"/>
      <c r="BE185" s="51"/>
      <c r="BF185" s="51"/>
      <c r="BG185" s="51"/>
      <c r="BH185" s="94"/>
      <c r="BI185" s="94"/>
      <c r="BJ185" s="94"/>
      <c r="BK185" s="94"/>
      <c r="BL185" s="94"/>
      <c r="BM185" s="483"/>
      <c r="BN185" s="94"/>
      <c r="BO185" s="94"/>
      <c r="BP185" s="94"/>
      <c r="BQ185" s="94"/>
      <c r="BR185" s="94"/>
      <c r="BS185" s="94"/>
      <c r="BT185" s="94"/>
      <c r="BU185" s="94"/>
      <c r="BV185" s="94"/>
      <c r="BW185" s="688">
        <f t="shared" si="18"/>
        <v>0</v>
      </c>
      <c r="BX185" s="51"/>
      <c r="BY185" s="51"/>
      <c r="BZ185" s="51"/>
      <c r="CA185" s="51"/>
      <c r="CB185" s="51"/>
      <c r="CC185" s="51"/>
      <c r="CD185" s="97"/>
      <c r="CE185" s="479"/>
      <c r="CF185" s="51"/>
      <c r="CG185" s="51"/>
      <c r="CH185" s="62"/>
      <c r="CI185" s="62"/>
      <c r="CJ185" s="51"/>
      <c r="CK185" s="51"/>
      <c r="CL185" s="95"/>
      <c r="CM185" s="93"/>
      <c r="CN185" s="51"/>
      <c r="CO185" s="51"/>
      <c r="CP185" s="51"/>
      <c r="CQ185" s="51"/>
      <c r="CR185" s="51"/>
      <c r="CS185" s="51"/>
      <c r="CT185" s="51"/>
      <c r="CU185" s="95"/>
      <c r="CV185" s="93"/>
      <c r="CW185" s="51"/>
      <c r="CX185" s="51"/>
      <c r="CY185" s="51"/>
      <c r="CZ185" s="51"/>
      <c r="DA185" s="51"/>
      <c r="DB185" s="51"/>
      <c r="DC185" s="51"/>
      <c r="DD185" s="95"/>
      <c r="DE185" s="93"/>
      <c r="DF185" s="51"/>
      <c r="DG185" s="51"/>
      <c r="DH185" s="51"/>
      <c r="DI185" s="51"/>
      <c r="DJ185" s="51"/>
      <c r="DK185" s="51"/>
      <c r="DL185" s="95"/>
      <c r="DM185" s="478"/>
      <c r="DN185" s="682">
        <f t="shared" si="23"/>
        <v>0</v>
      </c>
      <c r="DO185" s="683"/>
    </row>
    <row r="186" spans="1:119" ht="25.5" customHeight="1" thickTop="1" thickBot="1" x14ac:dyDescent="0.2">
      <c r="A186" s="676">
        <f t="shared" si="19"/>
        <v>171</v>
      </c>
      <c r="B186" s="1054"/>
      <c r="C186" s="1054"/>
      <c r="D186" s="83"/>
      <c r="E186" s="954"/>
      <c r="F186" s="52"/>
      <c r="G186" s="103"/>
      <c r="H186" s="1058"/>
      <c r="I186" s="684" t="str">
        <f t="shared" si="16"/>
        <v/>
      </c>
      <c r="J186" s="685">
        <f t="shared" si="17"/>
        <v>0</v>
      </c>
      <c r="K186" s="1258"/>
      <c r="L186" s="1251"/>
      <c r="M186" s="1257"/>
      <c r="N186" s="719" t="str">
        <f t="shared" si="20"/>
        <v/>
      </c>
      <c r="O186" s="720" t="str">
        <f>IF('Set up ~ Config'!$G$32=6,IF(OR($N186=7,$N186=8,$N186=9),1,IF(OR($N186=10,$N186=11,$N186=12),2,IF(OR($N186=1,$N186=2,$N186=3),3,IF(OR($N186=4,$N186=5,$N186=6),4,"")))),IF(OR($N186=9,$N186=10,$N186=11),1,IF(OR($N186=12,$N186=1,$N186=2),2,IF(OR($N186=3,$N186=4,$N186=5),3,IF(OR($N186=6,$N186=7,$N186=8),4,"")))))</f>
        <v/>
      </c>
      <c r="P186" s="99"/>
      <c r="Q186" s="62"/>
      <c r="R186" s="62"/>
      <c r="S186" s="51"/>
      <c r="T186" s="51"/>
      <c r="U186" s="51"/>
      <c r="V186" s="51"/>
      <c r="W186" s="51"/>
      <c r="X186" s="51"/>
      <c r="Y186" s="51"/>
      <c r="Z186" s="51"/>
      <c r="AA186" s="51"/>
      <c r="AB186" s="51"/>
      <c r="AC186" s="51"/>
      <c r="AD186" s="51"/>
      <c r="AE186" s="51"/>
      <c r="AF186" s="51"/>
      <c r="AG186" s="51"/>
      <c r="AH186" s="94"/>
      <c r="AI186" s="94"/>
      <c r="AJ186" s="94"/>
      <c r="AK186" s="94"/>
      <c r="AL186" s="94"/>
      <c r="AM186" s="94"/>
      <c r="AN186" s="94"/>
      <c r="AO186" s="95"/>
      <c r="AP186" s="686">
        <f t="shared" si="21"/>
        <v>0</v>
      </c>
      <c r="AQ186" s="42"/>
      <c r="AR186" s="42"/>
      <c r="AS186" s="42"/>
      <c r="AT186" s="43"/>
      <c r="AU186" s="687">
        <f t="shared" si="22"/>
        <v>0</v>
      </c>
      <c r="AV186" s="42"/>
      <c r="AW186" s="42"/>
      <c r="AX186" s="42"/>
      <c r="AY186" s="43"/>
      <c r="AZ186" s="486"/>
      <c r="BA186" s="51"/>
      <c r="BB186" s="51"/>
      <c r="BC186" s="51"/>
      <c r="BD186" s="51"/>
      <c r="BE186" s="51"/>
      <c r="BF186" s="51"/>
      <c r="BG186" s="51"/>
      <c r="BH186" s="94"/>
      <c r="BI186" s="94"/>
      <c r="BJ186" s="94"/>
      <c r="BK186" s="94"/>
      <c r="BL186" s="94"/>
      <c r="BM186" s="483"/>
      <c r="BN186" s="94"/>
      <c r="BO186" s="94"/>
      <c r="BP186" s="94"/>
      <c r="BQ186" s="94"/>
      <c r="BR186" s="94"/>
      <c r="BS186" s="94"/>
      <c r="BT186" s="94"/>
      <c r="BU186" s="94"/>
      <c r="BV186" s="94"/>
      <c r="BW186" s="688">
        <f t="shared" si="18"/>
        <v>0</v>
      </c>
      <c r="BX186" s="51"/>
      <c r="BY186" s="51"/>
      <c r="BZ186" s="51"/>
      <c r="CA186" s="51"/>
      <c r="CB186" s="51"/>
      <c r="CC186" s="51"/>
      <c r="CD186" s="97"/>
      <c r="CE186" s="479"/>
      <c r="CF186" s="51"/>
      <c r="CG186" s="51"/>
      <c r="CH186" s="62"/>
      <c r="CI186" s="62"/>
      <c r="CJ186" s="51"/>
      <c r="CK186" s="51"/>
      <c r="CL186" s="95"/>
      <c r="CM186" s="93"/>
      <c r="CN186" s="51"/>
      <c r="CO186" s="51"/>
      <c r="CP186" s="51"/>
      <c r="CQ186" s="51"/>
      <c r="CR186" s="51"/>
      <c r="CS186" s="51"/>
      <c r="CT186" s="51"/>
      <c r="CU186" s="95"/>
      <c r="CV186" s="93"/>
      <c r="CW186" s="51"/>
      <c r="CX186" s="51"/>
      <c r="CY186" s="51"/>
      <c r="CZ186" s="51"/>
      <c r="DA186" s="51"/>
      <c r="DB186" s="51"/>
      <c r="DC186" s="51"/>
      <c r="DD186" s="95"/>
      <c r="DE186" s="93"/>
      <c r="DF186" s="51"/>
      <c r="DG186" s="51"/>
      <c r="DH186" s="51"/>
      <c r="DI186" s="51"/>
      <c r="DJ186" s="51"/>
      <c r="DK186" s="51"/>
      <c r="DL186" s="95"/>
      <c r="DM186" s="478"/>
      <c r="DN186" s="682">
        <f t="shared" si="23"/>
        <v>0</v>
      </c>
      <c r="DO186" s="683"/>
    </row>
    <row r="187" spans="1:119" ht="25.5" customHeight="1" thickTop="1" thickBot="1" x14ac:dyDescent="0.2">
      <c r="A187" s="676">
        <f t="shared" si="19"/>
        <v>172</v>
      </c>
      <c r="B187" s="1054"/>
      <c r="C187" s="1054"/>
      <c r="D187" s="83"/>
      <c r="E187" s="954"/>
      <c r="F187" s="52"/>
      <c r="G187" s="103"/>
      <c r="H187" s="1058"/>
      <c r="I187" s="684" t="str">
        <f t="shared" si="16"/>
        <v/>
      </c>
      <c r="J187" s="685">
        <f t="shared" si="17"/>
        <v>0</v>
      </c>
      <c r="K187" s="1258"/>
      <c r="L187" s="1251"/>
      <c r="M187" s="1257"/>
      <c r="N187" s="719" t="str">
        <f t="shared" si="20"/>
        <v/>
      </c>
      <c r="O187" s="720" t="str">
        <f>IF('Set up ~ Config'!$G$32=6,IF(OR($N187=7,$N187=8,$N187=9),1,IF(OR($N187=10,$N187=11,$N187=12),2,IF(OR($N187=1,$N187=2,$N187=3),3,IF(OR($N187=4,$N187=5,$N187=6),4,"")))),IF(OR($N187=9,$N187=10,$N187=11),1,IF(OR($N187=12,$N187=1,$N187=2),2,IF(OR($N187=3,$N187=4,$N187=5),3,IF(OR($N187=6,$N187=7,$N187=8),4,"")))))</f>
        <v/>
      </c>
      <c r="P187" s="99"/>
      <c r="Q187" s="62"/>
      <c r="R187" s="62"/>
      <c r="S187" s="51"/>
      <c r="T187" s="51"/>
      <c r="U187" s="51"/>
      <c r="V187" s="51"/>
      <c r="W187" s="51"/>
      <c r="X187" s="51"/>
      <c r="Y187" s="51"/>
      <c r="Z187" s="51"/>
      <c r="AA187" s="51"/>
      <c r="AB187" s="51"/>
      <c r="AC187" s="51"/>
      <c r="AD187" s="51"/>
      <c r="AE187" s="51"/>
      <c r="AF187" s="51"/>
      <c r="AG187" s="51"/>
      <c r="AH187" s="94"/>
      <c r="AI187" s="94"/>
      <c r="AJ187" s="94"/>
      <c r="AK187" s="94"/>
      <c r="AL187" s="94"/>
      <c r="AM187" s="94"/>
      <c r="AN187" s="94"/>
      <c r="AO187" s="95"/>
      <c r="AP187" s="686">
        <f t="shared" si="21"/>
        <v>0</v>
      </c>
      <c r="AQ187" s="42"/>
      <c r="AR187" s="42"/>
      <c r="AS187" s="42"/>
      <c r="AT187" s="43"/>
      <c r="AU187" s="687">
        <f t="shared" si="22"/>
        <v>0</v>
      </c>
      <c r="AV187" s="42"/>
      <c r="AW187" s="42"/>
      <c r="AX187" s="42"/>
      <c r="AY187" s="43"/>
      <c r="AZ187" s="486"/>
      <c r="BA187" s="51"/>
      <c r="BB187" s="51"/>
      <c r="BC187" s="51"/>
      <c r="BD187" s="51"/>
      <c r="BE187" s="51"/>
      <c r="BF187" s="51"/>
      <c r="BG187" s="51"/>
      <c r="BH187" s="94"/>
      <c r="BI187" s="94"/>
      <c r="BJ187" s="94"/>
      <c r="BK187" s="94"/>
      <c r="BL187" s="94"/>
      <c r="BM187" s="483"/>
      <c r="BN187" s="94"/>
      <c r="BO187" s="94"/>
      <c r="BP187" s="94"/>
      <c r="BQ187" s="94"/>
      <c r="BR187" s="94"/>
      <c r="BS187" s="94"/>
      <c r="BT187" s="94"/>
      <c r="BU187" s="94"/>
      <c r="BV187" s="94"/>
      <c r="BW187" s="688">
        <f t="shared" si="18"/>
        <v>0</v>
      </c>
      <c r="BX187" s="51"/>
      <c r="BY187" s="51"/>
      <c r="BZ187" s="51"/>
      <c r="CA187" s="51"/>
      <c r="CB187" s="51"/>
      <c r="CC187" s="51"/>
      <c r="CD187" s="97"/>
      <c r="CE187" s="479"/>
      <c r="CF187" s="51"/>
      <c r="CG187" s="51"/>
      <c r="CH187" s="62"/>
      <c r="CI187" s="62"/>
      <c r="CJ187" s="51"/>
      <c r="CK187" s="51"/>
      <c r="CL187" s="95"/>
      <c r="CM187" s="93"/>
      <c r="CN187" s="51"/>
      <c r="CO187" s="51"/>
      <c r="CP187" s="51"/>
      <c r="CQ187" s="51"/>
      <c r="CR187" s="51"/>
      <c r="CS187" s="51"/>
      <c r="CT187" s="51"/>
      <c r="CU187" s="95"/>
      <c r="CV187" s="93"/>
      <c r="CW187" s="51"/>
      <c r="CX187" s="51"/>
      <c r="CY187" s="51"/>
      <c r="CZ187" s="51"/>
      <c r="DA187" s="51"/>
      <c r="DB187" s="51"/>
      <c r="DC187" s="51"/>
      <c r="DD187" s="95"/>
      <c r="DE187" s="93"/>
      <c r="DF187" s="51"/>
      <c r="DG187" s="51"/>
      <c r="DH187" s="51"/>
      <c r="DI187" s="51"/>
      <c r="DJ187" s="51"/>
      <c r="DK187" s="51"/>
      <c r="DL187" s="95"/>
      <c r="DM187" s="478"/>
      <c r="DN187" s="682">
        <f t="shared" si="23"/>
        <v>0</v>
      </c>
      <c r="DO187" s="683"/>
    </row>
    <row r="188" spans="1:119" ht="25.5" customHeight="1" thickTop="1" thickBot="1" x14ac:dyDescent="0.2">
      <c r="A188" s="676">
        <f t="shared" si="19"/>
        <v>173</v>
      </c>
      <c r="B188" s="1054"/>
      <c r="C188" s="1054"/>
      <c r="D188" s="83"/>
      <c r="E188" s="954"/>
      <c r="F188" s="52"/>
      <c r="G188" s="103"/>
      <c r="H188" s="1058"/>
      <c r="I188" s="684" t="str">
        <f t="shared" si="16"/>
        <v/>
      </c>
      <c r="J188" s="685">
        <f t="shared" si="17"/>
        <v>0</v>
      </c>
      <c r="K188" s="1258"/>
      <c r="L188" s="1251"/>
      <c r="M188" s="1257"/>
      <c r="N188" s="719" t="str">
        <f t="shared" si="20"/>
        <v/>
      </c>
      <c r="O188" s="720" t="str">
        <f>IF('Set up ~ Config'!$G$32=6,IF(OR($N188=7,$N188=8,$N188=9),1,IF(OR($N188=10,$N188=11,$N188=12),2,IF(OR($N188=1,$N188=2,$N188=3),3,IF(OR($N188=4,$N188=5,$N188=6),4,"")))),IF(OR($N188=9,$N188=10,$N188=11),1,IF(OR($N188=12,$N188=1,$N188=2),2,IF(OR($N188=3,$N188=4,$N188=5),3,IF(OR($N188=6,$N188=7,$N188=8),4,"")))))</f>
        <v/>
      </c>
      <c r="P188" s="99"/>
      <c r="Q188" s="62"/>
      <c r="R188" s="62"/>
      <c r="S188" s="51"/>
      <c r="T188" s="51"/>
      <c r="U188" s="51"/>
      <c r="V188" s="51"/>
      <c r="W188" s="51"/>
      <c r="X188" s="51"/>
      <c r="Y188" s="51"/>
      <c r="Z188" s="51"/>
      <c r="AA188" s="51"/>
      <c r="AB188" s="51"/>
      <c r="AC188" s="51"/>
      <c r="AD188" s="51"/>
      <c r="AE188" s="51"/>
      <c r="AF188" s="51"/>
      <c r="AG188" s="51"/>
      <c r="AH188" s="94"/>
      <c r="AI188" s="94"/>
      <c r="AJ188" s="94"/>
      <c r="AK188" s="94"/>
      <c r="AL188" s="94"/>
      <c r="AM188" s="94"/>
      <c r="AN188" s="94"/>
      <c r="AO188" s="95"/>
      <c r="AP188" s="686">
        <f t="shared" si="21"/>
        <v>0</v>
      </c>
      <c r="AQ188" s="42"/>
      <c r="AR188" s="42"/>
      <c r="AS188" s="42"/>
      <c r="AT188" s="43"/>
      <c r="AU188" s="687">
        <f t="shared" si="22"/>
        <v>0</v>
      </c>
      <c r="AV188" s="42"/>
      <c r="AW188" s="42"/>
      <c r="AX188" s="42"/>
      <c r="AY188" s="43"/>
      <c r="AZ188" s="486"/>
      <c r="BA188" s="51"/>
      <c r="BB188" s="51"/>
      <c r="BC188" s="51"/>
      <c r="BD188" s="51"/>
      <c r="BE188" s="51"/>
      <c r="BF188" s="51"/>
      <c r="BG188" s="51"/>
      <c r="BH188" s="94"/>
      <c r="BI188" s="94"/>
      <c r="BJ188" s="94"/>
      <c r="BK188" s="94"/>
      <c r="BL188" s="94"/>
      <c r="BM188" s="483"/>
      <c r="BN188" s="94"/>
      <c r="BO188" s="94"/>
      <c r="BP188" s="94"/>
      <c r="BQ188" s="94"/>
      <c r="BR188" s="94"/>
      <c r="BS188" s="94"/>
      <c r="BT188" s="94"/>
      <c r="BU188" s="94"/>
      <c r="BV188" s="94"/>
      <c r="BW188" s="688">
        <f t="shared" si="18"/>
        <v>0</v>
      </c>
      <c r="BX188" s="51"/>
      <c r="BY188" s="51"/>
      <c r="BZ188" s="51"/>
      <c r="CA188" s="51"/>
      <c r="CB188" s="51"/>
      <c r="CC188" s="51"/>
      <c r="CD188" s="97"/>
      <c r="CE188" s="479"/>
      <c r="CF188" s="51"/>
      <c r="CG188" s="51"/>
      <c r="CH188" s="62"/>
      <c r="CI188" s="62"/>
      <c r="CJ188" s="51"/>
      <c r="CK188" s="51"/>
      <c r="CL188" s="95"/>
      <c r="CM188" s="93"/>
      <c r="CN188" s="51"/>
      <c r="CO188" s="51"/>
      <c r="CP188" s="51"/>
      <c r="CQ188" s="51"/>
      <c r="CR188" s="51"/>
      <c r="CS188" s="51"/>
      <c r="CT188" s="51"/>
      <c r="CU188" s="95"/>
      <c r="CV188" s="93"/>
      <c r="CW188" s="51"/>
      <c r="CX188" s="51"/>
      <c r="CY188" s="51"/>
      <c r="CZ188" s="51"/>
      <c r="DA188" s="51"/>
      <c r="DB188" s="51"/>
      <c r="DC188" s="51"/>
      <c r="DD188" s="95"/>
      <c r="DE188" s="93"/>
      <c r="DF188" s="51"/>
      <c r="DG188" s="51"/>
      <c r="DH188" s="51"/>
      <c r="DI188" s="51"/>
      <c r="DJ188" s="51"/>
      <c r="DK188" s="51"/>
      <c r="DL188" s="95"/>
      <c r="DM188" s="478"/>
      <c r="DN188" s="682">
        <f t="shared" si="23"/>
        <v>0</v>
      </c>
      <c r="DO188" s="683"/>
    </row>
    <row r="189" spans="1:119" ht="25.5" customHeight="1" thickTop="1" thickBot="1" x14ac:dyDescent="0.2">
      <c r="A189" s="676">
        <f t="shared" si="19"/>
        <v>174</v>
      </c>
      <c r="B189" s="1054"/>
      <c r="C189" s="1054"/>
      <c r="D189" s="83"/>
      <c r="E189" s="954"/>
      <c r="F189" s="52"/>
      <c r="G189" s="103"/>
      <c r="H189" s="1058"/>
      <c r="I189" s="684" t="str">
        <f t="shared" si="16"/>
        <v/>
      </c>
      <c r="J189" s="685">
        <f t="shared" si="17"/>
        <v>0</v>
      </c>
      <c r="K189" s="1258"/>
      <c r="L189" s="1251"/>
      <c r="M189" s="1257"/>
      <c r="N189" s="719" t="str">
        <f t="shared" si="20"/>
        <v/>
      </c>
      <c r="O189" s="720" t="str">
        <f>IF('Set up ~ Config'!$G$32=6,IF(OR($N189=7,$N189=8,$N189=9),1,IF(OR($N189=10,$N189=11,$N189=12),2,IF(OR($N189=1,$N189=2,$N189=3),3,IF(OR($N189=4,$N189=5,$N189=6),4,"")))),IF(OR($N189=9,$N189=10,$N189=11),1,IF(OR($N189=12,$N189=1,$N189=2),2,IF(OR($N189=3,$N189=4,$N189=5),3,IF(OR($N189=6,$N189=7,$N189=8),4,"")))))</f>
        <v/>
      </c>
      <c r="P189" s="99"/>
      <c r="Q189" s="62"/>
      <c r="R189" s="62"/>
      <c r="S189" s="51"/>
      <c r="T189" s="51"/>
      <c r="U189" s="51"/>
      <c r="V189" s="51"/>
      <c r="W189" s="51"/>
      <c r="X189" s="51"/>
      <c r="Y189" s="51"/>
      <c r="Z189" s="51"/>
      <c r="AA189" s="51"/>
      <c r="AB189" s="51"/>
      <c r="AC189" s="51"/>
      <c r="AD189" s="51"/>
      <c r="AE189" s="51"/>
      <c r="AF189" s="51"/>
      <c r="AG189" s="51"/>
      <c r="AH189" s="94"/>
      <c r="AI189" s="94"/>
      <c r="AJ189" s="94"/>
      <c r="AK189" s="94"/>
      <c r="AL189" s="94"/>
      <c r="AM189" s="94"/>
      <c r="AN189" s="94"/>
      <c r="AO189" s="95"/>
      <c r="AP189" s="686">
        <f t="shared" si="21"/>
        <v>0</v>
      </c>
      <c r="AQ189" s="42"/>
      <c r="AR189" s="42"/>
      <c r="AS189" s="42"/>
      <c r="AT189" s="43"/>
      <c r="AU189" s="687">
        <f t="shared" si="22"/>
        <v>0</v>
      </c>
      <c r="AV189" s="42"/>
      <c r="AW189" s="42"/>
      <c r="AX189" s="42"/>
      <c r="AY189" s="43"/>
      <c r="AZ189" s="486"/>
      <c r="BA189" s="51"/>
      <c r="BB189" s="51"/>
      <c r="BC189" s="51"/>
      <c r="BD189" s="51"/>
      <c r="BE189" s="51"/>
      <c r="BF189" s="51"/>
      <c r="BG189" s="51"/>
      <c r="BH189" s="94"/>
      <c r="BI189" s="94"/>
      <c r="BJ189" s="94"/>
      <c r="BK189" s="94"/>
      <c r="BL189" s="94"/>
      <c r="BM189" s="483"/>
      <c r="BN189" s="94"/>
      <c r="BO189" s="94"/>
      <c r="BP189" s="94"/>
      <c r="BQ189" s="94"/>
      <c r="BR189" s="94"/>
      <c r="BS189" s="94"/>
      <c r="BT189" s="94"/>
      <c r="BU189" s="94"/>
      <c r="BV189" s="94"/>
      <c r="BW189" s="688">
        <f t="shared" si="18"/>
        <v>0</v>
      </c>
      <c r="BX189" s="51"/>
      <c r="BY189" s="51"/>
      <c r="BZ189" s="51"/>
      <c r="CA189" s="51"/>
      <c r="CB189" s="51"/>
      <c r="CC189" s="51"/>
      <c r="CD189" s="97"/>
      <c r="CE189" s="479"/>
      <c r="CF189" s="51"/>
      <c r="CG189" s="51"/>
      <c r="CH189" s="62"/>
      <c r="CI189" s="62"/>
      <c r="CJ189" s="51"/>
      <c r="CK189" s="51"/>
      <c r="CL189" s="95"/>
      <c r="CM189" s="93"/>
      <c r="CN189" s="51"/>
      <c r="CO189" s="51"/>
      <c r="CP189" s="51"/>
      <c r="CQ189" s="51"/>
      <c r="CR189" s="51"/>
      <c r="CS189" s="51"/>
      <c r="CT189" s="51"/>
      <c r="CU189" s="95"/>
      <c r="CV189" s="93"/>
      <c r="CW189" s="51"/>
      <c r="CX189" s="51"/>
      <c r="CY189" s="51"/>
      <c r="CZ189" s="51"/>
      <c r="DA189" s="51"/>
      <c r="DB189" s="51"/>
      <c r="DC189" s="51"/>
      <c r="DD189" s="95"/>
      <c r="DE189" s="93"/>
      <c r="DF189" s="51"/>
      <c r="DG189" s="51"/>
      <c r="DH189" s="51"/>
      <c r="DI189" s="51"/>
      <c r="DJ189" s="51"/>
      <c r="DK189" s="51"/>
      <c r="DL189" s="95"/>
      <c r="DM189" s="478"/>
      <c r="DN189" s="682">
        <f t="shared" si="23"/>
        <v>0</v>
      </c>
      <c r="DO189" s="683"/>
    </row>
    <row r="190" spans="1:119" ht="25.5" customHeight="1" thickTop="1" thickBot="1" x14ac:dyDescent="0.2">
      <c r="A190" s="676">
        <f t="shared" si="19"/>
        <v>175</v>
      </c>
      <c r="B190" s="1054"/>
      <c r="C190" s="1055"/>
      <c r="D190" s="83"/>
      <c r="E190" s="954"/>
      <c r="F190" s="52"/>
      <c r="G190" s="103"/>
      <c r="H190" s="1058"/>
      <c r="I190" s="684" t="str">
        <f t="shared" si="16"/>
        <v/>
      </c>
      <c r="J190" s="685">
        <f t="shared" si="17"/>
        <v>0</v>
      </c>
      <c r="K190" s="1258"/>
      <c r="L190" s="1251"/>
      <c r="M190" s="1257"/>
      <c r="N190" s="719" t="str">
        <f t="shared" si="20"/>
        <v/>
      </c>
      <c r="O190" s="720" t="str">
        <f>IF('Set up ~ Config'!$G$32=6,IF(OR($N190=7,$N190=8,$N190=9),1,IF(OR($N190=10,$N190=11,$N190=12),2,IF(OR($N190=1,$N190=2,$N190=3),3,IF(OR($N190=4,$N190=5,$N190=6),4,"")))),IF(OR($N190=9,$N190=10,$N190=11),1,IF(OR($N190=12,$N190=1,$N190=2),2,IF(OR($N190=3,$N190=4,$N190=5),3,IF(OR($N190=6,$N190=7,$N190=8),4,"")))))</f>
        <v/>
      </c>
      <c r="P190" s="99"/>
      <c r="Q190" s="62"/>
      <c r="R190" s="62"/>
      <c r="S190" s="51"/>
      <c r="T190" s="51"/>
      <c r="U190" s="51"/>
      <c r="V190" s="51"/>
      <c r="W190" s="51"/>
      <c r="X190" s="51"/>
      <c r="Y190" s="51"/>
      <c r="Z190" s="51"/>
      <c r="AA190" s="51"/>
      <c r="AB190" s="51"/>
      <c r="AC190" s="51"/>
      <c r="AD190" s="51"/>
      <c r="AE190" s="51"/>
      <c r="AF190" s="51"/>
      <c r="AG190" s="51"/>
      <c r="AH190" s="94"/>
      <c r="AI190" s="94"/>
      <c r="AJ190" s="94"/>
      <c r="AK190" s="94"/>
      <c r="AL190" s="94"/>
      <c r="AM190" s="94"/>
      <c r="AN190" s="94"/>
      <c r="AO190" s="95"/>
      <c r="AP190" s="686">
        <f t="shared" si="21"/>
        <v>0</v>
      </c>
      <c r="AQ190" s="42"/>
      <c r="AR190" s="42"/>
      <c r="AS190" s="42"/>
      <c r="AT190" s="43"/>
      <c r="AU190" s="687">
        <f t="shared" si="22"/>
        <v>0</v>
      </c>
      <c r="AV190" s="42"/>
      <c r="AW190" s="42"/>
      <c r="AX190" s="42"/>
      <c r="AY190" s="43"/>
      <c r="AZ190" s="486"/>
      <c r="BA190" s="51"/>
      <c r="BB190" s="51"/>
      <c r="BC190" s="51"/>
      <c r="BD190" s="51"/>
      <c r="BE190" s="51"/>
      <c r="BF190" s="51"/>
      <c r="BG190" s="51"/>
      <c r="BH190" s="94"/>
      <c r="BI190" s="94"/>
      <c r="BJ190" s="94"/>
      <c r="BK190" s="94"/>
      <c r="BL190" s="94"/>
      <c r="BM190" s="483"/>
      <c r="BN190" s="94"/>
      <c r="BO190" s="94"/>
      <c r="BP190" s="94"/>
      <c r="BQ190" s="94"/>
      <c r="BR190" s="94"/>
      <c r="BS190" s="94"/>
      <c r="BT190" s="94"/>
      <c r="BU190" s="94"/>
      <c r="BV190" s="94"/>
      <c r="BW190" s="688">
        <f t="shared" si="18"/>
        <v>0</v>
      </c>
      <c r="BX190" s="51"/>
      <c r="BY190" s="51"/>
      <c r="BZ190" s="51"/>
      <c r="CA190" s="51"/>
      <c r="CB190" s="51"/>
      <c r="CC190" s="51"/>
      <c r="CD190" s="97"/>
      <c r="CE190" s="479"/>
      <c r="CF190" s="51"/>
      <c r="CG190" s="51"/>
      <c r="CH190" s="62"/>
      <c r="CI190" s="62"/>
      <c r="CJ190" s="51"/>
      <c r="CK190" s="51"/>
      <c r="CL190" s="95"/>
      <c r="CM190" s="93"/>
      <c r="CN190" s="51"/>
      <c r="CO190" s="51"/>
      <c r="CP190" s="51"/>
      <c r="CQ190" s="51"/>
      <c r="CR190" s="51"/>
      <c r="CS190" s="51"/>
      <c r="CT190" s="51"/>
      <c r="CU190" s="95"/>
      <c r="CV190" s="93"/>
      <c r="CW190" s="51"/>
      <c r="CX190" s="51"/>
      <c r="CY190" s="51"/>
      <c r="CZ190" s="51"/>
      <c r="DA190" s="51"/>
      <c r="DB190" s="51"/>
      <c r="DC190" s="51"/>
      <c r="DD190" s="95"/>
      <c r="DE190" s="93"/>
      <c r="DF190" s="51"/>
      <c r="DG190" s="51"/>
      <c r="DH190" s="51"/>
      <c r="DI190" s="51"/>
      <c r="DJ190" s="51"/>
      <c r="DK190" s="51"/>
      <c r="DL190" s="95"/>
      <c r="DM190" s="478"/>
      <c r="DN190" s="682">
        <f t="shared" si="23"/>
        <v>0</v>
      </c>
      <c r="DO190" s="683"/>
    </row>
    <row r="191" spans="1:119" ht="25.5" customHeight="1" thickTop="1" thickBot="1" x14ac:dyDescent="0.2">
      <c r="A191" s="676">
        <f t="shared" si="19"/>
        <v>176</v>
      </c>
      <c r="B191" s="1054"/>
      <c r="C191" s="1055"/>
      <c r="D191" s="83"/>
      <c r="E191" s="954"/>
      <c r="F191" s="52"/>
      <c r="G191" s="103"/>
      <c r="H191" s="1058"/>
      <c r="I191" s="684" t="str">
        <f t="shared" si="16"/>
        <v/>
      </c>
      <c r="J191" s="685">
        <f t="shared" si="17"/>
        <v>0</v>
      </c>
      <c r="K191" s="1258"/>
      <c r="L191" s="1251"/>
      <c r="M191" s="1257"/>
      <c r="N191" s="719" t="str">
        <f t="shared" si="20"/>
        <v/>
      </c>
      <c r="O191" s="720" t="str">
        <f>IF('Set up ~ Config'!$G$32=6,IF(OR($N191=7,$N191=8,$N191=9),1,IF(OR($N191=10,$N191=11,$N191=12),2,IF(OR($N191=1,$N191=2,$N191=3),3,IF(OR($N191=4,$N191=5,$N191=6),4,"")))),IF(OR($N191=9,$N191=10,$N191=11),1,IF(OR($N191=12,$N191=1,$N191=2),2,IF(OR($N191=3,$N191=4,$N191=5),3,IF(OR($N191=6,$N191=7,$N191=8),4,"")))))</f>
        <v/>
      </c>
      <c r="P191" s="99"/>
      <c r="Q191" s="62"/>
      <c r="R191" s="62"/>
      <c r="S191" s="51"/>
      <c r="T191" s="51"/>
      <c r="U191" s="51"/>
      <c r="V191" s="51"/>
      <c r="W191" s="51"/>
      <c r="X191" s="51"/>
      <c r="Y191" s="51"/>
      <c r="Z191" s="51"/>
      <c r="AA191" s="51"/>
      <c r="AB191" s="51"/>
      <c r="AC191" s="51"/>
      <c r="AD191" s="51"/>
      <c r="AE191" s="51"/>
      <c r="AF191" s="51"/>
      <c r="AG191" s="51"/>
      <c r="AH191" s="94"/>
      <c r="AI191" s="94"/>
      <c r="AJ191" s="94"/>
      <c r="AK191" s="94"/>
      <c r="AL191" s="94"/>
      <c r="AM191" s="94"/>
      <c r="AN191" s="94"/>
      <c r="AO191" s="95"/>
      <c r="AP191" s="686">
        <f t="shared" si="21"/>
        <v>0</v>
      </c>
      <c r="AQ191" s="42"/>
      <c r="AR191" s="42"/>
      <c r="AS191" s="42"/>
      <c r="AT191" s="43"/>
      <c r="AU191" s="687">
        <f t="shared" si="22"/>
        <v>0</v>
      </c>
      <c r="AV191" s="42"/>
      <c r="AW191" s="42"/>
      <c r="AX191" s="42"/>
      <c r="AY191" s="43"/>
      <c r="AZ191" s="486"/>
      <c r="BA191" s="51"/>
      <c r="BB191" s="51"/>
      <c r="BC191" s="51"/>
      <c r="BD191" s="51"/>
      <c r="BE191" s="51"/>
      <c r="BF191" s="51"/>
      <c r="BG191" s="51"/>
      <c r="BH191" s="94"/>
      <c r="BI191" s="94"/>
      <c r="BJ191" s="94"/>
      <c r="BK191" s="94"/>
      <c r="BL191" s="94"/>
      <c r="BM191" s="483"/>
      <c r="BN191" s="94"/>
      <c r="BO191" s="94"/>
      <c r="BP191" s="94"/>
      <c r="BQ191" s="94"/>
      <c r="BR191" s="94"/>
      <c r="BS191" s="94"/>
      <c r="BT191" s="94"/>
      <c r="BU191" s="94"/>
      <c r="BV191" s="94"/>
      <c r="BW191" s="688">
        <f t="shared" si="18"/>
        <v>0</v>
      </c>
      <c r="BX191" s="51"/>
      <c r="BY191" s="51"/>
      <c r="BZ191" s="51"/>
      <c r="CA191" s="51"/>
      <c r="CB191" s="51"/>
      <c r="CC191" s="51"/>
      <c r="CD191" s="97"/>
      <c r="CE191" s="479"/>
      <c r="CF191" s="51"/>
      <c r="CG191" s="51"/>
      <c r="CH191" s="62"/>
      <c r="CI191" s="62"/>
      <c r="CJ191" s="51"/>
      <c r="CK191" s="51"/>
      <c r="CL191" s="95"/>
      <c r="CM191" s="93"/>
      <c r="CN191" s="51"/>
      <c r="CO191" s="51"/>
      <c r="CP191" s="51"/>
      <c r="CQ191" s="51"/>
      <c r="CR191" s="51"/>
      <c r="CS191" s="51"/>
      <c r="CT191" s="51"/>
      <c r="CU191" s="95"/>
      <c r="CV191" s="93"/>
      <c r="CW191" s="51"/>
      <c r="CX191" s="51"/>
      <c r="CY191" s="51"/>
      <c r="CZ191" s="51"/>
      <c r="DA191" s="51"/>
      <c r="DB191" s="51"/>
      <c r="DC191" s="51"/>
      <c r="DD191" s="95"/>
      <c r="DE191" s="93"/>
      <c r="DF191" s="51"/>
      <c r="DG191" s="51"/>
      <c r="DH191" s="51"/>
      <c r="DI191" s="51"/>
      <c r="DJ191" s="51"/>
      <c r="DK191" s="51"/>
      <c r="DL191" s="95"/>
      <c r="DM191" s="478"/>
      <c r="DN191" s="682">
        <f t="shared" si="23"/>
        <v>0</v>
      </c>
      <c r="DO191" s="683"/>
    </row>
    <row r="192" spans="1:119" ht="25.5" customHeight="1" thickTop="1" thickBot="1" x14ac:dyDescent="0.2">
      <c r="A192" s="676">
        <f t="shared" si="19"/>
        <v>177</v>
      </c>
      <c r="B192" s="1054"/>
      <c r="C192" s="1055"/>
      <c r="D192" s="83"/>
      <c r="E192" s="954"/>
      <c r="F192" s="52"/>
      <c r="G192" s="103"/>
      <c r="H192" s="1058"/>
      <c r="I192" s="684" t="str">
        <f t="shared" si="16"/>
        <v/>
      </c>
      <c r="J192" s="685">
        <f t="shared" si="17"/>
        <v>0</v>
      </c>
      <c r="K192" s="1258"/>
      <c r="L192" s="1251"/>
      <c r="M192" s="1257"/>
      <c r="N192" s="719" t="str">
        <f t="shared" si="20"/>
        <v/>
      </c>
      <c r="O192" s="720" t="str">
        <f>IF('Set up ~ Config'!$G$32=6,IF(OR($N192=7,$N192=8,$N192=9),1,IF(OR($N192=10,$N192=11,$N192=12),2,IF(OR($N192=1,$N192=2,$N192=3),3,IF(OR($N192=4,$N192=5,$N192=6),4,"")))),IF(OR($N192=9,$N192=10,$N192=11),1,IF(OR($N192=12,$N192=1,$N192=2),2,IF(OR($N192=3,$N192=4,$N192=5),3,IF(OR($N192=6,$N192=7,$N192=8),4,"")))))</f>
        <v/>
      </c>
      <c r="P192" s="99"/>
      <c r="Q192" s="62"/>
      <c r="R192" s="62"/>
      <c r="S192" s="51"/>
      <c r="T192" s="51"/>
      <c r="U192" s="51"/>
      <c r="V192" s="51"/>
      <c r="W192" s="51"/>
      <c r="X192" s="51"/>
      <c r="Y192" s="51"/>
      <c r="Z192" s="51"/>
      <c r="AA192" s="51"/>
      <c r="AB192" s="51"/>
      <c r="AC192" s="51"/>
      <c r="AD192" s="51"/>
      <c r="AE192" s="51"/>
      <c r="AF192" s="51"/>
      <c r="AG192" s="51"/>
      <c r="AH192" s="94"/>
      <c r="AI192" s="94"/>
      <c r="AJ192" s="94"/>
      <c r="AK192" s="94"/>
      <c r="AL192" s="94"/>
      <c r="AM192" s="94"/>
      <c r="AN192" s="94"/>
      <c r="AO192" s="95"/>
      <c r="AP192" s="686">
        <f t="shared" si="21"/>
        <v>0</v>
      </c>
      <c r="AQ192" s="42"/>
      <c r="AR192" s="42"/>
      <c r="AS192" s="42"/>
      <c r="AT192" s="43"/>
      <c r="AU192" s="687">
        <f t="shared" si="22"/>
        <v>0</v>
      </c>
      <c r="AV192" s="42"/>
      <c r="AW192" s="42"/>
      <c r="AX192" s="42"/>
      <c r="AY192" s="43"/>
      <c r="AZ192" s="486"/>
      <c r="BA192" s="51"/>
      <c r="BB192" s="51"/>
      <c r="BC192" s="51"/>
      <c r="BD192" s="51"/>
      <c r="BE192" s="51"/>
      <c r="BF192" s="51"/>
      <c r="BG192" s="51"/>
      <c r="BH192" s="94"/>
      <c r="BI192" s="94"/>
      <c r="BJ192" s="94"/>
      <c r="BK192" s="94"/>
      <c r="BL192" s="94"/>
      <c r="BM192" s="483"/>
      <c r="BN192" s="94"/>
      <c r="BO192" s="94"/>
      <c r="BP192" s="94"/>
      <c r="BQ192" s="94"/>
      <c r="BR192" s="94"/>
      <c r="BS192" s="94"/>
      <c r="BT192" s="94"/>
      <c r="BU192" s="94"/>
      <c r="BV192" s="94"/>
      <c r="BW192" s="688">
        <f t="shared" si="18"/>
        <v>0</v>
      </c>
      <c r="BX192" s="51"/>
      <c r="BY192" s="51"/>
      <c r="BZ192" s="51"/>
      <c r="CA192" s="51"/>
      <c r="CB192" s="51"/>
      <c r="CC192" s="51"/>
      <c r="CD192" s="97"/>
      <c r="CE192" s="479"/>
      <c r="CF192" s="51"/>
      <c r="CG192" s="51"/>
      <c r="CH192" s="62"/>
      <c r="CI192" s="62"/>
      <c r="CJ192" s="51"/>
      <c r="CK192" s="51"/>
      <c r="CL192" s="95"/>
      <c r="CM192" s="93"/>
      <c r="CN192" s="51"/>
      <c r="CO192" s="51"/>
      <c r="CP192" s="51"/>
      <c r="CQ192" s="51"/>
      <c r="CR192" s="51"/>
      <c r="CS192" s="51"/>
      <c r="CT192" s="51"/>
      <c r="CU192" s="95"/>
      <c r="CV192" s="93"/>
      <c r="CW192" s="51"/>
      <c r="CX192" s="51"/>
      <c r="CY192" s="51"/>
      <c r="CZ192" s="51"/>
      <c r="DA192" s="51"/>
      <c r="DB192" s="51"/>
      <c r="DC192" s="51"/>
      <c r="DD192" s="95"/>
      <c r="DE192" s="93"/>
      <c r="DF192" s="51"/>
      <c r="DG192" s="51"/>
      <c r="DH192" s="51"/>
      <c r="DI192" s="51"/>
      <c r="DJ192" s="51"/>
      <c r="DK192" s="51"/>
      <c r="DL192" s="95"/>
      <c r="DM192" s="478"/>
      <c r="DN192" s="682">
        <f t="shared" si="23"/>
        <v>0</v>
      </c>
      <c r="DO192" s="683"/>
    </row>
    <row r="193" spans="1:119" ht="25.5" customHeight="1" thickTop="1" thickBot="1" x14ac:dyDescent="0.2">
      <c r="A193" s="676">
        <f t="shared" si="19"/>
        <v>178</v>
      </c>
      <c r="B193" s="1054"/>
      <c r="C193" s="1055"/>
      <c r="D193" s="83"/>
      <c r="E193" s="954"/>
      <c r="F193" s="52"/>
      <c r="G193" s="103"/>
      <c r="H193" s="1058"/>
      <c r="I193" s="684" t="str">
        <f t="shared" si="16"/>
        <v/>
      </c>
      <c r="J193" s="685">
        <f t="shared" si="17"/>
        <v>0</v>
      </c>
      <c r="K193" s="1258"/>
      <c r="L193" s="1251"/>
      <c r="M193" s="1257"/>
      <c r="N193" s="719" t="str">
        <f t="shared" si="20"/>
        <v/>
      </c>
      <c r="O193" s="720" t="str">
        <f>IF('Set up ~ Config'!$G$32=6,IF(OR($N193=7,$N193=8,$N193=9),1,IF(OR($N193=10,$N193=11,$N193=12),2,IF(OR($N193=1,$N193=2,$N193=3),3,IF(OR($N193=4,$N193=5,$N193=6),4,"")))),IF(OR($N193=9,$N193=10,$N193=11),1,IF(OR($N193=12,$N193=1,$N193=2),2,IF(OR($N193=3,$N193=4,$N193=5),3,IF(OR($N193=6,$N193=7,$N193=8),4,"")))))</f>
        <v/>
      </c>
      <c r="P193" s="99"/>
      <c r="Q193" s="62"/>
      <c r="R193" s="62"/>
      <c r="S193" s="51"/>
      <c r="T193" s="51"/>
      <c r="U193" s="51"/>
      <c r="V193" s="51"/>
      <c r="W193" s="51"/>
      <c r="X193" s="51"/>
      <c r="Y193" s="51"/>
      <c r="Z193" s="51"/>
      <c r="AA193" s="51"/>
      <c r="AB193" s="51"/>
      <c r="AC193" s="51"/>
      <c r="AD193" s="51"/>
      <c r="AE193" s="51"/>
      <c r="AF193" s="51"/>
      <c r="AG193" s="51"/>
      <c r="AH193" s="94"/>
      <c r="AI193" s="94"/>
      <c r="AJ193" s="94"/>
      <c r="AK193" s="94"/>
      <c r="AL193" s="94"/>
      <c r="AM193" s="94"/>
      <c r="AN193" s="94"/>
      <c r="AO193" s="95"/>
      <c r="AP193" s="686">
        <f t="shared" si="21"/>
        <v>0</v>
      </c>
      <c r="AQ193" s="42"/>
      <c r="AR193" s="42"/>
      <c r="AS193" s="42"/>
      <c r="AT193" s="43"/>
      <c r="AU193" s="687">
        <f t="shared" si="22"/>
        <v>0</v>
      </c>
      <c r="AV193" s="42"/>
      <c r="AW193" s="42"/>
      <c r="AX193" s="42"/>
      <c r="AY193" s="43"/>
      <c r="AZ193" s="486"/>
      <c r="BA193" s="51"/>
      <c r="BB193" s="51"/>
      <c r="BC193" s="51"/>
      <c r="BD193" s="51"/>
      <c r="BE193" s="51"/>
      <c r="BF193" s="51"/>
      <c r="BG193" s="51"/>
      <c r="BH193" s="94"/>
      <c r="BI193" s="94"/>
      <c r="BJ193" s="94"/>
      <c r="BK193" s="94"/>
      <c r="BL193" s="94"/>
      <c r="BM193" s="483"/>
      <c r="BN193" s="94"/>
      <c r="BO193" s="94"/>
      <c r="BP193" s="94"/>
      <c r="BQ193" s="94"/>
      <c r="BR193" s="94"/>
      <c r="BS193" s="94"/>
      <c r="BT193" s="94"/>
      <c r="BU193" s="94"/>
      <c r="BV193" s="94"/>
      <c r="BW193" s="688">
        <f t="shared" si="18"/>
        <v>0</v>
      </c>
      <c r="BX193" s="51"/>
      <c r="BY193" s="51"/>
      <c r="BZ193" s="51"/>
      <c r="CA193" s="51"/>
      <c r="CB193" s="51"/>
      <c r="CC193" s="51"/>
      <c r="CD193" s="97"/>
      <c r="CE193" s="479"/>
      <c r="CF193" s="51"/>
      <c r="CG193" s="51"/>
      <c r="CH193" s="62"/>
      <c r="CI193" s="62"/>
      <c r="CJ193" s="51"/>
      <c r="CK193" s="51"/>
      <c r="CL193" s="95"/>
      <c r="CM193" s="93"/>
      <c r="CN193" s="51"/>
      <c r="CO193" s="51"/>
      <c r="CP193" s="51"/>
      <c r="CQ193" s="51"/>
      <c r="CR193" s="51"/>
      <c r="CS193" s="51"/>
      <c r="CT193" s="51"/>
      <c r="CU193" s="95"/>
      <c r="CV193" s="93"/>
      <c r="CW193" s="51"/>
      <c r="CX193" s="51"/>
      <c r="CY193" s="51"/>
      <c r="CZ193" s="51"/>
      <c r="DA193" s="51"/>
      <c r="DB193" s="51"/>
      <c r="DC193" s="51"/>
      <c r="DD193" s="95"/>
      <c r="DE193" s="93"/>
      <c r="DF193" s="51"/>
      <c r="DG193" s="51"/>
      <c r="DH193" s="51"/>
      <c r="DI193" s="51"/>
      <c r="DJ193" s="51"/>
      <c r="DK193" s="51"/>
      <c r="DL193" s="95"/>
      <c r="DM193" s="478"/>
      <c r="DN193" s="682">
        <f t="shared" si="23"/>
        <v>0</v>
      </c>
      <c r="DO193" s="683"/>
    </row>
    <row r="194" spans="1:119" ht="25.5" customHeight="1" thickTop="1" thickBot="1" x14ac:dyDescent="0.2">
      <c r="A194" s="676">
        <f t="shared" si="19"/>
        <v>179</v>
      </c>
      <c r="B194" s="1054"/>
      <c r="C194" s="1055"/>
      <c r="D194" s="83"/>
      <c r="E194" s="954"/>
      <c r="F194" s="52"/>
      <c r="G194" s="103"/>
      <c r="H194" s="1058"/>
      <c r="I194" s="684" t="str">
        <f t="shared" si="16"/>
        <v/>
      </c>
      <c r="J194" s="685">
        <f t="shared" si="17"/>
        <v>0</v>
      </c>
      <c r="K194" s="1258"/>
      <c r="L194" s="1251"/>
      <c r="M194" s="1257"/>
      <c r="N194" s="719" t="str">
        <f t="shared" si="20"/>
        <v/>
      </c>
      <c r="O194" s="720" t="str">
        <f>IF('Set up ~ Config'!$G$32=6,IF(OR($N194=7,$N194=8,$N194=9),1,IF(OR($N194=10,$N194=11,$N194=12),2,IF(OR($N194=1,$N194=2,$N194=3),3,IF(OR($N194=4,$N194=5,$N194=6),4,"")))),IF(OR($N194=9,$N194=10,$N194=11),1,IF(OR($N194=12,$N194=1,$N194=2),2,IF(OR($N194=3,$N194=4,$N194=5),3,IF(OR($N194=6,$N194=7,$N194=8),4,"")))))</f>
        <v/>
      </c>
      <c r="P194" s="99"/>
      <c r="Q194" s="62"/>
      <c r="R194" s="62"/>
      <c r="S194" s="51"/>
      <c r="T194" s="51"/>
      <c r="U194" s="51"/>
      <c r="V194" s="51"/>
      <c r="W194" s="51"/>
      <c r="X194" s="51"/>
      <c r="Y194" s="51"/>
      <c r="Z194" s="51"/>
      <c r="AA194" s="51"/>
      <c r="AB194" s="51"/>
      <c r="AC194" s="51"/>
      <c r="AD194" s="51"/>
      <c r="AE194" s="51"/>
      <c r="AF194" s="51"/>
      <c r="AG194" s="51"/>
      <c r="AH194" s="94"/>
      <c r="AI194" s="94"/>
      <c r="AJ194" s="94"/>
      <c r="AK194" s="94"/>
      <c r="AL194" s="94"/>
      <c r="AM194" s="94"/>
      <c r="AN194" s="94"/>
      <c r="AO194" s="95"/>
      <c r="AP194" s="686">
        <f t="shared" si="21"/>
        <v>0</v>
      </c>
      <c r="AQ194" s="42"/>
      <c r="AR194" s="42"/>
      <c r="AS194" s="42"/>
      <c r="AT194" s="43"/>
      <c r="AU194" s="687">
        <f t="shared" si="22"/>
        <v>0</v>
      </c>
      <c r="AV194" s="42"/>
      <c r="AW194" s="42"/>
      <c r="AX194" s="42"/>
      <c r="AY194" s="43"/>
      <c r="AZ194" s="486"/>
      <c r="BA194" s="51"/>
      <c r="BB194" s="51"/>
      <c r="BC194" s="51"/>
      <c r="BD194" s="51"/>
      <c r="BE194" s="51"/>
      <c r="BF194" s="51"/>
      <c r="BG194" s="51"/>
      <c r="BH194" s="94"/>
      <c r="BI194" s="94"/>
      <c r="BJ194" s="94"/>
      <c r="BK194" s="94"/>
      <c r="BL194" s="94"/>
      <c r="BM194" s="483"/>
      <c r="BN194" s="94"/>
      <c r="BO194" s="94"/>
      <c r="BP194" s="94"/>
      <c r="BQ194" s="94"/>
      <c r="BR194" s="94"/>
      <c r="BS194" s="94"/>
      <c r="BT194" s="94"/>
      <c r="BU194" s="94"/>
      <c r="BV194" s="94"/>
      <c r="BW194" s="688">
        <f t="shared" si="18"/>
        <v>0</v>
      </c>
      <c r="BX194" s="51"/>
      <c r="BY194" s="51"/>
      <c r="BZ194" s="51"/>
      <c r="CA194" s="51"/>
      <c r="CB194" s="51"/>
      <c r="CC194" s="51"/>
      <c r="CD194" s="97"/>
      <c r="CE194" s="479"/>
      <c r="CF194" s="51"/>
      <c r="CG194" s="51"/>
      <c r="CH194" s="62"/>
      <c r="CI194" s="62"/>
      <c r="CJ194" s="51"/>
      <c r="CK194" s="51"/>
      <c r="CL194" s="95"/>
      <c r="CM194" s="93"/>
      <c r="CN194" s="51"/>
      <c r="CO194" s="51"/>
      <c r="CP194" s="51"/>
      <c r="CQ194" s="51"/>
      <c r="CR194" s="51"/>
      <c r="CS194" s="51"/>
      <c r="CT194" s="51"/>
      <c r="CU194" s="95"/>
      <c r="CV194" s="93"/>
      <c r="CW194" s="51"/>
      <c r="CX194" s="51"/>
      <c r="CY194" s="51"/>
      <c r="CZ194" s="51"/>
      <c r="DA194" s="51"/>
      <c r="DB194" s="51"/>
      <c r="DC194" s="51"/>
      <c r="DD194" s="95"/>
      <c r="DE194" s="93"/>
      <c r="DF194" s="51"/>
      <c r="DG194" s="51"/>
      <c r="DH194" s="51"/>
      <c r="DI194" s="51"/>
      <c r="DJ194" s="51"/>
      <c r="DK194" s="51"/>
      <c r="DL194" s="95"/>
      <c r="DM194" s="478"/>
      <c r="DN194" s="682">
        <f t="shared" si="23"/>
        <v>0</v>
      </c>
      <c r="DO194" s="683"/>
    </row>
    <row r="195" spans="1:119" ht="25.5" customHeight="1" thickTop="1" thickBot="1" x14ac:dyDescent="0.2">
      <c r="A195" s="676">
        <f t="shared" si="19"/>
        <v>180</v>
      </c>
      <c r="B195" s="1054"/>
      <c r="C195" s="1055"/>
      <c r="D195" s="83"/>
      <c r="E195" s="954"/>
      <c r="F195" s="52"/>
      <c r="G195" s="103"/>
      <c r="H195" s="1058"/>
      <c r="I195" s="684" t="str">
        <f t="shared" si="16"/>
        <v/>
      </c>
      <c r="J195" s="685">
        <f t="shared" si="17"/>
        <v>0</v>
      </c>
      <c r="K195" s="1258"/>
      <c r="L195" s="1251"/>
      <c r="M195" s="1257"/>
      <c r="N195" s="719" t="str">
        <f t="shared" si="20"/>
        <v/>
      </c>
      <c r="O195" s="720" t="str">
        <f>IF('Set up ~ Config'!$G$32=6,IF(OR($N195=7,$N195=8,$N195=9),1,IF(OR($N195=10,$N195=11,$N195=12),2,IF(OR($N195=1,$N195=2,$N195=3),3,IF(OR($N195=4,$N195=5,$N195=6),4,"")))),IF(OR($N195=9,$N195=10,$N195=11),1,IF(OR($N195=12,$N195=1,$N195=2),2,IF(OR($N195=3,$N195=4,$N195=5),3,IF(OR($N195=6,$N195=7,$N195=8),4,"")))))</f>
        <v/>
      </c>
      <c r="P195" s="99"/>
      <c r="Q195" s="62"/>
      <c r="R195" s="62"/>
      <c r="S195" s="51"/>
      <c r="T195" s="51"/>
      <c r="U195" s="51"/>
      <c r="V195" s="51"/>
      <c r="W195" s="51"/>
      <c r="X195" s="51"/>
      <c r="Y195" s="51"/>
      <c r="Z195" s="51"/>
      <c r="AA195" s="51"/>
      <c r="AB195" s="51"/>
      <c r="AC195" s="51"/>
      <c r="AD195" s="51"/>
      <c r="AE195" s="51"/>
      <c r="AF195" s="51"/>
      <c r="AG195" s="51"/>
      <c r="AH195" s="94"/>
      <c r="AI195" s="94"/>
      <c r="AJ195" s="94"/>
      <c r="AK195" s="94"/>
      <c r="AL195" s="94"/>
      <c r="AM195" s="94"/>
      <c r="AN195" s="94"/>
      <c r="AO195" s="95"/>
      <c r="AP195" s="686">
        <f t="shared" si="21"/>
        <v>0</v>
      </c>
      <c r="AQ195" s="42"/>
      <c r="AR195" s="42"/>
      <c r="AS195" s="42"/>
      <c r="AT195" s="43"/>
      <c r="AU195" s="687">
        <f t="shared" si="22"/>
        <v>0</v>
      </c>
      <c r="AV195" s="42"/>
      <c r="AW195" s="42"/>
      <c r="AX195" s="42"/>
      <c r="AY195" s="43"/>
      <c r="AZ195" s="486"/>
      <c r="BA195" s="51"/>
      <c r="BB195" s="51"/>
      <c r="BC195" s="51"/>
      <c r="BD195" s="51"/>
      <c r="BE195" s="51"/>
      <c r="BF195" s="51"/>
      <c r="BG195" s="51"/>
      <c r="BH195" s="94"/>
      <c r="BI195" s="94"/>
      <c r="BJ195" s="94"/>
      <c r="BK195" s="94"/>
      <c r="BL195" s="94"/>
      <c r="BM195" s="483"/>
      <c r="BN195" s="94"/>
      <c r="BO195" s="94"/>
      <c r="BP195" s="94"/>
      <c r="BQ195" s="94"/>
      <c r="BR195" s="94"/>
      <c r="BS195" s="94"/>
      <c r="BT195" s="94"/>
      <c r="BU195" s="94"/>
      <c r="BV195" s="94"/>
      <c r="BW195" s="688">
        <f t="shared" si="18"/>
        <v>0</v>
      </c>
      <c r="BX195" s="51"/>
      <c r="BY195" s="51"/>
      <c r="BZ195" s="51"/>
      <c r="CA195" s="51"/>
      <c r="CB195" s="51"/>
      <c r="CC195" s="51"/>
      <c r="CD195" s="97"/>
      <c r="CE195" s="479"/>
      <c r="CF195" s="51"/>
      <c r="CG195" s="51"/>
      <c r="CH195" s="62"/>
      <c r="CI195" s="62"/>
      <c r="CJ195" s="51"/>
      <c r="CK195" s="51"/>
      <c r="CL195" s="95"/>
      <c r="CM195" s="93"/>
      <c r="CN195" s="51"/>
      <c r="CO195" s="51"/>
      <c r="CP195" s="51"/>
      <c r="CQ195" s="51"/>
      <c r="CR195" s="51"/>
      <c r="CS195" s="51"/>
      <c r="CT195" s="51"/>
      <c r="CU195" s="95"/>
      <c r="CV195" s="93"/>
      <c r="CW195" s="51"/>
      <c r="CX195" s="51"/>
      <c r="CY195" s="51"/>
      <c r="CZ195" s="51"/>
      <c r="DA195" s="51"/>
      <c r="DB195" s="51"/>
      <c r="DC195" s="51"/>
      <c r="DD195" s="95"/>
      <c r="DE195" s="93"/>
      <c r="DF195" s="51"/>
      <c r="DG195" s="51"/>
      <c r="DH195" s="51"/>
      <c r="DI195" s="51"/>
      <c r="DJ195" s="51"/>
      <c r="DK195" s="51"/>
      <c r="DL195" s="95"/>
      <c r="DM195" s="478"/>
      <c r="DN195" s="682">
        <f t="shared" si="23"/>
        <v>0</v>
      </c>
      <c r="DO195" s="683"/>
    </row>
    <row r="196" spans="1:119" ht="25.5" customHeight="1" thickTop="1" thickBot="1" x14ac:dyDescent="0.2">
      <c r="A196" s="676">
        <f t="shared" si="19"/>
        <v>181</v>
      </c>
      <c r="B196" s="1054"/>
      <c r="C196" s="1055"/>
      <c r="D196" s="83"/>
      <c r="E196" s="954"/>
      <c r="F196" s="52"/>
      <c r="G196" s="103"/>
      <c r="H196" s="1058"/>
      <c r="I196" s="684" t="str">
        <f t="shared" si="16"/>
        <v/>
      </c>
      <c r="J196" s="685">
        <f t="shared" si="17"/>
        <v>0</v>
      </c>
      <c r="K196" s="1258"/>
      <c r="L196" s="1251"/>
      <c r="M196" s="1257"/>
      <c r="N196" s="719" t="str">
        <f t="shared" si="20"/>
        <v/>
      </c>
      <c r="O196" s="720" t="str">
        <f>IF('Set up ~ Config'!$G$32=6,IF(OR($N196=7,$N196=8,$N196=9),1,IF(OR($N196=10,$N196=11,$N196=12),2,IF(OR($N196=1,$N196=2,$N196=3),3,IF(OR($N196=4,$N196=5,$N196=6),4,"")))),IF(OR($N196=9,$N196=10,$N196=11),1,IF(OR($N196=12,$N196=1,$N196=2),2,IF(OR($N196=3,$N196=4,$N196=5),3,IF(OR($N196=6,$N196=7,$N196=8),4,"")))))</f>
        <v/>
      </c>
      <c r="P196" s="99"/>
      <c r="Q196" s="62"/>
      <c r="R196" s="62"/>
      <c r="S196" s="51"/>
      <c r="T196" s="51"/>
      <c r="U196" s="51"/>
      <c r="V196" s="51"/>
      <c r="W196" s="51"/>
      <c r="X196" s="51"/>
      <c r="Y196" s="51"/>
      <c r="Z196" s="51"/>
      <c r="AA196" s="51"/>
      <c r="AB196" s="51"/>
      <c r="AC196" s="51"/>
      <c r="AD196" s="51"/>
      <c r="AE196" s="51"/>
      <c r="AF196" s="51"/>
      <c r="AG196" s="51"/>
      <c r="AH196" s="94"/>
      <c r="AI196" s="94"/>
      <c r="AJ196" s="94"/>
      <c r="AK196" s="94"/>
      <c r="AL196" s="94"/>
      <c r="AM196" s="94"/>
      <c r="AN196" s="94"/>
      <c r="AO196" s="95"/>
      <c r="AP196" s="686">
        <f t="shared" si="21"/>
        <v>0</v>
      </c>
      <c r="AQ196" s="42"/>
      <c r="AR196" s="42"/>
      <c r="AS196" s="42"/>
      <c r="AT196" s="43"/>
      <c r="AU196" s="687">
        <f t="shared" si="22"/>
        <v>0</v>
      </c>
      <c r="AV196" s="42"/>
      <c r="AW196" s="42"/>
      <c r="AX196" s="42"/>
      <c r="AY196" s="43"/>
      <c r="AZ196" s="486"/>
      <c r="BA196" s="51"/>
      <c r="BB196" s="51"/>
      <c r="BC196" s="51"/>
      <c r="BD196" s="51"/>
      <c r="BE196" s="51"/>
      <c r="BF196" s="51"/>
      <c r="BG196" s="51"/>
      <c r="BH196" s="94"/>
      <c r="BI196" s="94"/>
      <c r="BJ196" s="94"/>
      <c r="BK196" s="94"/>
      <c r="BL196" s="94"/>
      <c r="BM196" s="483"/>
      <c r="BN196" s="94"/>
      <c r="BO196" s="94"/>
      <c r="BP196" s="94"/>
      <c r="BQ196" s="94"/>
      <c r="BR196" s="94"/>
      <c r="BS196" s="94"/>
      <c r="BT196" s="94"/>
      <c r="BU196" s="94"/>
      <c r="BV196" s="94"/>
      <c r="BW196" s="688">
        <f t="shared" si="18"/>
        <v>0</v>
      </c>
      <c r="BX196" s="51"/>
      <c r="BY196" s="51"/>
      <c r="BZ196" s="51"/>
      <c r="CA196" s="51"/>
      <c r="CB196" s="51"/>
      <c r="CC196" s="51"/>
      <c r="CD196" s="97"/>
      <c r="CE196" s="479"/>
      <c r="CF196" s="51"/>
      <c r="CG196" s="51"/>
      <c r="CH196" s="62"/>
      <c r="CI196" s="62"/>
      <c r="CJ196" s="51"/>
      <c r="CK196" s="51"/>
      <c r="CL196" s="95"/>
      <c r="CM196" s="93"/>
      <c r="CN196" s="51"/>
      <c r="CO196" s="51"/>
      <c r="CP196" s="51"/>
      <c r="CQ196" s="51"/>
      <c r="CR196" s="51"/>
      <c r="CS196" s="51"/>
      <c r="CT196" s="51"/>
      <c r="CU196" s="95"/>
      <c r="CV196" s="93"/>
      <c r="CW196" s="51"/>
      <c r="CX196" s="51"/>
      <c r="CY196" s="51"/>
      <c r="CZ196" s="51"/>
      <c r="DA196" s="51"/>
      <c r="DB196" s="51"/>
      <c r="DC196" s="51"/>
      <c r="DD196" s="95"/>
      <c r="DE196" s="93"/>
      <c r="DF196" s="51"/>
      <c r="DG196" s="51"/>
      <c r="DH196" s="51"/>
      <c r="DI196" s="51"/>
      <c r="DJ196" s="51"/>
      <c r="DK196" s="51"/>
      <c r="DL196" s="95"/>
      <c r="DM196" s="478"/>
      <c r="DN196" s="682">
        <f t="shared" si="23"/>
        <v>0</v>
      </c>
      <c r="DO196" s="683"/>
    </row>
    <row r="197" spans="1:119" ht="25.5" customHeight="1" thickTop="1" thickBot="1" x14ac:dyDescent="0.2">
      <c r="A197" s="676">
        <f t="shared" si="19"/>
        <v>182</v>
      </c>
      <c r="B197" s="1054"/>
      <c r="C197" s="1055"/>
      <c r="D197" s="83"/>
      <c r="E197" s="954"/>
      <c r="F197" s="52"/>
      <c r="G197" s="103"/>
      <c r="H197" s="1058"/>
      <c r="I197" s="684" t="str">
        <f t="shared" si="16"/>
        <v/>
      </c>
      <c r="J197" s="685">
        <f t="shared" si="17"/>
        <v>0</v>
      </c>
      <c r="K197" s="1258"/>
      <c r="L197" s="1251"/>
      <c r="M197" s="1257"/>
      <c r="N197" s="719" t="str">
        <f t="shared" si="20"/>
        <v/>
      </c>
      <c r="O197" s="720" t="str">
        <f>IF('Set up ~ Config'!$G$32=6,IF(OR($N197=7,$N197=8,$N197=9),1,IF(OR($N197=10,$N197=11,$N197=12),2,IF(OR($N197=1,$N197=2,$N197=3),3,IF(OR($N197=4,$N197=5,$N197=6),4,"")))),IF(OR($N197=9,$N197=10,$N197=11),1,IF(OR($N197=12,$N197=1,$N197=2),2,IF(OR($N197=3,$N197=4,$N197=5),3,IF(OR($N197=6,$N197=7,$N197=8),4,"")))))</f>
        <v/>
      </c>
      <c r="P197" s="99"/>
      <c r="Q197" s="62"/>
      <c r="R197" s="62"/>
      <c r="S197" s="51"/>
      <c r="T197" s="51"/>
      <c r="U197" s="51"/>
      <c r="V197" s="51"/>
      <c r="W197" s="51"/>
      <c r="X197" s="51"/>
      <c r="Y197" s="51"/>
      <c r="Z197" s="51"/>
      <c r="AA197" s="51"/>
      <c r="AB197" s="51"/>
      <c r="AC197" s="51"/>
      <c r="AD197" s="51"/>
      <c r="AE197" s="51"/>
      <c r="AF197" s="51"/>
      <c r="AG197" s="51"/>
      <c r="AH197" s="94"/>
      <c r="AI197" s="94"/>
      <c r="AJ197" s="94"/>
      <c r="AK197" s="94"/>
      <c r="AL197" s="94"/>
      <c r="AM197" s="94"/>
      <c r="AN197" s="94"/>
      <c r="AO197" s="95"/>
      <c r="AP197" s="686">
        <f t="shared" si="21"/>
        <v>0</v>
      </c>
      <c r="AQ197" s="42"/>
      <c r="AR197" s="42"/>
      <c r="AS197" s="42"/>
      <c r="AT197" s="43"/>
      <c r="AU197" s="687">
        <f t="shared" si="22"/>
        <v>0</v>
      </c>
      <c r="AV197" s="42"/>
      <c r="AW197" s="42"/>
      <c r="AX197" s="42"/>
      <c r="AY197" s="43"/>
      <c r="AZ197" s="486"/>
      <c r="BA197" s="51"/>
      <c r="BB197" s="51"/>
      <c r="BC197" s="51"/>
      <c r="BD197" s="51"/>
      <c r="BE197" s="51"/>
      <c r="BF197" s="51"/>
      <c r="BG197" s="51"/>
      <c r="BH197" s="94"/>
      <c r="BI197" s="94"/>
      <c r="BJ197" s="94"/>
      <c r="BK197" s="94"/>
      <c r="BL197" s="94"/>
      <c r="BM197" s="483"/>
      <c r="BN197" s="94"/>
      <c r="BO197" s="94"/>
      <c r="BP197" s="94"/>
      <c r="BQ197" s="94"/>
      <c r="BR197" s="94"/>
      <c r="BS197" s="94"/>
      <c r="BT197" s="94"/>
      <c r="BU197" s="94"/>
      <c r="BV197" s="94"/>
      <c r="BW197" s="688">
        <f t="shared" si="18"/>
        <v>0</v>
      </c>
      <c r="BX197" s="51"/>
      <c r="BY197" s="51"/>
      <c r="BZ197" s="51"/>
      <c r="CA197" s="51"/>
      <c r="CB197" s="51"/>
      <c r="CC197" s="51"/>
      <c r="CD197" s="97"/>
      <c r="CE197" s="479"/>
      <c r="CF197" s="51"/>
      <c r="CG197" s="51"/>
      <c r="CH197" s="62"/>
      <c r="CI197" s="62"/>
      <c r="CJ197" s="51"/>
      <c r="CK197" s="51"/>
      <c r="CL197" s="95"/>
      <c r="CM197" s="93"/>
      <c r="CN197" s="51"/>
      <c r="CO197" s="51"/>
      <c r="CP197" s="51"/>
      <c r="CQ197" s="51"/>
      <c r="CR197" s="51"/>
      <c r="CS197" s="51"/>
      <c r="CT197" s="51"/>
      <c r="CU197" s="95"/>
      <c r="CV197" s="93"/>
      <c r="CW197" s="51"/>
      <c r="CX197" s="51"/>
      <c r="CY197" s="51"/>
      <c r="CZ197" s="51"/>
      <c r="DA197" s="51"/>
      <c r="DB197" s="51"/>
      <c r="DC197" s="51"/>
      <c r="DD197" s="95"/>
      <c r="DE197" s="93"/>
      <c r="DF197" s="51"/>
      <c r="DG197" s="51"/>
      <c r="DH197" s="51"/>
      <c r="DI197" s="51"/>
      <c r="DJ197" s="51"/>
      <c r="DK197" s="51"/>
      <c r="DL197" s="95"/>
      <c r="DM197" s="478"/>
      <c r="DN197" s="682">
        <f t="shared" si="23"/>
        <v>0</v>
      </c>
      <c r="DO197" s="683"/>
    </row>
    <row r="198" spans="1:119" ht="25.5" customHeight="1" thickTop="1" thickBot="1" x14ac:dyDescent="0.2">
      <c r="A198" s="676">
        <f t="shared" si="19"/>
        <v>183</v>
      </c>
      <c r="B198" s="1054"/>
      <c r="C198" s="1055"/>
      <c r="D198" s="83"/>
      <c r="E198" s="954"/>
      <c r="F198" s="52"/>
      <c r="G198" s="103"/>
      <c r="H198" s="1058"/>
      <c r="I198" s="684" t="str">
        <f t="shared" si="16"/>
        <v/>
      </c>
      <c r="J198" s="685">
        <f t="shared" si="17"/>
        <v>0</v>
      </c>
      <c r="K198" s="1258"/>
      <c r="L198" s="1251"/>
      <c r="M198" s="1257"/>
      <c r="N198" s="719" t="str">
        <f t="shared" si="20"/>
        <v/>
      </c>
      <c r="O198" s="720" t="str">
        <f>IF('Set up ~ Config'!$G$32=6,IF(OR($N198=7,$N198=8,$N198=9),1,IF(OR($N198=10,$N198=11,$N198=12),2,IF(OR($N198=1,$N198=2,$N198=3),3,IF(OR($N198=4,$N198=5,$N198=6),4,"")))),IF(OR($N198=9,$N198=10,$N198=11),1,IF(OR($N198=12,$N198=1,$N198=2),2,IF(OR($N198=3,$N198=4,$N198=5),3,IF(OR($N198=6,$N198=7,$N198=8),4,"")))))</f>
        <v/>
      </c>
      <c r="P198" s="99"/>
      <c r="Q198" s="62"/>
      <c r="R198" s="62"/>
      <c r="S198" s="51"/>
      <c r="T198" s="51"/>
      <c r="U198" s="51"/>
      <c r="V198" s="51"/>
      <c r="W198" s="51"/>
      <c r="X198" s="51"/>
      <c r="Y198" s="51"/>
      <c r="Z198" s="51"/>
      <c r="AA198" s="51"/>
      <c r="AB198" s="51"/>
      <c r="AC198" s="51"/>
      <c r="AD198" s="51"/>
      <c r="AE198" s="51"/>
      <c r="AF198" s="51"/>
      <c r="AG198" s="51"/>
      <c r="AH198" s="94"/>
      <c r="AI198" s="94"/>
      <c r="AJ198" s="94"/>
      <c r="AK198" s="94"/>
      <c r="AL198" s="94"/>
      <c r="AM198" s="94"/>
      <c r="AN198" s="94"/>
      <c r="AO198" s="95"/>
      <c r="AP198" s="686">
        <f t="shared" si="21"/>
        <v>0</v>
      </c>
      <c r="AQ198" s="42"/>
      <c r="AR198" s="42"/>
      <c r="AS198" s="42"/>
      <c r="AT198" s="43"/>
      <c r="AU198" s="687">
        <f t="shared" si="22"/>
        <v>0</v>
      </c>
      <c r="AV198" s="42"/>
      <c r="AW198" s="42"/>
      <c r="AX198" s="42"/>
      <c r="AY198" s="43"/>
      <c r="AZ198" s="486"/>
      <c r="BA198" s="51"/>
      <c r="BB198" s="51"/>
      <c r="BC198" s="51"/>
      <c r="BD198" s="51"/>
      <c r="BE198" s="51"/>
      <c r="BF198" s="51"/>
      <c r="BG198" s="51"/>
      <c r="BH198" s="94"/>
      <c r="BI198" s="94"/>
      <c r="BJ198" s="94"/>
      <c r="BK198" s="94"/>
      <c r="BL198" s="94"/>
      <c r="BM198" s="483"/>
      <c r="BN198" s="94"/>
      <c r="BO198" s="94"/>
      <c r="BP198" s="94"/>
      <c r="BQ198" s="94"/>
      <c r="BR198" s="94"/>
      <c r="BS198" s="94"/>
      <c r="BT198" s="94"/>
      <c r="BU198" s="94"/>
      <c r="BV198" s="94"/>
      <c r="BW198" s="688">
        <f t="shared" si="18"/>
        <v>0</v>
      </c>
      <c r="BX198" s="51"/>
      <c r="BY198" s="51"/>
      <c r="BZ198" s="51"/>
      <c r="CA198" s="51"/>
      <c r="CB198" s="51"/>
      <c r="CC198" s="51"/>
      <c r="CD198" s="97"/>
      <c r="CE198" s="479"/>
      <c r="CF198" s="51"/>
      <c r="CG198" s="51"/>
      <c r="CH198" s="62"/>
      <c r="CI198" s="62"/>
      <c r="CJ198" s="51"/>
      <c r="CK198" s="51"/>
      <c r="CL198" s="95"/>
      <c r="CM198" s="93"/>
      <c r="CN198" s="51"/>
      <c r="CO198" s="51"/>
      <c r="CP198" s="51"/>
      <c r="CQ198" s="51"/>
      <c r="CR198" s="51"/>
      <c r="CS198" s="51"/>
      <c r="CT198" s="51"/>
      <c r="CU198" s="95"/>
      <c r="CV198" s="93"/>
      <c r="CW198" s="51"/>
      <c r="CX198" s="51"/>
      <c r="CY198" s="51"/>
      <c r="CZ198" s="51"/>
      <c r="DA198" s="51"/>
      <c r="DB198" s="51"/>
      <c r="DC198" s="51"/>
      <c r="DD198" s="95"/>
      <c r="DE198" s="93"/>
      <c r="DF198" s="51"/>
      <c r="DG198" s="51"/>
      <c r="DH198" s="51"/>
      <c r="DI198" s="51"/>
      <c r="DJ198" s="51"/>
      <c r="DK198" s="51"/>
      <c r="DL198" s="95"/>
      <c r="DM198" s="478"/>
      <c r="DN198" s="682">
        <f t="shared" si="23"/>
        <v>0</v>
      </c>
      <c r="DO198" s="683"/>
    </row>
    <row r="199" spans="1:119" ht="25.5" customHeight="1" thickTop="1" thickBot="1" x14ac:dyDescent="0.2">
      <c r="A199" s="676">
        <f t="shared" si="19"/>
        <v>184</v>
      </c>
      <c r="B199" s="1054"/>
      <c r="C199" s="1055"/>
      <c r="D199" s="83"/>
      <c r="E199" s="954"/>
      <c r="F199" s="52"/>
      <c r="G199" s="103"/>
      <c r="H199" s="1058"/>
      <c r="I199" s="684" t="str">
        <f t="shared" si="16"/>
        <v/>
      </c>
      <c r="J199" s="685">
        <f t="shared" si="17"/>
        <v>0</v>
      </c>
      <c r="K199" s="1258"/>
      <c r="L199" s="1251"/>
      <c r="M199" s="1257"/>
      <c r="N199" s="719" t="str">
        <f t="shared" si="20"/>
        <v/>
      </c>
      <c r="O199" s="720" t="str">
        <f>IF('Set up ~ Config'!$G$32=6,IF(OR($N199=7,$N199=8,$N199=9),1,IF(OR($N199=10,$N199=11,$N199=12),2,IF(OR($N199=1,$N199=2,$N199=3),3,IF(OR($N199=4,$N199=5,$N199=6),4,"")))),IF(OR($N199=9,$N199=10,$N199=11),1,IF(OR($N199=12,$N199=1,$N199=2),2,IF(OR($N199=3,$N199=4,$N199=5),3,IF(OR($N199=6,$N199=7,$N199=8),4,"")))))</f>
        <v/>
      </c>
      <c r="P199" s="99"/>
      <c r="Q199" s="62"/>
      <c r="R199" s="62"/>
      <c r="S199" s="51"/>
      <c r="T199" s="51"/>
      <c r="U199" s="51"/>
      <c r="V199" s="51"/>
      <c r="W199" s="51"/>
      <c r="X199" s="51"/>
      <c r="Y199" s="51"/>
      <c r="Z199" s="51"/>
      <c r="AA199" s="51"/>
      <c r="AB199" s="51"/>
      <c r="AC199" s="51"/>
      <c r="AD199" s="51"/>
      <c r="AE199" s="51"/>
      <c r="AF199" s="51"/>
      <c r="AG199" s="51"/>
      <c r="AH199" s="94"/>
      <c r="AI199" s="94"/>
      <c r="AJ199" s="94"/>
      <c r="AK199" s="94"/>
      <c r="AL199" s="94"/>
      <c r="AM199" s="94"/>
      <c r="AN199" s="94"/>
      <c r="AO199" s="95"/>
      <c r="AP199" s="686">
        <f t="shared" si="21"/>
        <v>0</v>
      </c>
      <c r="AQ199" s="42"/>
      <c r="AR199" s="42"/>
      <c r="AS199" s="42"/>
      <c r="AT199" s="43"/>
      <c r="AU199" s="687">
        <f t="shared" si="22"/>
        <v>0</v>
      </c>
      <c r="AV199" s="42"/>
      <c r="AW199" s="42"/>
      <c r="AX199" s="42"/>
      <c r="AY199" s="43"/>
      <c r="AZ199" s="486"/>
      <c r="BA199" s="51"/>
      <c r="BB199" s="51"/>
      <c r="BC199" s="51"/>
      <c r="BD199" s="51"/>
      <c r="BE199" s="51"/>
      <c r="BF199" s="51"/>
      <c r="BG199" s="51"/>
      <c r="BH199" s="94"/>
      <c r="BI199" s="94"/>
      <c r="BJ199" s="94"/>
      <c r="BK199" s="94"/>
      <c r="BL199" s="94"/>
      <c r="BM199" s="483"/>
      <c r="BN199" s="94"/>
      <c r="BO199" s="94"/>
      <c r="BP199" s="94"/>
      <c r="BQ199" s="94"/>
      <c r="BR199" s="94"/>
      <c r="BS199" s="94"/>
      <c r="BT199" s="94"/>
      <c r="BU199" s="94"/>
      <c r="BV199" s="94"/>
      <c r="BW199" s="688">
        <f t="shared" si="18"/>
        <v>0</v>
      </c>
      <c r="BX199" s="51"/>
      <c r="BY199" s="51"/>
      <c r="BZ199" s="51"/>
      <c r="CA199" s="51"/>
      <c r="CB199" s="51"/>
      <c r="CC199" s="51"/>
      <c r="CD199" s="97"/>
      <c r="CE199" s="479"/>
      <c r="CF199" s="51"/>
      <c r="CG199" s="51"/>
      <c r="CH199" s="62"/>
      <c r="CI199" s="62"/>
      <c r="CJ199" s="51"/>
      <c r="CK199" s="51"/>
      <c r="CL199" s="95"/>
      <c r="CM199" s="93"/>
      <c r="CN199" s="51"/>
      <c r="CO199" s="51"/>
      <c r="CP199" s="51"/>
      <c r="CQ199" s="51"/>
      <c r="CR199" s="51"/>
      <c r="CS199" s="51"/>
      <c r="CT199" s="51"/>
      <c r="CU199" s="95"/>
      <c r="CV199" s="93"/>
      <c r="CW199" s="51"/>
      <c r="CX199" s="51"/>
      <c r="CY199" s="51"/>
      <c r="CZ199" s="51"/>
      <c r="DA199" s="51"/>
      <c r="DB199" s="51"/>
      <c r="DC199" s="51"/>
      <c r="DD199" s="95"/>
      <c r="DE199" s="93"/>
      <c r="DF199" s="51"/>
      <c r="DG199" s="51"/>
      <c r="DH199" s="51"/>
      <c r="DI199" s="51"/>
      <c r="DJ199" s="51"/>
      <c r="DK199" s="51"/>
      <c r="DL199" s="95"/>
      <c r="DM199" s="478"/>
      <c r="DN199" s="682">
        <f t="shared" si="23"/>
        <v>0</v>
      </c>
      <c r="DO199" s="683"/>
    </row>
    <row r="200" spans="1:119" ht="25.5" customHeight="1" thickTop="1" thickBot="1" x14ac:dyDescent="0.2">
      <c r="A200" s="676">
        <f t="shared" si="19"/>
        <v>185</v>
      </c>
      <c r="B200" s="1054"/>
      <c r="C200" s="1055"/>
      <c r="D200" s="83"/>
      <c r="E200" s="954"/>
      <c r="F200" s="52"/>
      <c r="G200" s="103"/>
      <c r="H200" s="1058"/>
      <c r="I200" s="684" t="str">
        <f t="shared" si="16"/>
        <v/>
      </c>
      <c r="J200" s="685">
        <f t="shared" si="17"/>
        <v>0</v>
      </c>
      <c r="K200" s="1258"/>
      <c r="L200" s="1251"/>
      <c r="M200" s="1257"/>
      <c r="N200" s="719" t="str">
        <f t="shared" si="20"/>
        <v/>
      </c>
      <c r="O200" s="720" t="str">
        <f>IF('Set up ~ Config'!$G$32=6,IF(OR($N200=7,$N200=8,$N200=9),1,IF(OR($N200=10,$N200=11,$N200=12),2,IF(OR($N200=1,$N200=2,$N200=3),3,IF(OR($N200=4,$N200=5,$N200=6),4,"")))),IF(OR($N200=9,$N200=10,$N200=11),1,IF(OR($N200=12,$N200=1,$N200=2),2,IF(OR($N200=3,$N200=4,$N200=5),3,IF(OR($N200=6,$N200=7,$N200=8),4,"")))))</f>
        <v/>
      </c>
      <c r="P200" s="99"/>
      <c r="Q200" s="62"/>
      <c r="R200" s="62"/>
      <c r="S200" s="51"/>
      <c r="T200" s="51"/>
      <c r="U200" s="51"/>
      <c r="V200" s="51"/>
      <c r="W200" s="51"/>
      <c r="X200" s="51"/>
      <c r="Y200" s="51"/>
      <c r="Z200" s="51"/>
      <c r="AA200" s="51"/>
      <c r="AB200" s="51"/>
      <c r="AC200" s="51"/>
      <c r="AD200" s="51"/>
      <c r="AE200" s="51"/>
      <c r="AF200" s="51"/>
      <c r="AG200" s="51"/>
      <c r="AH200" s="94"/>
      <c r="AI200" s="94"/>
      <c r="AJ200" s="94"/>
      <c r="AK200" s="94"/>
      <c r="AL200" s="94"/>
      <c r="AM200" s="94"/>
      <c r="AN200" s="94"/>
      <c r="AO200" s="95"/>
      <c r="AP200" s="686">
        <f t="shared" si="21"/>
        <v>0</v>
      </c>
      <c r="AQ200" s="42"/>
      <c r="AR200" s="42"/>
      <c r="AS200" s="42"/>
      <c r="AT200" s="43"/>
      <c r="AU200" s="687">
        <f t="shared" si="22"/>
        <v>0</v>
      </c>
      <c r="AV200" s="42"/>
      <c r="AW200" s="42"/>
      <c r="AX200" s="42"/>
      <c r="AY200" s="43"/>
      <c r="AZ200" s="486"/>
      <c r="BA200" s="51"/>
      <c r="BB200" s="51"/>
      <c r="BC200" s="51"/>
      <c r="BD200" s="51"/>
      <c r="BE200" s="51"/>
      <c r="BF200" s="51"/>
      <c r="BG200" s="51"/>
      <c r="BH200" s="94"/>
      <c r="BI200" s="94"/>
      <c r="BJ200" s="94"/>
      <c r="BK200" s="94"/>
      <c r="BL200" s="94"/>
      <c r="BM200" s="483"/>
      <c r="BN200" s="94"/>
      <c r="BO200" s="94"/>
      <c r="BP200" s="94"/>
      <c r="BQ200" s="94"/>
      <c r="BR200" s="94"/>
      <c r="BS200" s="94"/>
      <c r="BT200" s="94"/>
      <c r="BU200" s="94"/>
      <c r="BV200" s="94"/>
      <c r="BW200" s="688">
        <f t="shared" si="18"/>
        <v>0</v>
      </c>
      <c r="BX200" s="51"/>
      <c r="BY200" s="51"/>
      <c r="BZ200" s="51"/>
      <c r="CA200" s="51"/>
      <c r="CB200" s="51"/>
      <c r="CC200" s="51"/>
      <c r="CD200" s="97"/>
      <c r="CE200" s="479"/>
      <c r="CF200" s="51"/>
      <c r="CG200" s="51"/>
      <c r="CH200" s="62"/>
      <c r="CI200" s="62"/>
      <c r="CJ200" s="51"/>
      <c r="CK200" s="51"/>
      <c r="CL200" s="95"/>
      <c r="CM200" s="93"/>
      <c r="CN200" s="51"/>
      <c r="CO200" s="51"/>
      <c r="CP200" s="51"/>
      <c r="CQ200" s="51"/>
      <c r="CR200" s="51"/>
      <c r="CS200" s="51"/>
      <c r="CT200" s="51"/>
      <c r="CU200" s="95"/>
      <c r="CV200" s="93"/>
      <c r="CW200" s="51"/>
      <c r="CX200" s="51"/>
      <c r="CY200" s="51"/>
      <c r="CZ200" s="51"/>
      <c r="DA200" s="51"/>
      <c r="DB200" s="51"/>
      <c r="DC200" s="51"/>
      <c r="DD200" s="95"/>
      <c r="DE200" s="93"/>
      <c r="DF200" s="51"/>
      <c r="DG200" s="51"/>
      <c r="DH200" s="51"/>
      <c r="DI200" s="51"/>
      <c r="DJ200" s="51"/>
      <c r="DK200" s="51"/>
      <c r="DL200" s="95"/>
      <c r="DM200" s="478"/>
      <c r="DN200" s="682">
        <f t="shared" si="23"/>
        <v>0</v>
      </c>
      <c r="DO200" s="683"/>
    </row>
    <row r="201" spans="1:119" ht="25.5" customHeight="1" thickTop="1" thickBot="1" x14ac:dyDescent="0.2">
      <c r="A201" s="676">
        <f t="shared" si="19"/>
        <v>186</v>
      </c>
      <c r="B201" s="1054"/>
      <c r="C201" s="1055"/>
      <c r="D201" s="83"/>
      <c r="E201" s="954"/>
      <c r="F201" s="52"/>
      <c r="G201" s="103"/>
      <c r="H201" s="1058"/>
      <c r="I201" s="684" t="str">
        <f t="shared" si="16"/>
        <v/>
      </c>
      <c r="J201" s="685">
        <f t="shared" si="17"/>
        <v>0</v>
      </c>
      <c r="K201" s="1258"/>
      <c r="L201" s="1251"/>
      <c r="M201" s="1257"/>
      <c r="N201" s="719" t="str">
        <f t="shared" si="20"/>
        <v/>
      </c>
      <c r="O201" s="720" t="str">
        <f>IF('Set up ~ Config'!$G$32=6,IF(OR($N201=7,$N201=8,$N201=9),1,IF(OR($N201=10,$N201=11,$N201=12),2,IF(OR($N201=1,$N201=2,$N201=3),3,IF(OR($N201=4,$N201=5,$N201=6),4,"")))),IF(OR($N201=9,$N201=10,$N201=11),1,IF(OR($N201=12,$N201=1,$N201=2),2,IF(OR($N201=3,$N201=4,$N201=5),3,IF(OR($N201=6,$N201=7,$N201=8),4,"")))))</f>
        <v/>
      </c>
      <c r="P201" s="99"/>
      <c r="Q201" s="62"/>
      <c r="R201" s="62"/>
      <c r="S201" s="51"/>
      <c r="T201" s="51"/>
      <c r="U201" s="51"/>
      <c r="V201" s="51"/>
      <c r="W201" s="51"/>
      <c r="X201" s="51"/>
      <c r="Y201" s="51"/>
      <c r="Z201" s="51"/>
      <c r="AA201" s="51"/>
      <c r="AB201" s="51"/>
      <c r="AC201" s="51"/>
      <c r="AD201" s="51"/>
      <c r="AE201" s="51"/>
      <c r="AF201" s="51"/>
      <c r="AG201" s="51"/>
      <c r="AH201" s="94"/>
      <c r="AI201" s="94"/>
      <c r="AJ201" s="94"/>
      <c r="AK201" s="94"/>
      <c r="AL201" s="94"/>
      <c r="AM201" s="94"/>
      <c r="AN201" s="94"/>
      <c r="AO201" s="95"/>
      <c r="AP201" s="686">
        <f t="shared" si="21"/>
        <v>0</v>
      </c>
      <c r="AQ201" s="42"/>
      <c r="AR201" s="42"/>
      <c r="AS201" s="42"/>
      <c r="AT201" s="43"/>
      <c r="AU201" s="687">
        <f t="shared" si="22"/>
        <v>0</v>
      </c>
      <c r="AV201" s="42"/>
      <c r="AW201" s="42"/>
      <c r="AX201" s="42"/>
      <c r="AY201" s="43"/>
      <c r="AZ201" s="486"/>
      <c r="BA201" s="51"/>
      <c r="BB201" s="51"/>
      <c r="BC201" s="51"/>
      <c r="BD201" s="51"/>
      <c r="BE201" s="51"/>
      <c r="BF201" s="51"/>
      <c r="BG201" s="51"/>
      <c r="BH201" s="94"/>
      <c r="BI201" s="94"/>
      <c r="BJ201" s="94"/>
      <c r="BK201" s="94"/>
      <c r="BL201" s="94"/>
      <c r="BM201" s="483"/>
      <c r="BN201" s="94"/>
      <c r="BO201" s="94"/>
      <c r="BP201" s="94"/>
      <c r="BQ201" s="94"/>
      <c r="BR201" s="94"/>
      <c r="BS201" s="94"/>
      <c r="BT201" s="94"/>
      <c r="BU201" s="94"/>
      <c r="BV201" s="94"/>
      <c r="BW201" s="688">
        <f t="shared" si="18"/>
        <v>0</v>
      </c>
      <c r="BX201" s="51"/>
      <c r="BY201" s="51"/>
      <c r="BZ201" s="51"/>
      <c r="CA201" s="51"/>
      <c r="CB201" s="51"/>
      <c r="CC201" s="51"/>
      <c r="CD201" s="97"/>
      <c r="CE201" s="479"/>
      <c r="CF201" s="51"/>
      <c r="CG201" s="51"/>
      <c r="CH201" s="62"/>
      <c r="CI201" s="62"/>
      <c r="CJ201" s="51"/>
      <c r="CK201" s="51"/>
      <c r="CL201" s="95"/>
      <c r="CM201" s="93"/>
      <c r="CN201" s="51"/>
      <c r="CO201" s="51"/>
      <c r="CP201" s="51"/>
      <c r="CQ201" s="51"/>
      <c r="CR201" s="51"/>
      <c r="CS201" s="51"/>
      <c r="CT201" s="51"/>
      <c r="CU201" s="95"/>
      <c r="CV201" s="93"/>
      <c r="CW201" s="51"/>
      <c r="CX201" s="51"/>
      <c r="CY201" s="51"/>
      <c r="CZ201" s="51"/>
      <c r="DA201" s="51"/>
      <c r="DB201" s="51"/>
      <c r="DC201" s="51"/>
      <c r="DD201" s="95"/>
      <c r="DE201" s="93"/>
      <c r="DF201" s="51"/>
      <c r="DG201" s="51"/>
      <c r="DH201" s="51"/>
      <c r="DI201" s="51"/>
      <c r="DJ201" s="51"/>
      <c r="DK201" s="51"/>
      <c r="DL201" s="95"/>
      <c r="DM201" s="478"/>
      <c r="DN201" s="682">
        <f t="shared" si="23"/>
        <v>0</v>
      </c>
      <c r="DO201" s="683"/>
    </row>
    <row r="202" spans="1:119" ht="25.5" customHeight="1" thickTop="1" thickBot="1" x14ac:dyDescent="0.2">
      <c r="A202" s="676">
        <f t="shared" si="19"/>
        <v>187</v>
      </c>
      <c r="B202" s="1054"/>
      <c r="C202" s="1055"/>
      <c r="D202" s="83"/>
      <c r="E202" s="954"/>
      <c r="F202" s="52"/>
      <c r="G202" s="103"/>
      <c r="H202" s="1058"/>
      <c r="I202" s="684" t="str">
        <f t="shared" si="16"/>
        <v/>
      </c>
      <c r="J202" s="685">
        <f t="shared" si="17"/>
        <v>0</v>
      </c>
      <c r="K202" s="1258"/>
      <c r="L202" s="1251"/>
      <c r="M202" s="1257"/>
      <c r="N202" s="719" t="str">
        <f t="shared" si="20"/>
        <v/>
      </c>
      <c r="O202" s="720" t="str">
        <f>IF('Set up ~ Config'!$G$32=6,IF(OR($N202=7,$N202=8,$N202=9),1,IF(OR($N202=10,$N202=11,$N202=12),2,IF(OR($N202=1,$N202=2,$N202=3),3,IF(OR($N202=4,$N202=5,$N202=6),4,"")))),IF(OR($N202=9,$N202=10,$N202=11),1,IF(OR($N202=12,$N202=1,$N202=2),2,IF(OR($N202=3,$N202=4,$N202=5),3,IF(OR($N202=6,$N202=7,$N202=8),4,"")))))</f>
        <v/>
      </c>
      <c r="P202" s="99"/>
      <c r="Q202" s="62"/>
      <c r="R202" s="62"/>
      <c r="S202" s="51"/>
      <c r="T202" s="51"/>
      <c r="U202" s="51"/>
      <c r="V202" s="51"/>
      <c r="W202" s="51"/>
      <c r="X202" s="51"/>
      <c r="Y202" s="51"/>
      <c r="Z202" s="51"/>
      <c r="AA202" s="51"/>
      <c r="AB202" s="51"/>
      <c r="AC202" s="51"/>
      <c r="AD202" s="51"/>
      <c r="AE202" s="51"/>
      <c r="AF202" s="51"/>
      <c r="AG202" s="51"/>
      <c r="AH202" s="94"/>
      <c r="AI202" s="94"/>
      <c r="AJ202" s="94"/>
      <c r="AK202" s="94"/>
      <c r="AL202" s="94"/>
      <c r="AM202" s="94"/>
      <c r="AN202" s="94"/>
      <c r="AO202" s="95"/>
      <c r="AP202" s="686">
        <f t="shared" si="21"/>
        <v>0</v>
      </c>
      <c r="AQ202" s="42"/>
      <c r="AR202" s="42"/>
      <c r="AS202" s="42"/>
      <c r="AT202" s="43"/>
      <c r="AU202" s="687">
        <f t="shared" si="22"/>
        <v>0</v>
      </c>
      <c r="AV202" s="42"/>
      <c r="AW202" s="42"/>
      <c r="AX202" s="42"/>
      <c r="AY202" s="43"/>
      <c r="AZ202" s="486"/>
      <c r="BA202" s="51"/>
      <c r="BB202" s="51"/>
      <c r="BC202" s="51"/>
      <c r="BD202" s="51"/>
      <c r="BE202" s="51"/>
      <c r="BF202" s="51"/>
      <c r="BG202" s="51"/>
      <c r="BH202" s="94"/>
      <c r="BI202" s="94"/>
      <c r="BJ202" s="94"/>
      <c r="BK202" s="94"/>
      <c r="BL202" s="94"/>
      <c r="BM202" s="483"/>
      <c r="BN202" s="94"/>
      <c r="BO202" s="94"/>
      <c r="BP202" s="94"/>
      <c r="BQ202" s="94"/>
      <c r="BR202" s="94"/>
      <c r="BS202" s="94"/>
      <c r="BT202" s="94"/>
      <c r="BU202" s="94"/>
      <c r="BV202" s="94"/>
      <c r="BW202" s="688">
        <f t="shared" si="18"/>
        <v>0</v>
      </c>
      <c r="BX202" s="51"/>
      <c r="BY202" s="51"/>
      <c r="BZ202" s="51"/>
      <c r="CA202" s="51"/>
      <c r="CB202" s="51"/>
      <c r="CC202" s="51"/>
      <c r="CD202" s="97"/>
      <c r="CE202" s="479"/>
      <c r="CF202" s="51"/>
      <c r="CG202" s="51"/>
      <c r="CH202" s="62"/>
      <c r="CI202" s="62"/>
      <c r="CJ202" s="51"/>
      <c r="CK202" s="51"/>
      <c r="CL202" s="95"/>
      <c r="CM202" s="93"/>
      <c r="CN202" s="51"/>
      <c r="CO202" s="51"/>
      <c r="CP202" s="51"/>
      <c r="CQ202" s="51"/>
      <c r="CR202" s="51"/>
      <c r="CS202" s="51"/>
      <c r="CT202" s="51"/>
      <c r="CU202" s="95"/>
      <c r="CV202" s="93"/>
      <c r="CW202" s="51"/>
      <c r="CX202" s="51"/>
      <c r="CY202" s="51"/>
      <c r="CZ202" s="51"/>
      <c r="DA202" s="51"/>
      <c r="DB202" s="51"/>
      <c r="DC202" s="51"/>
      <c r="DD202" s="95"/>
      <c r="DE202" s="93"/>
      <c r="DF202" s="51"/>
      <c r="DG202" s="51"/>
      <c r="DH202" s="51"/>
      <c r="DI202" s="51"/>
      <c r="DJ202" s="51"/>
      <c r="DK202" s="51"/>
      <c r="DL202" s="95"/>
      <c r="DM202" s="478"/>
      <c r="DN202" s="682">
        <f t="shared" si="23"/>
        <v>0</v>
      </c>
      <c r="DO202" s="683"/>
    </row>
    <row r="203" spans="1:119" ht="25.5" customHeight="1" thickTop="1" thickBot="1" x14ac:dyDescent="0.2">
      <c r="A203" s="676">
        <f t="shared" si="19"/>
        <v>188</v>
      </c>
      <c r="B203" s="1054"/>
      <c r="C203" s="1055"/>
      <c r="D203" s="83"/>
      <c r="E203" s="954"/>
      <c r="F203" s="52"/>
      <c r="G203" s="103"/>
      <c r="H203" s="1058"/>
      <c r="I203" s="684" t="str">
        <f t="shared" si="16"/>
        <v/>
      </c>
      <c r="J203" s="685">
        <f t="shared" si="17"/>
        <v>0</v>
      </c>
      <c r="K203" s="1258"/>
      <c r="L203" s="1251"/>
      <c r="M203" s="1257"/>
      <c r="N203" s="719" t="str">
        <f t="shared" si="20"/>
        <v/>
      </c>
      <c r="O203" s="720" t="str">
        <f>IF('Set up ~ Config'!$G$32=6,IF(OR($N203=7,$N203=8,$N203=9),1,IF(OR($N203=10,$N203=11,$N203=12),2,IF(OR($N203=1,$N203=2,$N203=3),3,IF(OR($N203=4,$N203=5,$N203=6),4,"")))),IF(OR($N203=9,$N203=10,$N203=11),1,IF(OR($N203=12,$N203=1,$N203=2),2,IF(OR($N203=3,$N203=4,$N203=5),3,IF(OR($N203=6,$N203=7,$N203=8),4,"")))))</f>
        <v/>
      </c>
      <c r="P203" s="99"/>
      <c r="Q203" s="62"/>
      <c r="R203" s="62"/>
      <c r="S203" s="51"/>
      <c r="T203" s="51"/>
      <c r="U203" s="51"/>
      <c r="V203" s="51"/>
      <c r="W203" s="51"/>
      <c r="X203" s="51"/>
      <c r="Y203" s="51"/>
      <c r="Z203" s="51"/>
      <c r="AA203" s="51"/>
      <c r="AB203" s="51"/>
      <c r="AC203" s="51"/>
      <c r="AD203" s="51"/>
      <c r="AE203" s="51"/>
      <c r="AF203" s="51"/>
      <c r="AG203" s="51"/>
      <c r="AH203" s="94"/>
      <c r="AI203" s="94"/>
      <c r="AJ203" s="94"/>
      <c r="AK203" s="94"/>
      <c r="AL203" s="94"/>
      <c r="AM203" s="94"/>
      <c r="AN203" s="94"/>
      <c r="AO203" s="95"/>
      <c r="AP203" s="686">
        <f t="shared" si="21"/>
        <v>0</v>
      </c>
      <c r="AQ203" s="42"/>
      <c r="AR203" s="42"/>
      <c r="AS203" s="42"/>
      <c r="AT203" s="43"/>
      <c r="AU203" s="687">
        <f t="shared" si="22"/>
        <v>0</v>
      </c>
      <c r="AV203" s="42"/>
      <c r="AW203" s="42"/>
      <c r="AX203" s="42"/>
      <c r="AY203" s="43"/>
      <c r="AZ203" s="486"/>
      <c r="BA203" s="51"/>
      <c r="BB203" s="51"/>
      <c r="BC203" s="51"/>
      <c r="BD203" s="51"/>
      <c r="BE203" s="51"/>
      <c r="BF203" s="51"/>
      <c r="BG203" s="51"/>
      <c r="BH203" s="94"/>
      <c r="BI203" s="94"/>
      <c r="BJ203" s="94"/>
      <c r="BK203" s="94"/>
      <c r="BL203" s="94"/>
      <c r="BM203" s="483"/>
      <c r="BN203" s="94"/>
      <c r="BO203" s="94"/>
      <c r="BP203" s="94"/>
      <c r="BQ203" s="94"/>
      <c r="BR203" s="94"/>
      <c r="BS203" s="94"/>
      <c r="BT203" s="94"/>
      <c r="BU203" s="94"/>
      <c r="BV203" s="94"/>
      <c r="BW203" s="688">
        <f t="shared" si="18"/>
        <v>0</v>
      </c>
      <c r="BX203" s="51"/>
      <c r="BY203" s="51"/>
      <c r="BZ203" s="51"/>
      <c r="CA203" s="51"/>
      <c r="CB203" s="51"/>
      <c r="CC203" s="51"/>
      <c r="CD203" s="97"/>
      <c r="CE203" s="479"/>
      <c r="CF203" s="51"/>
      <c r="CG203" s="51"/>
      <c r="CH203" s="62"/>
      <c r="CI203" s="62"/>
      <c r="CJ203" s="51"/>
      <c r="CK203" s="51"/>
      <c r="CL203" s="95"/>
      <c r="CM203" s="93"/>
      <c r="CN203" s="51"/>
      <c r="CO203" s="51"/>
      <c r="CP203" s="51"/>
      <c r="CQ203" s="51"/>
      <c r="CR203" s="51"/>
      <c r="CS203" s="51"/>
      <c r="CT203" s="51"/>
      <c r="CU203" s="95"/>
      <c r="CV203" s="93"/>
      <c r="CW203" s="51"/>
      <c r="CX203" s="51"/>
      <c r="CY203" s="51"/>
      <c r="CZ203" s="51"/>
      <c r="DA203" s="51"/>
      <c r="DB203" s="51"/>
      <c r="DC203" s="51"/>
      <c r="DD203" s="95"/>
      <c r="DE203" s="93"/>
      <c r="DF203" s="51"/>
      <c r="DG203" s="51"/>
      <c r="DH203" s="51"/>
      <c r="DI203" s="51"/>
      <c r="DJ203" s="51"/>
      <c r="DK203" s="51"/>
      <c r="DL203" s="95"/>
      <c r="DM203" s="478"/>
      <c r="DN203" s="682">
        <f t="shared" si="23"/>
        <v>0</v>
      </c>
      <c r="DO203" s="683"/>
    </row>
    <row r="204" spans="1:119" ht="25.5" customHeight="1" thickTop="1" thickBot="1" x14ac:dyDescent="0.2">
      <c r="A204" s="676">
        <f t="shared" si="19"/>
        <v>189</v>
      </c>
      <c r="B204" s="1054"/>
      <c r="C204" s="1055"/>
      <c r="D204" s="83"/>
      <c r="E204" s="954"/>
      <c r="F204" s="52"/>
      <c r="G204" s="103"/>
      <c r="H204" s="1058"/>
      <c r="I204" s="684" t="str">
        <f t="shared" si="16"/>
        <v/>
      </c>
      <c r="J204" s="685">
        <f t="shared" si="17"/>
        <v>0</v>
      </c>
      <c r="K204" s="1258"/>
      <c r="L204" s="1251"/>
      <c r="M204" s="1257"/>
      <c r="N204" s="719" t="str">
        <f t="shared" si="20"/>
        <v/>
      </c>
      <c r="O204" s="720" t="str">
        <f>IF('Set up ~ Config'!$G$32=6,IF(OR($N204=7,$N204=8,$N204=9),1,IF(OR($N204=10,$N204=11,$N204=12),2,IF(OR($N204=1,$N204=2,$N204=3),3,IF(OR($N204=4,$N204=5,$N204=6),4,"")))),IF(OR($N204=9,$N204=10,$N204=11),1,IF(OR($N204=12,$N204=1,$N204=2),2,IF(OR($N204=3,$N204=4,$N204=5),3,IF(OR($N204=6,$N204=7,$N204=8),4,"")))))</f>
        <v/>
      </c>
      <c r="P204" s="99"/>
      <c r="Q204" s="62"/>
      <c r="R204" s="62"/>
      <c r="S204" s="51"/>
      <c r="T204" s="51"/>
      <c r="U204" s="51"/>
      <c r="V204" s="51"/>
      <c r="W204" s="51"/>
      <c r="X204" s="51"/>
      <c r="Y204" s="51"/>
      <c r="Z204" s="51"/>
      <c r="AA204" s="51"/>
      <c r="AB204" s="51"/>
      <c r="AC204" s="51"/>
      <c r="AD204" s="51"/>
      <c r="AE204" s="51"/>
      <c r="AF204" s="51"/>
      <c r="AG204" s="51"/>
      <c r="AH204" s="94"/>
      <c r="AI204" s="94"/>
      <c r="AJ204" s="94"/>
      <c r="AK204" s="94"/>
      <c r="AL204" s="94"/>
      <c r="AM204" s="94"/>
      <c r="AN204" s="94"/>
      <c r="AO204" s="95"/>
      <c r="AP204" s="686">
        <f t="shared" si="21"/>
        <v>0</v>
      </c>
      <c r="AQ204" s="42"/>
      <c r="AR204" s="42"/>
      <c r="AS204" s="42"/>
      <c r="AT204" s="43"/>
      <c r="AU204" s="687">
        <f t="shared" si="22"/>
        <v>0</v>
      </c>
      <c r="AV204" s="42"/>
      <c r="AW204" s="42"/>
      <c r="AX204" s="42"/>
      <c r="AY204" s="43"/>
      <c r="AZ204" s="486"/>
      <c r="BA204" s="51"/>
      <c r="BB204" s="51"/>
      <c r="BC204" s="51"/>
      <c r="BD204" s="51"/>
      <c r="BE204" s="51"/>
      <c r="BF204" s="51"/>
      <c r="BG204" s="51"/>
      <c r="BH204" s="94"/>
      <c r="BI204" s="94"/>
      <c r="BJ204" s="94"/>
      <c r="BK204" s="94"/>
      <c r="BL204" s="94"/>
      <c r="BM204" s="483"/>
      <c r="BN204" s="94"/>
      <c r="BO204" s="94"/>
      <c r="BP204" s="94"/>
      <c r="BQ204" s="94"/>
      <c r="BR204" s="94"/>
      <c r="BS204" s="94"/>
      <c r="BT204" s="94"/>
      <c r="BU204" s="94"/>
      <c r="BV204" s="94"/>
      <c r="BW204" s="688">
        <f t="shared" si="18"/>
        <v>0</v>
      </c>
      <c r="BX204" s="51"/>
      <c r="BY204" s="51"/>
      <c r="BZ204" s="51"/>
      <c r="CA204" s="51"/>
      <c r="CB204" s="51"/>
      <c r="CC204" s="51"/>
      <c r="CD204" s="97"/>
      <c r="CE204" s="479"/>
      <c r="CF204" s="51"/>
      <c r="CG204" s="51"/>
      <c r="CH204" s="62"/>
      <c r="CI204" s="62"/>
      <c r="CJ204" s="51"/>
      <c r="CK204" s="51"/>
      <c r="CL204" s="95"/>
      <c r="CM204" s="93"/>
      <c r="CN204" s="51"/>
      <c r="CO204" s="51"/>
      <c r="CP204" s="51"/>
      <c r="CQ204" s="51"/>
      <c r="CR204" s="51"/>
      <c r="CS204" s="51"/>
      <c r="CT204" s="51"/>
      <c r="CU204" s="95"/>
      <c r="CV204" s="93"/>
      <c r="CW204" s="51"/>
      <c r="CX204" s="51"/>
      <c r="CY204" s="51"/>
      <c r="CZ204" s="51"/>
      <c r="DA204" s="51"/>
      <c r="DB204" s="51"/>
      <c r="DC204" s="51"/>
      <c r="DD204" s="95"/>
      <c r="DE204" s="93"/>
      <c r="DF204" s="51"/>
      <c r="DG204" s="51"/>
      <c r="DH204" s="51"/>
      <c r="DI204" s="51"/>
      <c r="DJ204" s="51"/>
      <c r="DK204" s="51"/>
      <c r="DL204" s="95"/>
      <c r="DM204" s="478"/>
      <c r="DN204" s="682">
        <f t="shared" si="23"/>
        <v>0</v>
      </c>
      <c r="DO204" s="683"/>
    </row>
    <row r="205" spans="1:119" ht="25.5" customHeight="1" thickTop="1" thickBot="1" x14ac:dyDescent="0.2">
      <c r="A205" s="676">
        <f t="shared" si="19"/>
        <v>190</v>
      </c>
      <c r="B205" s="1054"/>
      <c r="C205" s="1055"/>
      <c r="D205" s="83"/>
      <c r="E205" s="954"/>
      <c r="F205" s="52"/>
      <c r="G205" s="103"/>
      <c r="H205" s="1058"/>
      <c r="I205" s="684" t="str">
        <f t="shared" si="16"/>
        <v/>
      </c>
      <c r="J205" s="685">
        <f t="shared" si="17"/>
        <v>0</v>
      </c>
      <c r="K205" s="1258"/>
      <c r="L205" s="1251"/>
      <c r="M205" s="1257"/>
      <c r="N205" s="719" t="str">
        <f t="shared" si="20"/>
        <v/>
      </c>
      <c r="O205" s="720" t="str">
        <f>IF('Set up ~ Config'!$G$32=6,IF(OR($N205=7,$N205=8,$N205=9),1,IF(OR($N205=10,$N205=11,$N205=12),2,IF(OR($N205=1,$N205=2,$N205=3),3,IF(OR($N205=4,$N205=5,$N205=6),4,"")))),IF(OR($N205=9,$N205=10,$N205=11),1,IF(OR($N205=12,$N205=1,$N205=2),2,IF(OR($N205=3,$N205=4,$N205=5),3,IF(OR($N205=6,$N205=7,$N205=8),4,"")))))</f>
        <v/>
      </c>
      <c r="P205" s="99"/>
      <c r="Q205" s="62"/>
      <c r="R205" s="62"/>
      <c r="S205" s="51"/>
      <c r="T205" s="51"/>
      <c r="U205" s="51"/>
      <c r="V205" s="51"/>
      <c r="W205" s="51"/>
      <c r="X205" s="51"/>
      <c r="Y205" s="51"/>
      <c r="Z205" s="51"/>
      <c r="AA205" s="51"/>
      <c r="AB205" s="51"/>
      <c r="AC205" s="51"/>
      <c r="AD205" s="51"/>
      <c r="AE205" s="51"/>
      <c r="AF205" s="51"/>
      <c r="AG205" s="51"/>
      <c r="AH205" s="94"/>
      <c r="AI205" s="94"/>
      <c r="AJ205" s="94"/>
      <c r="AK205" s="94"/>
      <c r="AL205" s="94"/>
      <c r="AM205" s="94"/>
      <c r="AN205" s="94"/>
      <c r="AO205" s="95"/>
      <c r="AP205" s="686">
        <f t="shared" si="21"/>
        <v>0</v>
      </c>
      <c r="AQ205" s="42"/>
      <c r="AR205" s="42"/>
      <c r="AS205" s="42"/>
      <c r="AT205" s="43"/>
      <c r="AU205" s="687">
        <f t="shared" si="22"/>
        <v>0</v>
      </c>
      <c r="AV205" s="42"/>
      <c r="AW205" s="42"/>
      <c r="AX205" s="42"/>
      <c r="AY205" s="43"/>
      <c r="AZ205" s="486"/>
      <c r="BA205" s="51"/>
      <c r="BB205" s="51"/>
      <c r="BC205" s="51"/>
      <c r="BD205" s="51"/>
      <c r="BE205" s="51"/>
      <c r="BF205" s="51"/>
      <c r="BG205" s="51"/>
      <c r="BH205" s="94"/>
      <c r="BI205" s="94"/>
      <c r="BJ205" s="94"/>
      <c r="BK205" s="94"/>
      <c r="BL205" s="94"/>
      <c r="BM205" s="483"/>
      <c r="BN205" s="94"/>
      <c r="BO205" s="94"/>
      <c r="BP205" s="94"/>
      <c r="BQ205" s="94"/>
      <c r="BR205" s="94"/>
      <c r="BS205" s="94"/>
      <c r="BT205" s="94"/>
      <c r="BU205" s="94"/>
      <c r="BV205" s="94"/>
      <c r="BW205" s="688">
        <f t="shared" si="18"/>
        <v>0</v>
      </c>
      <c r="BX205" s="51"/>
      <c r="BY205" s="51"/>
      <c r="BZ205" s="51"/>
      <c r="CA205" s="51"/>
      <c r="CB205" s="51"/>
      <c r="CC205" s="51"/>
      <c r="CD205" s="97"/>
      <c r="CE205" s="479"/>
      <c r="CF205" s="51"/>
      <c r="CG205" s="51"/>
      <c r="CH205" s="62"/>
      <c r="CI205" s="62"/>
      <c r="CJ205" s="51"/>
      <c r="CK205" s="51"/>
      <c r="CL205" s="95"/>
      <c r="CM205" s="93"/>
      <c r="CN205" s="51"/>
      <c r="CO205" s="51"/>
      <c r="CP205" s="51"/>
      <c r="CQ205" s="51"/>
      <c r="CR205" s="51"/>
      <c r="CS205" s="51"/>
      <c r="CT205" s="51"/>
      <c r="CU205" s="95"/>
      <c r="CV205" s="93"/>
      <c r="CW205" s="51"/>
      <c r="CX205" s="51"/>
      <c r="CY205" s="51"/>
      <c r="CZ205" s="51"/>
      <c r="DA205" s="51"/>
      <c r="DB205" s="51"/>
      <c r="DC205" s="51"/>
      <c r="DD205" s="95"/>
      <c r="DE205" s="93"/>
      <c r="DF205" s="51"/>
      <c r="DG205" s="51"/>
      <c r="DH205" s="51"/>
      <c r="DI205" s="51"/>
      <c r="DJ205" s="51"/>
      <c r="DK205" s="51"/>
      <c r="DL205" s="95"/>
      <c r="DM205" s="478"/>
      <c r="DN205" s="682">
        <f t="shared" si="23"/>
        <v>0</v>
      </c>
      <c r="DO205" s="683"/>
    </row>
    <row r="206" spans="1:119" ht="25.5" customHeight="1" thickTop="1" thickBot="1" x14ac:dyDescent="0.2">
      <c r="A206" s="676">
        <f t="shared" si="19"/>
        <v>191</v>
      </c>
      <c r="B206" s="1054"/>
      <c r="C206" s="1055"/>
      <c r="D206" s="83"/>
      <c r="E206" s="954"/>
      <c r="F206" s="52"/>
      <c r="G206" s="103"/>
      <c r="H206" s="1058"/>
      <c r="I206" s="684" t="str">
        <f t="shared" si="16"/>
        <v/>
      </c>
      <c r="J206" s="685">
        <f t="shared" si="17"/>
        <v>0</v>
      </c>
      <c r="K206" s="1258"/>
      <c r="L206" s="1251"/>
      <c r="M206" s="1257"/>
      <c r="N206" s="719" t="str">
        <f t="shared" si="20"/>
        <v/>
      </c>
      <c r="O206" s="720" t="str">
        <f>IF('Set up ~ Config'!$G$32=6,IF(OR($N206=7,$N206=8,$N206=9),1,IF(OR($N206=10,$N206=11,$N206=12),2,IF(OR($N206=1,$N206=2,$N206=3),3,IF(OR($N206=4,$N206=5,$N206=6),4,"")))),IF(OR($N206=9,$N206=10,$N206=11),1,IF(OR($N206=12,$N206=1,$N206=2),2,IF(OR($N206=3,$N206=4,$N206=5),3,IF(OR($N206=6,$N206=7,$N206=8),4,"")))))</f>
        <v/>
      </c>
      <c r="P206" s="99"/>
      <c r="Q206" s="62"/>
      <c r="R206" s="62"/>
      <c r="S206" s="51"/>
      <c r="T206" s="51"/>
      <c r="U206" s="51"/>
      <c r="V206" s="51"/>
      <c r="W206" s="51"/>
      <c r="X206" s="51"/>
      <c r="Y206" s="51"/>
      <c r="Z206" s="51"/>
      <c r="AA206" s="51"/>
      <c r="AB206" s="51"/>
      <c r="AC206" s="51"/>
      <c r="AD206" s="51"/>
      <c r="AE206" s="51"/>
      <c r="AF206" s="51"/>
      <c r="AG206" s="51"/>
      <c r="AH206" s="94"/>
      <c r="AI206" s="94"/>
      <c r="AJ206" s="94"/>
      <c r="AK206" s="94"/>
      <c r="AL206" s="94"/>
      <c r="AM206" s="94"/>
      <c r="AN206" s="94"/>
      <c r="AO206" s="95"/>
      <c r="AP206" s="686">
        <f t="shared" si="21"/>
        <v>0</v>
      </c>
      <c r="AQ206" s="42"/>
      <c r="AR206" s="42"/>
      <c r="AS206" s="42"/>
      <c r="AT206" s="43"/>
      <c r="AU206" s="687">
        <f t="shared" si="22"/>
        <v>0</v>
      </c>
      <c r="AV206" s="42"/>
      <c r="AW206" s="42"/>
      <c r="AX206" s="42"/>
      <c r="AY206" s="43"/>
      <c r="AZ206" s="486"/>
      <c r="BA206" s="51"/>
      <c r="BB206" s="51"/>
      <c r="BC206" s="51"/>
      <c r="BD206" s="51"/>
      <c r="BE206" s="51"/>
      <c r="BF206" s="51"/>
      <c r="BG206" s="51"/>
      <c r="BH206" s="94"/>
      <c r="BI206" s="94"/>
      <c r="BJ206" s="94"/>
      <c r="BK206" s="94"/>
      <c r="BL206" s="94"/>
      <c r="BM206" s="483"/>
      <c r="BN206" s="94"/>
      <c r="BO206" s="94"/>
      <c r="BP206" s="94"/>
      <c r="BQ206" s="94"/>
      <c r="BR206" s="94"/>
      <c r="BS206" s="94"/>
      <c r="BT206" s="94"/>
      <c r="BU206" s="94"/>
      <c r="BV206" s="94"/>
      <c r="BW206" s="688">
        <f t="shared" si="18"/>
        <v>0</v>
      </c>
      <c r="BX206" s="51"/>
      <c r="BY206" s="51"/>
      <c r="BZ206" s="51"/>
      <c r="CA206" s="51"/>
      <c r="CB206" s="51"/>
      <c r="CC206" s="51"/>
      <c r="CD206" s="97"/>
      <c r="CE206" s="479"/>
      <c r="CF206" s="51"/>
      <c r="CG206" s="51"/>
      <c r="CH206" s="62"/>
      <c r="CI206" s="62"/>
      <c r="CJ206" s="51"/>
      <c r="CK206" s="51"/>
      <c r="CL206" s="95"/>
      <c r="CM206" s="93"/>
      <c r="CN206" s="51"/>
      <c r="CO206" s="51"/>
      <c r="CP206" s="51"/>
      <c r="CQ206" s="51"/>
      <c r="CR206" s="51"/>
      <c r="CS206" s="51"/>
      <c r="CT206" s="51"/>
      <c r="CU206" s="95"/>
      <c r="CV206" s="93"/>
      <c r="CW206" s="51"/>
      <c r="CX206" s="51"/>
      <c r="CY206" s="51"/>
      <c r="CZ206" s="51"/>
      <c r="DA206" s="51"/>
      <c r="DB206" s="51"/>
      <c r="DC206" s="51"/>
      <c r="DD206" s="95"/>
      <c r="DE206" s="93"/>
      <c r="DF206" s="51"/>
      <c r="DG206" s="51"/>
      <c r="DH206" s="51"/>
      <c r="DI206" s="51"/>
      <c r="DJ206" s="51"/>
      <c r="DK206" s="51"/>
      <c r="DL206" s="95"/>
      <c r="DM206" s="478"/>
      <c r="DN206" s="682">
        <f t="shared" si="23"/>
        <v>0</v>
      </c>
      <c r="DO206" s="683"/>
    </row>
    <row r="207" spans="1:119" ht="25.5" customHeight="1" thickTop="1" thickBot="1" x14ac:dyDescent="0.2">
      <c r="A207" s="676">
        <f t="shared" si="19"/>
        <v>192</v>
      </c>
      <c r="B207" s="1054"/>
      <c r="C207" s="1055"/>
      <c r="D207" s="83"/>
      <c r="E207" s="954"/>
      <c r="F207" s="52"/>
      <c r="G207" s="103"/>
      <c r="H207" s="1058"/>
      <c r="I207" s="684" t="str">
        <f t="shared" si="16"/>
        <v/>
      </c>
      <c r="J207" s="685">
        <f t="shared" si="17"/>
        <v>0</v>
      </c>
      <c r="K207" s="1258"/>
      <c r="L207" s="1251"/>
      <c r="M207" s="1257"/>
      <c r="N207" s="719" t="str">
        <f t="shared" si="20"/>
        <v/>
      </c>
      <c r="O207" s="720" t="str">
        <f>IF('Set up ~ Config'!$G$32=6,IF(OR($N207=7,$N207=8,$N207=9),1,IF(OR($N207=10,$N207=11,$N207=12),2,IF(OR($N207=1,$N207=2,$N207=3),3,IF(OR($N207=4,$N207=5,$N207=6),4,"")))),IF(OR($N207=9,$N207=10,$N207=11),1,IF(OR($N207=12,$N207=1,$N207=2),2,IF(OR($N207=3,$N207=4,$N207=5),3,IF(OR($N207=6,$N207=7,$N207=8),4,"")))))</f>
        <v/>
      </c>
      <c r="P207" s="99"/>
      <c r="Q207" s="62"/>
      <c r="R207" s="62"/>
      <c r="S207" s="51"/>
      <c r="T207" s="51"/>
      <c r="U207" s="51"/>
      <c r="V207" s="51"/>
      <c r="W207" s="51"/>
      <c r="X207" s="51"/>
      <c r="Y207" s="51"/>
      <c r="Z207" s="51"/>
      <c r="AA207" s="51"/>
      <c r="AB207" s="51"/>
      <c r="AC207" s="51"/>
      <c r="AD207" s="51"/>
      <c r="AE207" s="51"/>
      <c r="AF207" s="51"/>
      <c r="AG207" s="51"/>
      <c r="AH207" s="94"/>
      <c r="AI207" s="94"/>
      <c r="AJ207" s="94"/>
      <c r="AK207" s="94"/>
      <c r="AL207" s="94"/>
      <c r="AM207" s="94"/>
      <c r="AN207" s="94"/>
      <c r="AO207" s="95"/>
      <c r="AP207" s="686">
        <f t="shared" si="21"/>
        <v>0</v>
      </c>
      <c r="AQ207" s="42"/>
      <c r="AR207" s="42"/>
      <c r="AS207" s="42"/>
      <c r="AT207" s="43"/>
      <c r="AU207" s="687">
        <f t="shared" si="22"/>
        <v>0</v>
      </c>
      <c r="AV207" s="42"/>
      <c r="AW207" s="42"/>
      <c r="AX207" s="42"/>
      <c r="AY207" s="43"/>
      <c r="AZ207" s="486"/>
      <c r="BA207" s="51"/>
      <c r="BB207" s="51"/>
      <c r="BC207" s="51"/>
      <c r="BD207" s="51"/>
      <c r="BE207" s="51"/>
      <c r="BF207" s="51"/>
      <c r="BG207" s="51"/>
      <c r="BH207" s="94"/>
      <c r="BI207" s="94"/>
      <c r="BJ207" s="94"/>
      <c r="BK207" s="94"/>
      <c r="BL207" s="94"/>
      <c r="BM207" s="483"/>
      <c r="BN207" s="94"/>
      <c r="BO207" s="94"/>
      <c r="BP207" s="94"/>
      <c r="BQ207" s="94"/>
      <c r="BR207" s="94"/>
      <c r="BS207" s="94"/>
      <c r="BT207" s="94"/>
      <c r="BU207" s="94"/>
      <c r="BV207" s="94"/>
      <c r="BW207" s="688">
        <f t="shared" si="18"/>
        <v>0</v>
      </c>
      <c r="BX207" s="51"/>
      <c r="BY207" s="51"/>
      <c r="BZ207" s="51"/>
      <c r="CA207" s="51"/>
      <c r="CB207" s="51"/>
      <c r="CC207" s="51"/>
      <c r="CD207" s="97"/>
      <c r="CE207" s="479"/>
      <c r="CF207" s="51"/>
      <c r="CG207" s="51"/>
      <c r="CH207" s="62"/>
      <c r="CI207" s="62"/>
      <c r="CJ207" s="51"/>
      <c r="CK207" s="51"/>
      <c r="CL207" s="95"/>
      <c r="CM207" s="93"/>
      <c r="CN207" s="51"/>
      <c r="CO207" s="51"/>
      <c r="CP207" s="51"/>
      <c r="CQ207" s="51"/>
      <c r="CR207" s="51"/>
      <c r="CS207" s="51"/>
      <c r="CT207" s="51"/>
      <c r="CU207" s="95"/>
      <c r="CV207" s="93"/>
      <c r="CW207" s="51"/>
      <c r="CX207" s="51"/>
      <c r="CY207" s="51"/>
      <c r="CZ207" s="51"/>
      <c r="DA207" s="51"/>
      <c r="DB207" s="51"/>
      <c r="DC207" s="51"/>
      <c r="DD207" s="95"/>
      <c r="DE207" s="93"/>
      <c r="DF207" s="51"/>
      <c r="DG207" s="51"/>
      <c r="DH207" s="51"/>
      <c r="DI207" s="51"/>
      <c r="DJ207" s="51"/>
      <c r="DK207" s="51"/>
      <c r="DL207" s="95"/>
      <c r="DM207" s="478"/>
      <c r="DN207" s="682">
        <f t="shared" si="23"/>
        <v>0</v>
      </c>
      <c r="DO207" s="683"/>
    </row>
    <row r="208" spans="1:119" ht="25.5" customHeight="1" thickTop="1" thickBot="1" x14ac:dyDescent="0.2">
      <c r="A208" s="676">
        <f t="shared" si="19"/>
        <v>193</v>
      </c>
      <c r="B208" s="1054"/>
      <c r="C208" s="1055"/>
      <c r="D208" s="83"/>
      <c r="E208" s="954"/>
      <c r="F208" s="52"/>
      <c r="G208" s="103"/>
      <c r="H208" s="1058"/>
      <c r="I208" s="684" t="str">
        <f t="shared" ref="I208:I271" si="24">LEFT(H208,4)</f>
        <v/>
      </c>
      <c r="J208" s="685">
        <f t="shared" ref="J208:J271" si="25">G208-DN208</f>
        <v>0</v>
      </c>
      <c r="K208" s="1258"/>
      <c r="L208" s="1251"/>
      <c r="M208" s="1257"/>
      <c r="N208" s="719" t="str">
        <f t="shared" si="20"/>
        <v/>
      </c>
      <c r="O208" s="720" t="str">
        <f>IF('Set up ~ Config'!$G$32=6,IF(OR($N208=7,$N208=8,$N208=9),1,IF(OR($N208=10,$N208=11,$N208=12),2,IF(OR($N208=1,$N208=2,$N208=3),3,IF(OR($N208=4,$N208=5,$N208=6),4,"")))),IF(OR($N208=9,$N208=10,$N208=11),1,IF(OR($N208=12,$N208=1,$N208=2),2,IF(OR($N208=3,$N208=4,$N208=5),3,IF(OR($N208=6,$N208=7,$N208=8),4,"")))))</f>
        <v/>
      </c>
      <c r="P208" s="99"/>
      <c r="Q208" s="62"/>
      <c r="R208" s="62"/>
      <c r="S208" s="51"/>
      <c r="T208" s="51"/>
      <c r="U208" s="51"/>
      <c r="V208" s="51"/>
      <c r="W208" s="51"/>
      <c r="X208" s="51"/>
      <c r="Y208" s="51"/>
      <c r="Z208" s="51"/>
      <c r="AA208" s="51"/>
      <c r="AB208" s="51"/>
      <c r="AC208" s="51"/>
      <c r="AD208" s="51"/>
      <c r="AE208" s="51"/>
      <c r="AF208" s="51"/>
      <c r="AG208" s="51"/>
      <c r="AH208" s="94"/>
      <c r="AI208" s="94"/>
      <c r="AJ208" s="94"/>
      <c r="AK208" s="94"/>
      <c r="AL208" s="94"/>
      <c r="AM208" s="94"/>
      <c r="AN208" s="94"/>
      <c r="AO208" s="95"/>
      <c r="AP208" s="686">
        <f t="shared" si="21"/>
        <v>0</v>
      </c>
      <c r="AQ208" s="42"/>
      <c r="AR208" s="42"/>
      <c r="AS208" s="42"/>
      <c r="AT208" s="43"/>
      <c r="AU208" s="687">
        <f t="shared" si="22"/>
        <v>0</v>
      </c>
      <c r="AV208" s="42"/>
      <c r="AW208" s="42"/>
      <c r="AX208" s="42"/>
      <c r="AY208" s="43"/>
      <c r="AZ208" s="486"/>
      <c r="BA208" s="51"/>
      <c r="BB208" s="51"/>
      <c r="BC208" s="51"/>
      <c r="BD208" s="51"/>
      <c r="BE208" s="51"/>
      <c r="BF208" s="51"/>
      <c r="BG208" s="51"/>
      <c r="BH208" s="94"/>
      <c r="BI208" s="94"/>
      <c r="BJ208" s="94"/>
      <c r="BK208" s="94"/>
      <c r="BL208" s="94"/>
      <c r="BM208" s="483"/>
      <c r="BN208" s="94"/>
      <c r="BO208" s="94"/>
      <c r="BP208" s="94"/>
      <c r="BQ208" s="94"/>
      <c r="BR208" s="94"/>
      <c r="BS208" s="94"/>
      <c r="BT208" s="94"/>
      <c r="BU208" s="94"/>
      <c r="BV208" s="94"/>
      <c r="BW208" s="688">
        <f t="shared" ref="BW208:BW271" si="26">SUM(BX208:CD208)</f>
        <v>0</v>
      </c>
      <c r="BX208" s="51"/>
      <c r="BY208" s="51"/>
      <c r="BZ208" s="51"/>
      <c r="CA208" s="51"/>
      <c r="CB208" s="51"/>
      <c r="CC208" s="51"/>
      <c r="CD208" s="97"/>
      <c r="CE208" s="479"/>
      <c r="CF208" s="51"/>
      <c r="CG208" s="51"/>
      <c r="CH208" s="62"/>
      <c r="CI208" s="62"/>
      <c r="CJ208" s="51"/>
      <c r="CK208" s="51"/>
      <c r="CL208" s="95"/>
      <c r="CM208" s="93"/>
      <c r="CN208" s="51"/>
      <c r="CO208" s="51"/>
      <c r="CP208" s="51"/>
      <c r="CQ208" s="51"/>
      <c r="CR208" s="51"/>
      <c r="CS208" s="51"/>
      <c r="CT208" s="51"/>
      <c r="CU208" s="95"/>
      <c r="CV208" s="93"/>
      <c r="CW208" s="51"/>
      <c r="CX208" s="51"/>
      <c r="CY208" s="51"/>
      <c r="CZ208" s="51"/>
      <c r="DA208" s="51"/>
      <c r="DB208" s="51"/>
      <c r="DC208" s="51"/>
      <c r="DD208" s="95"/>
      <c r="DE208" s="93"/>
      <c r="DF208" s="51"/>
      <c r="DG208" s="51"/>
      <c r="DH208" s="51"/>
      <c r="DI208" s="51"/>
      <c r="DJ208" s="51"/>
      <c r="DK208" s="51"/>
      <c r="DL208" s="95"/>
      <c r="DM208" s="478"/>
      <c r="DN208" s="682">
        <f t="shared" si="23"/>
        <v>0</v>
      </c>
      <c r="DO208" s="683"/>
    </row>
    <row r="209" spans="1:119" ht="25.5" customHeight="1" thickTop="1" thickBot="1" x14ac:dyDescent="0.2">
      <c r="A209" s="676">
        <f t="shared" ref="A209:A272" si="27">$A208+1</f>
        <v>194</v>
      </c>
      <c r="B209" s="1054"/>
      <c r="C209" s="1055"/>
      <c r="D209" s="83"/>
      <c r="E209" s="954"/>
      <c r="F209" s="52"/>
      <c r="G209" s="103"/>
      <c r="H209" s="1058"/>
      <c r="I209" s="684" t="str">
        <f t="shared" si="24"/>
        <v/>
      </c>
      <c r="J209" s="685">
        <f t="shared" si="25"/>
        <v>0</v>
      </c>
      <c r="K209" s="1258"/>
      <c r="L209" s="1251"/>
      <c r="M209" s="1257"/>
      <c r="N209" s="719" t="str">
        <f t="shared" ref="N209:N272" si="28">IF($E209="","",MONTH($E209))</f>
        <v/>
      </c>
      <c r="O209" s="720" t="str">
        <f>IF('Set up ~ Config'!$G$32=6,IF(OR($N209=7,$N209=8,$N209=9),1,IF(OR($N209=10,$N209=11,$N209=12),2,IF(OR($N209=1,$N209=2,$N209=3),3,IF(OR($N209=4,$N209=5,$N209=6),4,"")))),IF(OR($N209=9,$N209=10,$N209=11),1,IF(OR($N209=12,$N209=1,$N209=2),2,IF(OR($N209=3,$N209=4,$N209=5),3,IF(OR($N209=6,$N209=7,$N209=8),4,"")))))</f>
        <v/>
      </c>
      <c r="P209" s="99"/>
      <c r="Q209" s="62"/>
      <c r="R209" s="62"/>
      <c r="S209" s="51"/>
      <c r="T209" s="51"/>
      <c r="U209" s="51"/>
      <c r="V209" s="51"/>
      <c r="W209" s="51"/>
      <c r="X209" s="51"/>
      <c r="Y209" s="51"/>
      <c r="Z209" s="51"/>
      <c r="AA209" s="51"/>
      <c r="AB209" s="51"/>
      <c r="AC209" s="51"/>
      <c r="AD209" s="51"/>
      <c r="AE209" s="51"/>
      <c r="AF209" s="51"/>
      <c r="AG209" s="51"/>
      <c r="AH209" s="94"/>
      <c r="AI209" s="94"/>
      <c r="AJ209" s="94"/>
      <c r="AK209" s="94"/>
      <c r="AL209" s="94"/>
      <c r="AM209" s="94"/>
      <c r="AN209" s="94"/>
      <c r="AO209" s="95"/>
      <c r="AP209" s="686">
        <f t="shared" ref="AP209:AP272" si="29">SUM(AQ209:AT209)</f>
        <v>0</v>
      </c>
      <c r="AQ209" s="42"/>
      <c r="AR209" s="42"/>
      <c r="AS209" s="42"/>
      <c r="AT209" s="43"/>
      <c r="AU209" s="687">
        <f t="shared" ref="AU209:AU272" si="30">SUM(AV209:AY209)</f>
        <v>0</v>
      </c>
      <c r="AV209" s="42"/>
      <c r="AW209" s="42"/>
      <c r="AX209" s="42"/>
      <c r="AY209" s="43"/>
      <c r="AZ209" s="486"/>
      <c r="BA209" s="51"/>
      <c r="BB209" s="51"/>
      <c r="BC209" s="51"/>
      <c r="BD209" s="51"/>
      <c r="BE209" s="51"/>
      <c r="BF209" s="51"/>
      <c r="BG209" s="51"/>
      <c r="BH209" s="94"/>
      <c r="BI209" s="94"/>
      <c r="BJ209" s="94"/>
      <c r="BK209" s="94"/>
      <c r="BL209" s="94"/>
      <c r="BM209" s="483"/>
      <c r="BN209" s="94"/>
      <c r="BO209" s="94"/>
      <c r="BP209" s="94"/>
      <c r="BQ209" s="94"/>
      <c r="BR209" s="94"/>
      <c r="BS209" s="94"/>
      <c r="BT209" s="94"/>
      <c r="BU209" s="94"/>
      <c r="BV209" s="94"/>
      <c r="BW209" s="688">
        <f t="shared" si="26"/>
        <v>0</v>
      </c>
      <c r="BX209" s="51"/>
      <c r="BY209" s="51"/>
      <c r="BZ209" s="51"/>
      <c r="CA209" s="51"/>
      <c r="CB209" s="51"/>
      <c r="CC209" s="51"/>
      <c r="CD209" s="97"/>
      <c r="CE209" s="479"/>
      <c r="CF209" s="51"/>
      <c r="CG209" s="51"/>
      <c r="CH209" s="62"/>
      <c r="CI209" s="62"/>
      <c r="CJ209" s="51"/>
      <c r="CK209" s="51"/>
      <c r="CL209" s="95"/>
      <c r="CM209" s="93"/>
      <c r="CN209" s="51"/>
      <c r="CO209" s="51"/>
      <c r="CP209" s="51"/>
      <c r="CQ209" s="51"/>
      <c r="CR209" s="51"/>
      <c r="CS209" s="51"/>
      <c r="CT209" s="51"/>
      <c r="CU209" s="95"/>
      <c r="CV209" s="93"/>
      <c r="CW209" s="51"/>
      <c r="CX209" s="51"/>
      <c r="CY209" s="51"/>
      <c r="CZ209" s="51"/>
      <c r="DA209" s="51"/>
      <c r="DB209" s="51"/>
      <c r="DC209" s="51"/>
      <c r="DD209" s="95"/>
      <c r="DE209" s="93"/>
      <c r="DF209" s="51"/>
      <c r="DG209" s="51"/>
      <c r="DH209" s="51"/>
      <c r="DI209" s="51"/>
      <c r="DJ209" s="51"/>
      <c r="DK209" s="51"/>
      <c r="DL209" s="95"/>
      <c r="DM209" s="478"/>
      <c r="DN209" s="682">
        <f t="shared" ref="DN209:DN272" si="31">SUM(P209:AP209,AU209,AZ209:BW209,CE209:DM209)</f>
        <v>0</v>
      </c>
      <c r="DO209" s="683"/>
    </row>
    <row r="210" spans="1:119" ht="25.5" customHeight="1" thickTop="1" thickBot="1" x14ac:dyDescent="0.2">
      <c r="A210" s="676">
        <f t="shared" si="27"/>
        <v>195</v>
      </c>
      <c r="B210" s="1054"/>
      <c r="C210" s="1055"/>
      <c r="D210" s="83"/>
      <c r="E210" s="954"/>
      <c r="F210" s="52"/>
      <c r="G210" s="103"/>
      <c r="H210" s="1058"/>
      <c r="I210" s="684" t="str">
        <f t="shared" si="24"/>
        <v/>
      </c>
      <c r="J210" s="685">
        <f t="shared" si="25"/>
        <v>0</v>
      </c>
      <c r="K210" s="1258"/>
      <c r="L210" s="1251"/>
      <c r="M210" s="1257"/>
      <c r="N210" s="719" t="str">
        <f t="shared" si="28"/>
        <v/>
      </c>
      <c r="O210" s="720" t="str">
        <f>IF('Set up ~ Config'!$G$32=6,IF(OR($N210=7,$N210=8,$N210=9),1,IF(OR($N210=10,$N210=11,$N210=12),2,IF(OR($N210=1,$N210=2,$N210=3),3,IF(OR($N210=4,$N210=5,$N210=6),4,"")))),IF(OR($N210=9,$N210=10,$N210=11),1,IF(OR($N210=12,$N210=1,$N210=2),2,IF(OR($N210=3,$N210=4,$N210=5),3,IF(OR($N210=6,$N210=7,$N210=8),4,"")))))</f>
        <v/>
      </c>
      <c r="P210" s="99"/>
      <c r="Q210" s="62"/>
      <c r="R210" s="62"/>
      <c r="S210" s="51"/>
      <c r="T210" s="51"/>
      <c r="U210" s="51"/>
      <c r="V210" s="51"/>
      <c r="W210" s="51"/>
      <c r="X210" s="51"/>
      <c r="Y210" s="51"/>
      <c r="Z210" s="51"/>
      <c r="AA210" s="51"/>
      <c r="AB210" s="51"/>
      <c r="AC210" s="51"/>
      <c r="AD210" s="51"/>
      <c r="AE210" s="51"/>
      <c r="AF210" s="51"/>
      <c r="AG210" s="51"/>
      <c r="AH210" s="94"/>
      <c r="AI210" s="94"/>
      <c r="AJ210" s="94"/>
      <c r="AK210" s="94"/>
      <c r="AL210" s="94"/>
      <c r="AM210" s="94"/>
      <c r="AN210" s="94"/>
      <c r="AO210" s="95"/>
      <c r="AP210" s="686">
        <f t="shared" si="29"/>
        <v>0</v>
      </c>
      <c r="AQ210" s="42"/>
      <c r="AR210" s="42"/>
      <c r="AS210" s="42"/>
      <c r="AT210" s="43"/>
      <c r="AU210" s="687">
        <f t="shared" si="30"/>
        <v>0</v>
      </c>
      <c r="AV210" s="42"/>
      <c r="AW210" s="42"/>
      <c r="AX210" s="42"/>
      <c r="AY210" s="43"/>
      <c r="AZ210" s="486"/>
      <c r="BA210" s="51"/>
      <c r="BB210" s="51"/>
      <c r="BC210" s="51"/>
      <c r="BD210" s="51"/>
      <c r="BE210" s="51"/>
      <c r="BF210" s="51"/>
      <c r="BG210" s="51"/>
      <c r="BH210" s="94"/>
      <c r="BI210" s="94"/>
      <c r="BJ210" s="94"/>
      <c r="BK210" s="94"/>
      <c r="BL210" s="94"/>
      <c r="BM210" s="483"/>
      <c r="BN210" s="94"/>
      <c r="BO210" s="94"/>
      <c r="BP210" s="94"/>
      <c r="BQ210" s="94"/>
      <c r="BR210" s="94"/>
      <c r="BS210" s="94"/>
      <c r="BT210" s="94"/>
      <c r="BU210" s="94"/>
      <c r="BV210" s="94"/>
      <c r="BW210" s="688">
        <f t="shared" si="26"/>
        <v>0</v>
      </c>
      <c r="BX210" s="51"/>
      <c r="BY210" s="51"/>
      <c r="BZ210" s="51"/>
      <c r="CA210" s="51"/>
      <c r="CB210" s="51"/>
      <c r="CC210" s="51"/>
      <c r="CD210" s="97"/>
      <c r="CE210" s="479"/>
      <c r="CF210" s="51"/>
      <c r="CG210" s="51"/>
      <c r="CH210" s="62"/>
      <c r="CI210" s="62"/>
      <c r="CJ210" s="51"/>
      <c r="CK210" s="51"/>
      <c r="CL210" s="95"/>
      <c r="CM210" s="93"/>
      <c r="CN210" s="51"/>
      <c r="CO210" s="51"/>
      <c r="CP210" s="51"/>
      <c r="CQ210" s="51"/>
      <c r="CR210" s="51"/>
      <c r="CS210" s="51"/>
      <c r="CT210" s="51"/>
      <c r="CU210" s="95"/>
      <c r="CV210" s="93"/>
      <c r="CW210" s="51"/>
      <c r="CX210" s="51"/>
      <c r="CY210" s="51"/>
      <c r="CZ210" s="51"/>
      <c r="DA210" s="51"/>
      <c r="DB210" s="51"/>
      <c r="DC210" s="51"/>
      <c r="DD210" s="95"/>
      <c r="DE210" s="93"/>
      <c r="DF210" s="51"/>
      <c r="DG210" s="51"/>
      <c r="DH210" s="51"/>
      <c r="DI210" s="51"/>
      <c r="DJ210" s="51"/>
      <c r="DK210" s="51"/>
      <c r="DL210" s="95"/>
      <c r="DM210" s="478"/>
      <c r="DN210" s="682">
        <f t="shared" si="31"/>
        <v>0</v>
      </c>
      <c r="DO210" s="683"/>
    </row>
    <row r="211" spans="1:119" ht="25.5" customHeight="1" thickTop="1" thickBot="1" x14ac:dyDescent="0.2">
      <c r="A211" s="676">
        <f t="shared" si="27"/>
        <v>196</v>
      </c>
      <c r="B211" s="1054"/>
      <c r="C211" s="1055"/>
      <c r="D211" s="83"/>
      <c r="E211" s="954"/>
      <c r="F211" s="52"/>
      <c r="G211" s="103"/>
      <c r="H211" s="1058"/>
      <c r="I211" s="684" t="str">
        <f t="shared" si="24"/>
        <v/>
      </c>
      <c r="J211" s="685">
        <f t="shared" si="25"/>
        <v>0</v>
      </c>
      <c r="K211" s="1258"/>
      <c r="L211" s="1251"/>
      <c r="M211" s="1257"/>
      <c r="N211" s="719" t="str">
        <f t="shared" si="28"/>
        <v/>
      </c>
      <c r="O211" s="720" t="str">
        <f>IF('Set up ~ Config'!$G$32=6,IF(OR($N211=7,$N211=8,$N211=9),1,IF(OR($N211=10,$N211=11,$N211=12),2,IF(OR($N211=1,$N211=2,$N211=3),3,IF(OR($N211=4,$N211=5,$N211=6),4,"")))),IF(OR($N211=9,$N211=10,$N211=11),1,IF(OR($N211=12,$N211=1,$N211=2),2,IF(OR($N211=3,$N211=4,$N211=5),3,IF(OR($N211=6,$N211=7,$N211=8),4,"")))))</f>
        <v/>
      </c>
      <c r="P211" s="99"/>
      <c r="Q211" s="62"/>
      <c r="R211" s="62"/>
      <c r="S211" s="51"/>
      <c r="T211" s="51"/>
      <c r="U211" s="51"/>
      <c r="V211" s="51"/>
      <c r="W211" s="51"/>
      <c r="X211" s="51"/>
      <c r="Y211" s="51"/>
      <c r="Z211" s="51"/>
      <c r="AA211" s="51"/>
      <c r="AB211" s="51"/>
      <c r="AC211" s="51"/>
      <c r="AD211" s="51"/>
      <c r="AE211" s="51"/>
      <c r="AF211" s="51"/>
      <c r="AG211" s="51"/>
      <c r="AH211" s="94"/>
      <c r="AI211" s="94"/>
      <c r="AJ211" s="94"/>
      <c r="AK211" s="94"/>
      <c r="AL211" s="94"/>
      <c r="AM211" s="94"/>
      <c r="AN211" s="94"/>
      <c r="AO211" s="95"/>
      <c r="AP211" s="686">
        <f t="shared" si="29"/>
        <v>0</v>
      </c>
      <c r="AQ211" s="42"/>
      <c r="AR211" s="42"/>
      <c r="AS211" s="42"/>
      <c r="AT211" s="43"/>
      <c r="AU211" s="687">
        <f t="shared" si="30"/>
        <v>0</v>
      </c>
      <c r="AV211" s="42"/>
      <c r="AW211" s="42"/>
      <c r="AX211" s="42"/>
      <c r="AY211" s="43"/>
      <c r="AZ211" s="486"/>
      <c r="BA211" s="51"/>
      <c r="BB211" s="51"/>
      <c r="BC211" s="51"/>
      <c r="BD211" s="51"/>
      <c r="BE211" s="51"/>
      <c r="BF211" s="51"/>
      <c r="BG211" s="51"/>
      <c r="BH211" s="94"/>
      <c r="BI211" s="94"/>
      <c r="BJ211" s="94"/>
      <c r="BK211" s="94"/>
      <c r="BL211" s="94"/>
      <c r="BM211" s="483"/>
      <c r="BN211" s="94"/>
      <c r="BO211" s="94"/>
      <c r="BP211" s="94"/>
      <c r="BQ211" s="94"/>
      <c r="BR211" s="94"/>
      <c r="BS211" s="94"/>
      <c r="BT211" s="94"/>
      <c r="BU211" s="94"/>
      <c r="BV211" s="94"/>
      <c r="BW211" s="688">
        <f t="shared" si="26"/>
        <v>0</v>
      </c>
      <c r="BX211" s="51"/>
      <c r="BY211" s="51"/>
      <c r="BZ211" s="51"/>
      <c r="CA211" s="51"/>
      <c r="CB211" s="51"/>
      <c r="CC211" s="51"/>
      <c r="CD211" s="97"/>
      <c r="CE211" s="479"/>
      <c r="CF211" s="51"/>
      <c r="CG211" s="51"/>
      <c r="CH211" s="62"/>
      <c r="CI211" s="62"/>
      <c r="CJ211" s="51"/>
      <c r="CK211" s="51"/>
      <c r="CL211" s="95"/>
      <c r="CM211" s="93"/>
      <c r="CN211" s="51"/>
      <c r="CO211" s="51"/>
      <c r="CP211" s="51"/>
      <c r="CQ211" s="51"/>
      <c r="CR211" s="51"/>
      <c r="CS211" s="51"/>
      <c r="CT211" s="51"/>
      <c r="CU211" s="95"/>
      <c r="CV211" s="93"/>
      <c r="CW211" s="51"/>
      <c r="CX211" s="51"/>
      <c r="CY211" s="51"/>
      <c r="CZ211" s="51"/>
      <c r="DA211" s="51"/>
      <c r="DB211" s="51"/>
      <c r="DC211" s="51"/>
      <c r="DD211" s="95"/>
      <c r="DE211" s="93"/>
      <c r="DF211" s="51"/>
      <c r="DG211" s="51"/>
      <c r="DH211" s="51"/>
      <c r="DI211" s="51"/>
      <c r="DJ211" s="51"/>
      <c r="DK211" s="51"/>
      <c r="DL211" s="95"/>
      <c r="DM211" s="478"/>
      <c r="DN211" s="682">
        <f t="shared" si="31"/>
        <v>0</v>
      </c>
      <c r="DO211" s="683"/>
    </row>
    <row r="212" spans="1:119" ht="25.5" customHeight="1" thickTop="1" thickBot="1" x14ac:dyDescent="0.2">
      <c r="A212" s="676">
        <f t="shared" si="27"/>
        <v>197</v>
      </c>
      <c r="B212" s="1054"/>
      <c r="C212" s="1055"/>
      <c r="D212" s="83"/>
      <c r="E212" s="954"/>
      <c r="F212" s="52"/>
      <c r="G212" s="103"/>
      <c r="H212" s="1058"/>
      <c r="I212" s="684" t="str">
        <f t="shared" si="24"/>
        <v/>
      </c>
      <c r="J212" s="685">
        <f t="shared" si="25"/>
        <v>0</v>
      </c>
      <c r="K212" s="1258"/>
      <c r="L212" s="1251"/>
      <c r="M212" s="1257"/>
      <c r="N212" s="719" t="str">
        <f t="shared" si="28"/>
        <v/>
      </c>
      <c r="O212" s="720" t="str">
        <f>IF('Set up ~ Config'!$G$32=6,IF(OR($N212=7,$N212=8,$N212=9),1,IF(OR($N212=10,$N212=11,$N212=12),2,IF(OR($N212=1,$N212=2,$N212=3),3,IF(OR($N212=4,$N212=5,$N212=6),4,"")))),IF(OR($N212=9,$N212=10,$N212=11),1,IF(OR($N212=12,$N212=1,$N212=2),2,IF(OR($N212=3,$N212=4,$N212=5),3,IF(OR($N212=6,$N212=7,$N212=8),4,"")))))</f>
        <v/>
      </c>
      <c r="P212" s="99"/>
      <c r="Q212" s="62"/>
      <c r="R212" s="62"/>
      <c r="S212" s="51"/>
      <c r="T212" s="51"/>
      <c r="U212" s="51"/>
      <c r="V212" s="51"/>
      <c r="W212" s="51"/>
      <c r="X212" s="51"/>
      <c r="Y212" s="51"/>
      <c r="Z212" s="51"/>
      <c r="AA212" s="51"/>
      <c r="AB212" s="51"/>
      <c r="AC212" s="51"/>
      <c r="AD212" s="51"/>
      <c r="AE212" s="51"/>
      <c r="AF212" s="51"/>
      <c r="AG212" s="51"/>
      <c r="AH212" s="94"/>
      <c r="AI212" s="94"/>
      <c r="AJ212" s="94"/>
      <c r="AK212" s="94"/>
      <c r="AL212" s="94"/>
      <c r="AM212" s="94"/>
      <c r="AN212" s="94"/>
      <c r="AO212" s="95"/>
      <c r="AP212" s="686">
        <f t="shared" si="29"/>
        <v>0</v>
      </c>
      <c r="AQ212" s="42"/>
      <c r="AR212" s="42"/>
      <c r="AS212" s="42"/>
      <c r="AT212" s="43"/>
      <c r="AU212" s="687">
        <f t="shared" si="30"/>
        <v>0</v>
      </c>
      <c r="AV212" s="42"/>
      <c r="AW212" s="42"/>
      <c r="AX212" s="42"/>
      <c r="AY212" s="43"/>
      <c r="AZ212" s="486"/>
      <c r="BA212" s="51"/>
      <c r="BB212" s="51"/>
      <c r="BC212" s="51"/>
      <c r="BD212" s="51"/>
      <c r="BE212" s="51"/>
      <c r="BF212" s="51"/>
      <c r="BG212" s="51"/>
      <c r="BH212" s="94"/>
      <c r="BI212" s="94"/>
      <c r="BJ212" s="94"/>
      <c r="BK212" s="94"/>
      <c r="BL212" s="94"/>
      <c r="BM212" s="483"/>
      <c r="BN212" s="94"/>
      <c r="BO212" s="94"/>
      <c r="BP212" s="94"/>
      <c r="BQ212" s="94"/>
      <c r="BR212" s="94"/>
      <c r="BS212" s="94"/>
      <c r="BT212" s="94"/>
      <c r="BU212" s="94"/>
      <c r="BV212" s="94"/>
      <c r="BW212" s="688">
        <f t="shared" si="26"/>
        <v>0</v>
      </c>
      <c r="BX212" s="51"/>
      <c r="BY212" s="51"/>
      <c r="BZ212" s="51"/>
      <c r="CA212" s="51"/>
      <c r="CB212" s="51"/>
      <c r="CC212" s="51"/>
      <c r="CD212" s="97"/>
      <c r="CE212" s="479"/>
      <c r="CF212" s="51"/>
      <c r="CG212" s="51"/>
      <c r="CH212" s="62"/>
      <c r="CI212" s="62"/>
      <c r="CJ212" s="51"/>
      <c r="CK212" s="51"/>
      <c r="CL212" s="95"/>
      <c r="CM212" s="93"/>
      <c r="CN212" s="51"/>
      <c r="CO212" s="51"/>
      <c r="CP212" s="51"/>
      <c r="CQ212" s="51"/>
      <c r="CR212" s="51"/>
      <c r="CS212" s="51"/>
      <c r="CT212" s="51"/>
      <c r="CU212" s="95"/>
      <c r="CV212" s="93"/>
      <c r="CW212" s="51"/>
      <c r="CX212" s="51"/>
      <c r="CY212" s="51"/>
      <c r="CZ212" s="51"/>
      <c r="DA212" s="51"/>
      <c r="DB212" s="51"/>
      <c r="DC212" s="51"/>
      <c r="DD212" s="95"/>
      <c r="DE212" s="93"/>
      <c r="DF212" s="51"/>
      <c r="DG212" s="51"/>
      <c r="DH212" s="51"/>
      <c r="DI212" s="51"/>
      <c r="DJ212" s="51"/>
      <c r="DK212" s="51"/>
      <c r="DL212" s="95"/>
      <c r="DM212" s="478"/>
      <c r="DN212" s="682">
        <f t="shared" si="31"/>
        <v>0</v>
      </c>
      <c r="DO212" s="683"/>
    </row>
    <row r="213" spans="1:119" ht="25.5" customHeight="1" thickTop="1" thickBot="1" x14ac:dyDescent="0.2">
      <c r="A213" s="676">
        <f t="shared" si="27"/>
        <v>198</v>
      </c>
      <c r="B213" s="1054"/>
      <c r="C213" s="1055"/>
      <c r="D213" s="83"/>
      <c r="E213" s="954"/>
      <c r="F213" s="52"/>
      <c r="G213" s="103"/>
      <c r="H213" s="1058"/>
      <c r="I213" s="684" t="str">
        <f t="shared" si="24"/>
        <v/>
      </c>
      <c r="J213" s="685">
        <f t="shared" si="25"/>
        <v>0</v>
      </c>
      <c r="K213" s="1258"/>
      <c r="L213" s="1251"/>
      <c r="M213" s="1257"/>
      <c r="N213" s="719" t="str">
        <f t="shared" si="28"/>
        <v/>
      </c>
      <c r="O213" s="720" t="str">
        <f>IF('Set up ~ Config'!$G$32=6,IF(OR($N213=7,$N213=8,$N213=9),1,IF(OR($N213=10,$N213=11,$N213=12),2,IF(OR($N213=1,$N213=2,$N213=3),3,IF(OR($N213=4,$N213=5,$N213=6),4,"")))),IF(OR($N213=9,$N213=10,$N213=11),1,IF(OR($N213=12,$N213=1,$N213=2),2,IF(OR($N213=3,$N213=4,$N213=5),3,IF(OR($N213=6,$N213=7,$N213=8),4,"")))))</f>
        <v/>
      </c>
      <c r="P213" s="99"/>
      <c r="Q213" s="62"/>
      <c r="R213" s="62"/>
      <c r="S213" s="51"/>
      <c r="T213" s="51"/>
      <c r="U213" s="51"/>
      <c r="V213" s="51"/>
      <c r="W213" s="51"/>
      <c r="X213" s="51"/>
      <c r="Y213" s="51"/>
      <c r="Z213" s="51"/>
      <c r="AA213" s="51"/>
      <c r="AB213" s="51"/>
      <c r="AC213" s="51"/>
      <c r="AD213" s="51"/>
      <c r="AE213" s="51"/>
      <c r="AF213" s="51"/>
      <c r="AG213" s="51"/>
      <c r="AH213" s="94"/>
      <c r="AI213" s="94"/>
      <c r="AJ213" s="94"/>
      <c r="AK213" s="94"/>
      <c r="AL213" s="94"/>
      <c r="AM213" s="94"/>
      <c r="AN213" s="94"/>
      <c r="AO213" s="95"/>
      <c r="AP213" s="686">
        <f t="shared" si="29"/>
        <v>0</v>
      </c>
      <c r="AQ213" s="42"/>
      <c r="AR213" s="42"/>
      <c r="AS213" s="42"/>
      <c r="AT213" s="43"/>
      <c r="AU213" s="687">
        <f t="shared" si="30"/>
        <v>0</v>
      </c>
      <c r="AV213" s="42"/>
      <c r="AW213" s="42"/>
      <c r="AX213" s="42"/>
      <c r="AY213" s="43"/>
      <c r="AZ213" s="486"/>
      <c r="BA213" s="51"/>
      <c r="BB213" s="51"/>
      <c r="BC213" s="51"/>
      <c r="BD213" s="51"/>
      <c r="BE213" s="51"/>
      <c r="BF213" s="51"/>
      <c r="BG213" s="51"/>
      <c r="BH213" s="94"/>
      <c r="BI213" s="94"/>
      <c r="BJ213" s="94"/>
      <c r="BK213" s="94"/>
      <c r="BL213" s="94"/>
      <c r="BM213" s="483"/>
      <c r="BN213" s="94"/>
      <c r="BO213" s="94"/>
      <c r="BP213" s="94"/>
      <c r="BQ213" s="94"/>
      <c r="BR213" s="94"/>
      <c r="BS213" s="94"/>
      <c r="BT213" s="94"/>
      <c r="BU213" s="94"/>
      <c r="BV213" s="94"/>
      <c r="BW213" s="688">
        <f t="shared" si="26"/>
        <v>0</v>
      </c>
      <c r="BX213" s="51"/>
      <c r="BY213" s="51"/>
      <c r="BZ213" s="51"/>
      <c r="CA213" s="51"/>
      <c r="CB213" s="51"/>
      <c r="CC213" s="51"/>
      <c r="CD213" s="97"/>
      <c r="CE213" s="479"/>
      <c r="CF213" s="51"/>
      <c r="CG213" s="51"/>
      <c r="CH213" s="62"/>
      <c r="CI213" s="62"/>
      <c r="CJ213" s="51"/>
      <c r="CK213" s="51"/>
      <c r="CL213" s="95"/>
      <c r="CM213" s="93"/>
      <c r="CN213" s="51"/>
      <c r="CO213" s="51"/>
      <c r="CP213" s="51"/>
      <c r="CQ213" s="51"/>
      <c r="CR213" s="51"/>
      <c r="CS213" s="51"/>
      <c r="CT213" s="51"/>
      <c r="CU213" s="95"/>
      <c r="CV213" s="93"/>
      <c r="CW213" s="51"/>
      <c r="CX213" s="51"/>
      <c r="CY213" s="51"/>
      <c r="CZ213" s="51"/>
      <c r="DA213" s="51"/>
      <c r="DB213" s="51"/>
      <c r="DC213" s="51"/>
      <c r="DD213" s="95"/>
      <c r="DE213" s="93"/>
      <c r="DF213" s="51"/>
      <c r="DG213" s="51"/>
      <c r="DH213" s="51"/>
      <c r="DI213" s="51"/>
      <c r="DJ213" s="51"/>
      <c r="DK213" s="51"/>
      <c r="DL213" s="95"/>
      <c r="DM213" s="478"/>
      <c r="DN213" s="682">
        <f t="shared" si="31"/>
        <v>0</v>
      </c>
      <c r="DO213" s="683"/>
    </row>
    <row r="214" spans="1:119" ht="25.5" customHeight="1" thickTop="1" thickBot="1" x14ac:dyDescent="0.2">
      <c r="A214" s="676">
        <f t="shared" si="27"/>
        <v>199</v>
      </c>
      <c r="B214" s="1054"/>
      <c r="C214" s="1055"/>
      <c r="D214" s="83"/>
      <c r="E214" s="954"/>
      <c r="F214" s="52"/>
      <c r="G214" s="103"/>
      <c r="H214" s="1058"/>
      <c r="I214" s="684" t="str">
        <f t="shared" si="24"/>
        <v/>
      </c>
      <c r="J214" s="685">
        <f t="shared" si="25"/>
        <v>0</v>
      </c>
      <c r="K214" s="1258"/>
      <c r="L214" s="1251"/>
      <c r="M214" s="1257"/>
      <c r="N214" s="719" t="str">
        <f t="shared" si="28"/>
        <v/>
      </c>
      <c r="O214" s="720" t="str">
        <f>IF('Set up ~ Config'!$G$32=6,IF(OR($N214=7,$N214=8,$N214=9),1,IF(OR($N214=10,$N214=11,$N214=12),2,IF(OR($N214=1,$N214=2,$N214=3),3,IF(OR($N214=4,$N214=5,$N214=6),4,"")))),IF(OR($N214=9,$N214=10,$N214=11),1,IF(OR($N214=12,$N214=1,$N214=2),2,IF(OR($N214=3,$N214=4,$N214=5),3,IF(OR($N214=6,$N214=7,$N214=8),4,"")))))</f>
        <v/>
      </c>
      <c r="P214" s="99"/>
      <c r="Q214" s="62"/>
      <c r="R214" s="62"/>
      <c r="S214" s="51"/>
      <c r="T214" s="51"/>
      <c r="U214" s="51"/>
      <c r="V214" s="51"/>
      <c r="W214" s="51"/>
      <c r="X214" s="51"/>
      <c r="Y214" s="51"/>
      <c r="Z214" s="51"/>
      <c r="AA214" s="51"/>
      <c r="AB214" s="51"/>
      <c r="AC214" s="51"/>
      <c r="AD214" s="51"/>
      <c r="AE214" s="51"/>
      <c r="AF214" s="51"/>
      <c r="AG214" s="51"/>
      <c r="AH214" s="94"/>
      <c r="AI214" s="94"/>
      <c r="AJ214" s="94"/>
      <c r="AK214" s="94"/>
      <c r="AL214" s="94"/>
      <c r="AM214" s="94"/>
      <c r="AN214" s="94"/>
      <c r="AO214" s="95"/>
      <c r="AP214" s="686">
        <f t="shared" si="29"/>
        <v>0</v>
      </c>
      <c r="AQ214" s="42"/>
      <c r="AR214" s="42"/>
      <c r="AS214" s="42"/>
      <c r="AT214" s="43"/>
      <c r="AU214" s="687">
        <f t="shared" si="30"/>
        <v>0</v>
      </c>
      <c r="AV214" s="42"/>
      <c r="AW214" s="42"/>
      <c r="AX214" s="42"/>
      <c r="AY214" s="43"/>
      <c r="AZ214" s="486"/>
      <c r="BA214" s="51"/>
      <c r="BB214" s="51"/>
      <c r="BC214" s="51"/>
      <c r="BD214" s="51"/>
      <c r="BE214" s="51"/>
      <c r="BF214" s="51"/>
      <c r="BG214" s="51"/>
      <c r="BH214" s="94"/>
      <c r="BI214" s="94"/>
      <c r="BJ214" s="94"/>
      <c r="BK214" s="94"/>
      <c r="BL214" s="94"/>
      <c r="BM214" s="483"/>
      <c r="BN214" s="94"/>
      <c r="BO214" s="94"/>
      <c r="BP214" s="94"/>
      <c r="BQ214" s="94"/>
      <c r="BR214" s="94"/>
      <c r="BS214" s="94"/>
      <c r="BT214" s="94"/>
      <c r="BU214" s="94"/>
      <c r="BV214" s="94"/>
      <c r="BW214" s="688">
        <f t="shared" si="26"/>
        <v>0</v>
      </c>
      <c r="BX214" s="51"/>
      <c r="BY214" s="51"/>
      <c r="BZ214" s="51"/>
      <c r="CA214" s="51"/>
      <c r="CB214" s="51"/>
      <c r="CC214" s="51"/>
      <c r="CD214" s="97"/>
      <c r="CE214" s="479"/>
      <c r="CF214" s="51"/>
      <c r="CG214" s="51"/>
      <c r="CH214" s="62"/>
      <c r="CI214" s="62"/>
      <c r="CJ214" s="51"/>
      <c r="CK214" s="51"/>
      <c r="CL214" s="95"/>
      <c r="CM214" s="93"/>
      <c r="CN214" s="51"/>
      <c r="CO214" s="51"/>
      <c r="CP214" s="51"/>
      <c r="CQ214" s="51"/>
      <c r="CR214" s="51"/>
      <c r="CS214" s="51"/>
      <c r="CT214" s="51"/>
      <c r="CU214" s="95"/>
      <c r="CV214" s="93"/>
      <c r="CW214" s="51"/>
      <c r="CX214" s="51"/>
      <c r="CY214" s="51"/>
      <c r="CZ214" s="51"/>
      <c r="DA214" s="51"/>
      <c r="DB214" s="51"/>
      <c r="DC214" s="51"/>
      <c r="DD214" s="95"/>
      <c r="DE214" s="93"/>
      <c r="DF214" s="51"/>
      <c r="DG214" s="51"/>
      <c r="DH214" s="51"/>
      <c r="DI214" s="51"/>
      <c r="DJ214" s="51"/>
      <c r="DK214" s="51"/>
      <c r="DL214" s="95"/>
      <c r="DM214" s="478"/>
      <c r="DN214" s="682">
        <f t="shared" si="31"/>
        <v>0</v>
      </c>
      <c r="DO214" s="683"/>
    </row>
    <row r="215" spans="1:119" ht="25.5" customHeight="1" thickTop="1" thickBot="1" x14ac:dyDescent="0.2">
      <c r="A215" s="676">
        <f t="shared" si="27"/>
        <v>200</v>
      </c>
      <c r="B215" s="1054"/>
      <c r="C215" s="1055"/>
      <c r="D215" s="83"/>
      <c r="E215" s="954"/>
      <c r="F215" s="52"/>
      <c r="G215" s="103"/>
      <c r="H215" s="1058"/>
      <c r="I215" s="684" t="str">
        <f t="shared" si="24"/>
        <v/>
      </c>
      <c r="J215" s="685">
        <f t="shared" si="25"/>
        <v>0</v>
      </c>
      <c r="K215" s="1258"/>
      <c r="L215" s="1251"/>
      <c r="M215" s="1257"/>
      <c r="N215" s="719" t="str">
        <f t="shared" si="28"/>
        <v/>
      </c>
      <c r="O215" s="720" t="str">
        <f>IF('Set up ~ Config'!$G$32=6,IF(OR($N215=7,$N215=8,$N215=9),1,IF(OR($N215=10,$N215=11,$N215=12),2,IF(OR($N215=1,$N215=2,$N215=3),3,IF(OR($N215=4,$N215=5,$N215=6),4,"")))),IF(OR($N215=9,$N215=10,$N215=11),1,IF(OR($N215=12,$N215=1,$N215=2),2,IF(OR($N215=3,$N215=4,$N215=5),3,IF(OR($N215=6,$N215=7,$N215=8),4,"")))))</f>
        <v/>
      </c>
      <c r="P215" s="99"/>
      <c r="Q215" s="62"/>
      <c r="R215" s="62"/>
      <c r="S215" s="51"/>
      <c r="T215" s="51"/>
      <c r="U215" s="51"/>
      <c r="V215" s="51"/>
      <c r="W215" s="51"/>
      <c r="X215" s="51"/>
      <c r="Y215" s="51"/>
      <c r="Z215" s="51"/>
      <c r="AA215" s="51"/>
      <c r="AB215" s="51"/>
      <c r="AC215" s="51"/>
      <c r="AD215" s="51"/>
      <c r="AE215" s="51"/>
      <c r="AF215" s="51"/>
      <c r="AG215" s="51"/>
      <c r="AH215" s="94"/>
      <c r="AI215" s="94"/>
      <c r="AJ215" s="94"/>
      <c r="AK215" s="94"/>
      <c r="AL215" s="94"/>
      <c r="AM215" s="94"/>
      <c r="AN215" s="94"/>
      <c r="AO215" s="95"/>
      <c r="AP215" s="686">
        <f t="shared" si="29"/>
        <v>0</v>
      </c>
      <c r="AQ215" s="42"/>
      <c r="AR215" s="42"/>
      <c r="AS215" s="42"/>
      <c r="AT215" s="43"/>
      <c r="AU215" s="687">
        <f t="shared" si="30"/>
        <v>0</v>
      </c>
      <c r="AV215" s="42"/>
      <c r="AW215" s="42"/>
      <c r="AX215" s="42"/>
      <c r="AY215" s="43"/>
      <c r="AZ215" s="486"/>
      <c r="BA215" s="51"/>
      <c r="BB215" s="51"/>
      <c r="BC215" s="51"/>
      <c r="BD215" s="51"/>
      <c r="BE215" s="51"/>
      <c r="BF215" s="51"/>
      <c r="BG215" s="51"/>
      <c r="BH215" s="94"/>
      <c r="BI215" s="94"/>
      <c r="BJ215" s="94"/>
      <c r="BK215" s="94"/>
      <c r="BL215" s="94"/>
      <c r="BM215" s="483"/>
      <c r="BN215" s="94"/>
      <c r="BO215" s="94"/>
      <c r="BP215" s="94"/>
      <c r="BQ215" s="94"/>
      <c r="BR215" s="94"/>
      <c r="BS215" s="94"/>
      <c r="BT215" s="94"/>
      <c r="BU215" s="94"/>
      <c r="BV215" s="94"/>
      <c r="BW215" s="688">
        <f t="shared" si="26"/>
        <v>0</v>
      </c>
      <c r="BX215" s="51"/>
      <c r="BY215" s="51"/>
      <c r="BZ215" s="51"/>
      <c r="CA215" s="51"/>
      <c r="CB215" s="51"/>
      <c r="CC215" s="51"/>
      <c r="CD215" s="97"/>
      <c r="CE215" s="479"/>
      <c r="CF215" s="51"/>
      <c r="CG215" s="51"/>
      <c r="CH215" s="62"/>
      <c r="CI215" s="62"/>
      <c r="CJ215" s="51"/>
      <c r="CK215" s="51"/>
      <c r="CL215" s="95"/>
      <c r="CM215" s="93"/>
      <c r="CN215" s="51"/>
      <c r="CO215" s="51"/>
      <c r="CP215" s="51"/>
      <c r="CQ215" s="51"/>
      <c r="CR215" s="51"/>
      <c r="CS215" s="51"/>
      <c r="CT215" s="51"/>
      <c r="CU215" s="95"/>
      <c r="CV215" s="93"/>
      <c r="CW215" s="51"/>
      <c r="CX215" s="51"/>
      <c r="CY215" s="51"/>
      <c r="CZ215" s="51"/>
      <c r="DA215" s="51"/>
      <c r="DB215" s="51"/>
      <c r="DC215" s="51"/>
      <c r="DD215" s="95"/>
      <c r="DE215" s="93"/>
      <c r="DF215" s="51"/>
      <c r="DG215" s="51"/>
      <c r="DH215" s="51"/>
      <c r="DI215" s="51"/>
      <c r="DJ215" s="51"/>
      <c r="DK215" s="51"/>
      <c r="DL215" s="95"/>
      <c r="DM215" s="478"/>
      <c r="DN215" s="682">
        <f t="shared" si="31"/>
        <v>0</v>
      </c>
      <c r="DO215" s="683"/>
    </row>
    <row r="216" spans="1:119" ht="25.5" customHeight="1" thickTop="1" thickBot="1" x14ac:dyDescent="0.2">
      <c r="A216" s="676">
        <f t="shared" si="27"/>
        <v>201</v>
      </c>
      <c r="B216" s="1054"/>
      <c r="C216" s="1055"/>
      <c r="D216" s="83"/>
      <c r="E216" s="954"/>
      <c r="F216" s="52"/>
      <c r="G216" s="103"/>
      <c r="H216" s="1058"/>
      <c r="I216" s="684" t="str">
        <f t="shared" si="24"/>
        <v/>
      </c>
      <c r="J216" s="685">
        <f t="shared" si="25"/>
        <v>0</v>
      </c>
      <c r="K216" s="1258"/>
      <c r="L216" s="1251"/>
      <c r="M216" s="1257"/>
      <c r="N216" s="719" t="str">
        <f t="shared" si="28"/>
        <v/>
      </c>
      <c r="O216" s="720" t="str">
        <f>IF('Set up ~ Config'!$G$32=6,IF(OR($N216=7,$N216=8,$N216=9),1,IF(OR($N216=10,$N216=11,$N216=12),2,IF(OR($N216=1,$N216=2,$N216=3),3,IF(OR($N216=4,$N216=5,$N216=6),4,"")))),IF(OR($N216=9,$N216=10,$N216=11),1,IF(OR($N216=12,$N216=1,$N216=2),2,IF(OR($N216=3,$N216=4,$N216=5),3,IF(OR($N216=6,$N216=7,$N216=8),4,"")))))</f>
        <v/>
      </c>
      <c r="P216" s="99"/>
      <c r="Q216" s="62"/>
      <c r="R216" s="62"/>
      <c r="S216" s="51"/>
      <c r="T216" s="51"/>
      <c r="U216" s="51"/>
      <c r="V216" s="51"/>
      <c r="W216" s="51"/>
      <c r="X216" s="51"/>
      <c r="Y216" s="51"/>
      <c r="Z216" s="51"/>
      <c r="AA216" s="51"/>
      <c r="AB216" s="51"/>
      <c r="AC216" s="51"/>
      <c r="AD216" s="51"/>
      <c r="AE216" s="51"/>
      <c r="AF216" s="51"/>
      <c r="AG216" s="51"/>
      <c r="AH216" s="94"/>
      <c r="AI216" s="94"/>
      <c r="AJ216" s="94"/>
      <c r="AK216" s="94"/>
      <c r="AL216" s="94"/>
      <c r="AM216" s="94"/>
      <c r="AN216" s="94"/>
      <c r="AO216" s="95"/>
      <c r="AP216" s="686">
        <f t="shared" si="29"/>
        <v>0</v>
      </c>
      <c r="AQ216" s="42"/>
      <c r="AR216" s="42"/>
      <c r="AS216" s="42"/>
      <c r="AT216" s="43"/>
      <c r="AU216" s="687">
        <f t="shared" si="30"/>
        <v>0</v>
      </c>
      <c r="AV216" s="42"/>
      <c r="AW216" s="42"/>
      <c r="AX216" s="42"/>
      <c r="AY216" s="43"/>
      <c r="AZ216" s="486"/>
      <c r="BA216" s="51"/>
      <c r="BB216" s="51"/>
      <c r="BC216" s="51"/>
      <c r="BD216" s="51"/>
      <c r="BE216" s="51"/>
      <c r="BF216" s="51"/>
      <c r="BG216" s="51"/>
      <c r="BH216" s="94"/>
      <c r="BI216" s="94"/>
      <c r="BJ216" s="94"/>
      <c r="BK216" s="94"/>
      <c r="BL216" s="94"/>
      <c r="BM216" s="483"/>
      <c r="BN216" s="94"/>
      <c r="BO216" s="94"/>
      <c r="BP216" s="94"/>
      <c r="BQ216" s="94"/>
      <c r="BR216" s="94"/>
      <c r="BS216" s="94"/>
      <c r="BT216" s="94"/>
      <c r="BU216" s="94"/>
      <c r="BV216" s="94"/>
      <c r="BW216" s="688">
        <f t="shared" si="26"/>
        <v>0</v>
      </c>
      <c r="BX216" s="51"/>
      <c r="BY216" s="51"/>
      <c r="BZ216" s="51"/>
      <c r="CA216" s="51"/>
      <c r="CB216" s="51"/>
      <c r="CC216" s="51"/>
      <c r="CD216" s="97"/>
      <c r="CE216" s="479"/>
      <c r="CF216" s="51"/>
      <c r="CG216" s="51"/>
      <c r="CH216" s="62"/>
      <c r="CI216" s="62"/>
      <c r="CJ216" s="51"/>
      <c r="CK216" s="51"/>
      <c r="CL216" s="95"/>
      <c r="CM216" s="93"/>
      <c r="CN216" s="51"/>
      <c r="CO216" s="51"/>
      <c r="CP216" s="51"/>
      <c r="CQ216" s="51"/>
      <c r="CR216" s="51"/>
      <c r="CS216" s="51"/>
      <c r="CT216" s="51"/>
      <c r="CU216" s="95"/>
      <c r="CV216" s="93"/>
      <c r="CW216" s="51"/>
      <c r="CX216" s="51"/>
      <c r="CY216" s="51"/>
      <c r="CZ216" s="51"/>
      <c r="DA216" s="51"/>
      <c r="DB216" s="51"/>
      <c r="DC216" s="51"/>
      <c r="DD216" s="95"/>
      <c r="DE216" s="93"/>
      <c r="DF216" s="51"/>
      <c r="DG216" s="51"/>
      <c r="DH216" s="51"/>
      <c r="DI216" s="51"/>
      <c r="DJ216" s="51"/>
      <c r="DK216" s="51"/>
      <c r="DL216" s="95"/>
      <c r="DM216" s="478"/>
      <c r="DN216" s="682">
        <f t="shared" si="31"/>
        <v>0</v>
      </c>
      <c r="DO216" s="683"/>
    </row>
    <row r="217" spans="1:119" ht="25.5" customHeight="1" thickTop="1" thickBot="1" x14ac:dyDescent="0.2">
      <c r="A217" s="676">
        <f t="shared" si="27"/>
        <v>202</v>
      </c>
      <c r="B217" s="1054"/>
      <c r="C217" s="1055"/>
      <c r="D217" s="83"/>
      <c r="E217" s="954"/>
      <c r="F217" s="52"/>
      <c r="G217" s="103"/>
      <c r="H217" s="1058"/>
      <c r="I217" s="684" t="str">
        <f t="shared" si="24"/>
        <v/>
      </c>
      <c r="J217" s="685">
        <f t="shared" si="25"/>
        <v>0</v>
      </c>
      <c r="K217" s="1258"/>
      <c r="L217" s="1251"/>
      <c r="M217" s="1257"/>
      <c r="N217" s="719" t="str">
        <f t="shared" si="28"/>
        <v/>
      </c>
      <c r="O217" s="720" t="str">
        <f>IF('Set up ~ Config'!$G$32=6,IF(OR($N217=7,$N217=8,$N217=9),1,IF(OR($N217=10,$N217=11,$N217=12),2,IF(OR($N217=1,$N217=2,$N217=3),3,IF(OR($N217=4,$N217=5,$N217=6),4,"")))),IF(OR($N217=9,$N217=10,$N217=11),1,IF(OR($N217=12,$N217=1,$N217=2),2,IF(OR($N217=3,$N217=4,$N217=5),3,IF(OR($N217=6,$N217=7,$N217=8),4,"")))))</f>
        <v/>
      </c>
      <c r="P217" s="99"/>
      <c r="Q217" s="62"/>
      <c r="R217" s="62"/>
      <c r="S217" s="51"/>
      <c r="T217" s="51"/>
      <c r="U217" s="51"/>
      <c r="V217" s="51"/>
      <c r="W217" s="51"/>
      <c r="X217" s="51"/>
      <c r="Y217" s="51"/>
      <c r="Z217" s="51"/>
      <c r="AA217" s="51"/>
      <c r="AB217" s="51"/>
      <c r="AC217" s="51"/>
      <c r="AD217" s="51"/>
      <c r="AE217" s="51"/>
      <c r="AF217" s="51"/>
      <c r="AG217" s="51"/>
      <c r="AH217" s="94"/>
      <c r="AI217" s="94"/>
      <c r="AJ217" s="94"/>
      <c r="AK217" s="94"/>
      <c r="AL217" s="94"/>
      <c r="AM217" s="94"/>
      <c r="AN217" s="94"/>
      <c r="AO217" s="95"/>
      <c r="AP217" s="686">
        <f t="shared" si="29"/>
        <v>0</v>
      </c>
      <c r="AQ217" s="42"/>
      <c r="AR217" s="42"/>
      <c r="AS217" s="42"/>
      <c r="AT217" s="43"/>
      <c r="AU217" s="687">
        <f t="shared" si="30"/>
        <v>0</v>
      </c>
      <c r="AV217" s="42"/>
      <c r="AW217" s="42"/>
      <c r="AX217" s="42"/>
      <c r="AY217" s="43"/>
      <c r="AZ217" s="486"/>
      <c r="BA217" s="51"/>
      <c r="BB217" s="51"/>
      <c r="BC217" s="51"/>
      <c r="BD217" s="51"/>
      <c r="BE217" s="51"/>
      <c r="BF217" s="51"/>
      <c r="BG217" s="51"/>
      <c r="BH217" s="94"/>
      <c r="BI217" s="94"/>
      <c r="BJ217" s="94"/>
      <c r="BK217" s="94"/>
      <c r="BL217" s="94"/>
      <c r="BM217" s="483"/>
      <c r="BN217" s="94"/>
      <c r="BO217" s="94"/>
      <c r="BP217" s="94"/>
      <c r="BQ217" s="94"/>
      <c r="BR217" s="94"/>
      <c r="BS217" s="94"/>
      <c r="BT217" s="94"/>
      <c r="BU217" s="94"/>
      <c r="BV217" s="94"/>
      <c r="BW217" s="688">
        <f t="shared" si="26"/>
        <v>0</v>
      </c>
      <c r="BX217" s="51"/>
      <c r="BY217" s="51"/>
      <c r="BZ217" s="51"/>
      <c r="CA217" s="51"/>
      <c r="CB217" s="51"/>
      <c r="CC217" s="51"/>
      <c r="CD217" s="97"/>
      <c r="CE217" s="479"/>
      <c r="CF217" s="51"/>
      <c r="CG217" s="51"/>
      <c r="CH217" s="62"/>
      <c r="CI217" s="62"/>
      <c r="CJ217" s="51"/>
      <c r="CK217" s="51"/>
      <c r="CL217" s="95"/>
      <c r="CM217" s="93"/>
      <c r="CN217" s="51"/>
      <c r="CO217" s="51"/>
      <c r="CP217" s="51"/>
      <c r="CQ217" s="51"/>
      <c r="CR217" s="51"/>
      <c r="CS217" s="51"/>
      <c r="CT217" s="51"/>
      <c r="CU217" s="95"/>
      <c r="CV217" s="93"/>
      <c r="CW217" s="51"/>
      <c r="CX217" s="51"/>
      <c r="CY217" s="51"/>
      <c r="CZ217" s="51"/>
      <c r="DA217" s="51"/>
      <c r="DB217" s="51"/>
      <c r="DC217" s="51"/>
      <c r="DD217" s="95"/>
      <c r="DE217" s="93"/>
      <c r="DF217" s="51"/>
      <c r="DG217" s="51"/>
      <c r="DH217" s="51"/>
      <c r="DI217" s="51"/>
      <c r="DJ217" s="51"/>
      <c r="DK217" s="51"/>
      <c r="DL217" s="95"/>
      <c r="DM217" s="478"/>
      <c r="DN217" s="682">
        <f t="shared" si="31"/>
        <v>0</v>
      </c>
      <c r="DO217" s="683"/>
    </row>
    <row r="218" spans="1:119" ht="25.5" customHeight="1" thickTop="1" thickBot="1" x14ac:dyDescent="0.2">
      <c r="A218" s="676">
        <f t="shared" si="27"/>
        <v>203</v>
      </c>
      <c r="B218" s="1054"/>
      <c r="C218" s="1055"/>
      <c r="D218" s="83"/>
      <c r="E218" s="954"/>
      <c r="F218" s="52"/>
      <c r="G218" s="103"/>
      <c r="H218" s="1058"/>
      <c r="I218" s="684" t="str">
        <f t="shared" si="24"/>
        <v/>
      </c>
      <c r="J218" s="685">
        <f t="shared" si="25"/>
        <v>0</v>
      </c>
      <c r="K218" s="1258"/>
      <c r="L218" s="1251"/>
      <c r="M218" s="1257"/>
      <c r="N218" s="719" t="str">
        <f t="shared" si="28"/>
        <v/>
      </c>
      <c r="O218" s="720" t="str">
        <f>IF('Set up ~ Config'!$G$32=6,IF(OR($N218=7,$N218=8,$N218=9),1,IF(OR($N218=10,$N218=11,$N218=12),2,IF(OR($N218=1,$N218=2,$N218=3),3,IF(OR($N218=4,$N218=5,$N218=6),4,"")))),IF(OR($N218=9,$N218=10,$N218=11),1,IF(OR($N218=12,$N218=1,$N218=2),2,IF(OR($N218=3,$N218=4,$N218=5),3,IF(OR($N218=6,$N218=7,$N218=8),4,"")))))</f>
        <v/>
      </c>
      <c r="P218" s="99"/>
      <c r="Q218" s="62"/>
      <c r="R218" s="62"/>
      <c r="S218" s="51"/>
      <c r="T218" s="51"/>
      <c r="U218" s="51"/>
      <c r="V218" s="51"/>
      <c r="W218" s="51"/>
      <c r="X218" s="51"/>
      <c r="Y218" s="51"/>
      <c r="Z218" s="51"/>
      <c r="AA218" s="51"/>
      <c r="AB218" s="51"/>
      <c r="AC218" s="51"/>
      <c r="AD218" s="51"/>
      <c r="AE218" s="51"/>
      <c r="AF218" s="51"/>
      <c r="AG218" s="51"/>
      <c r="AH218" s="94"/>
      <c r="AI218" s="94"/>
      <c r="AJ218" s="94"/>
      <c r="AK218" s="94"/>
      <c r="AL218" s="94"/>
      <c r="AM218" s="94"/>
      <c r="AN218" s="94"/>
      <c r="AO218" s="95"/>
      <c r="AP218" s="686">
        <f t="shared" si="29"/>
        <v>0</v>
      </c>
      <c r="AQ218" s="42"/>
      <c r="AR218" s="42"/>
      <c r="AS218" s="42"/>
      <c r="AT218" s="43"/>
      <c r="AU218" s="687">
        <f t="shared" si="30"/>
        <v>0</v>
      </c>
      <c r="AV218" s="42"/>
      <c r="AW218" s="42"/>
      <c r="AX218" s="42"/>
      <c r="AY218" s="43"/>
      <c r="AZ218" s="486"/>
      <c r="BA218" s="51"/>
      <c r="BB218" s="51"/>
      <c r="BC218" s="51"/>
      <c r="BD218" s="51"/>
      <c r="BE218" s="51"/>
      <c r="BF218" s="51"/>
      <c r="BG218" s="51"/>
      <c r="BH218" s="94"/>
      <c r="BI218" s="94"/>
      <c r="BJ218" s="94"/>
      <c r="BK218" s="94"/>
      <c r="BL218" s="94"/>
      <c r="BM218" s="483"/>
      <c r="BN218" s="94"/>
      <c r="BO218" s="94"/>
      <c r="BP218" s="94"/>
      <c r="BQ218" s="94"/>
      <c r="BR218" s="94"/>
      <c r="BS218" s="94"/>
      <c r="BT218" s="94"/>
      <c r="BU218" s="94"/>
      <c r="BV218" s="94"/>
      <c r="BW218" s="688">
        <f t="shared" si="26"/>
        <v>0</v>
      </c>
      <c r="BX218" s="51"/>
      <c r="BY218" s="51"/>
      <c r="BZ218" s="51"/>
      <c r="CA218" s="51"/>
      <c r="CB218" s="51"/>
      <c r="CC218" s="51"/>
      <c r="CD218" s="97"/>
      <c r="CE218" s="479"/>
      <c r="CF218" s="51"/>
      <c r="CG218" s="51"/>
      <c r="CH218" s="62"/>
      <c r="CI218" s="62"/>
      <c r="CJ218" s="51"/>
      <c r="CK218" s="51"/>
      <c r="CL218" s="95"/>
      <c r="CM218" s="93"/>
      <c r="CN218" s="51"/>
      <c r="CO218" s="51"/>
      <c r="CP218" s="51"/>
      <c r="CQ218" s="51"/>
      <c r="CR218" s="51"/>
      <c r="CS218" s="51"/>
      <c r="CT218" s="51"/>
      <c r="CU218" s="95"/>
      <c r="CV218" s="93"/>
      <c r="CW218" s="51"/>
      <c r="CX218" s="51"/>
      <c r="CY218" s="51"/>
      <c r="CZ218" s="51"/>
      <c r="DA218" s="51"/>
      <c r="DB218" s="51"/>
      <c r="DC218" s="51"/>
      <c r="DD218" s="95"/>
      <c r="DE218" s="93"/>
      <c r="DF218" s="51"/>
      <c r="DG218" s="51"/>
      <c r="DH218" s="51"/>
      <c r="DI218" s="51"/>
      <c r="DJ218" s="51"/>
      <c r="DK218" s="51"/>
      <c r="DL218" s="95"/>
      <c r="DM218" s="478"/>
      <c r="DN218" s="682">
        <f t="shared" si="31"/>
        <v>0</v>
      </c>
      <c r="DO218" s="683"/>
    </row>
    <row r="219" spans="1:119" ht="25.5" customHeight="1" thickTop="1" thickBot="1" x14ac:dyDescent="0.2">
      <c r="A219" s="676">
        <f t="shared" si="27"/>
        <v>204</v>
      </c>
      <c r="B219" s="1054"/>
      <c r="C219" s="1055"/>
      <c r="D219" s="83"/>
      <c r="E219" s="954"/>
      <c r="F219" s="52"/>
      <c r="G219" s="103"/>
      <c r="H219" s="1058"/>
      <c r="I219" s="684" t="str">
        <f t="shared" si="24"/>
        <v/>
      </c>
      <c r="J219" s="685">
        <f t="shared" si="25"/>
        <v>0</v>
      </c>
      <c r="K219" s="1258"/>
      <c r="L219" s="1251"/>
      <c r="M219" s="1257"/>
      <c r="N219" s="719" t="str">
        <f t="shared" si="28"/>
        <v/>
      </c>
      <c r="O219" s="720" t="str">
        <f>IF('Set up ~ Config'!$G$32=6,IF(OR($N219=7,$N219=8,$N219=9),1,IF(OR($N219=10,$N219=11,$N219=12),2,IF(OR($N219=1,$N219=2,$N219=3),3,IF(OR($N219=4,$N219=5,$N219=6),4,"")))),IF(OR($N219=9,$N219=10,$N219=11),1,IF(OR($N219=12,$N219=1,$N219=2),2,IF(OR($N219=3,$N219=4,$N219=5),3,IF(OR($N219=6,$N219=7,$N219=8),4,"")))))</f>
        <v/>
      </c>
      <c r="P219" s="99"/>
      <c r="Q219" s="62"/>
      <c r="R219" s="62"/>
      <c r="S219" s="51"/>
      <c r="T219" s="51"/>
      <c r="U219" s="51"/>
      <c r="V219" s="51"/>
      <c r="W219" s="51"/>
      <c r="X219" s="51"/>
      <c r="Y219" s="51"/>
      <c r="Z219" s="51"/>
      <c r="AA219" s="51"/>
      <c r="AB219" s="51"/>
      <c r="AC219" s="51"/>
      <c r="AD219" s="51"/>
      <c r="AE219" s="51"/>
      <c r="AF219" s="51"/>
      <c r="AG219" s="51"/>
      <c r="AH219" s="94"/>
      <c r="AI219" s="94"/>
      <c r="AJ219" s="94"/>
      <c r="AK219" s="94"/>
      <c r="AL219" s="94"/>
      <c r="AM219" s="94"/>
      <c r="AN219" s="94"/>
      <c r="AO219" s="95"/>
      <c r="AP219" s="686">
        <f t="shared" si="29"/>
        <v>0</v>
      </c>
      <c r="AQ219" s="42"/>
      <c r="AR219" s="42"/>
      <c r="AS219" s="42"/>
      <c r="AT219" s="43"/>
      <c r="AU219" s="687">
        <f t="shared" si="30"/>
        <v>0</v>
      </c>
      <c r="AV219" s="42"/>
      <c r="AW219" s="42"/>
      <c r="AX219" s="42"/>
      <c r="AY219" s="43"/>
      <c r="AZ219" s="486"/>
      <c r="BA219" s="51"/>
      <c r="BB219" s="51"/>
      <c r="BC219" s="51"/>
      <c r="BD219" s="51"/>
      <c r="BE219" s="51"/>
      <c r="BF219" s="51"/>
      <c r="BG219" s="51"/>
      <c r="BH219" s="94"/>
      <c r="BI219" s="94"/>
      <c r="BJ219" s="94"/>
      <c r="BK219" s="94"/>
      <c r="BL219" s="94"/>
      <c r="BM219" s="483"/>
      <c r="BN219" s="94"/>
      <c r="BO219" s="94"/>
      <c r="BP219" s="94"/>
      <c r="BQ219" s="94"/>
      <c r="BR219" s="94"/>
      <c r="BS219" s="94"/>
      <c r="BT219" s="94"/>
      <c r="BU219" s="94"/>
      <c r="BV219" s="94"/>
      <c r="BW219" s="688">
        <f t="shared" si="26"/>
        <v>0</v>
      </c>
      <c r="BX219" s="51"/>
      <c r="BY219" s="51"/>
      <c r="BZ219" s="51"/>
      <c r="CA219" s="51"/>
      <c r="CB219" s="51"/>
      <c r="CC219" s="51"/>
      <c r="CD219" s="97"/>
      <c r="CE219" s="479"/>
      <c r="CF219" s="51"/>
      <c r="CG219" s="51"/>
      <c r="CH219" s="62"/>
      <c r="CI219" s="62"/>
      <c r="CJ219" s="51"/>
      <c r="CK219" s="51"/>
      <c r="CL219" s="95"/>
      <c r="CM219" s="93"/>
      <c r="CN219" s="51"/>
      <c r="CO219" s="51"/>
      <c r="CP219" s="51"/>
      <c r="CQ219" s="51"/>
      <c r="CR219" s="51"/>
      <c r="CS219" s="51"/>
      <c r="CT219" s="51"/>
      <c r="CU219" s="95"/>
      <c r="CV219" s="93"/>
      <c r="CW219" s="51"/>
      <c r="CX219" s="51"/>
      <c r="CY219" s="51"/>
      <c r="CZ219" s="51"/>
      <c r="DA219" s="51"/>
      <c r="DB219" s="51"/>
      <c r="DC219" s="51"/>
      <c r="DD219" s="95"/>
      <c r="DE219" s="93"/>
      <c r="DF219" s="51"/>
      <c r="DG219" s="51"/>
      <c r="DH219" s="51"/>
      <c r="DI219" s="51"/>
      <c r="DJ219" s="51"/>
      <c r="DK219" s="51"/>
      <c r="DL219" s="95"/>
      <c r="DM219" s="478"/>
      <c r="DN219" s="682">
        <f t="shared" si="31"/>
        <v>0</v>
      </c>
      <c r="DO219" s="683"/>
    </row>
    <row r="220" spans="1:119" ht="25.5" customHeight="1" thickTop="1" thickBot="1" x14ac:dyDescent="0.2">
      <c r="A220" s="676">
        <f t="shared" si="27"/>
        <v>205</v>
      </c>
      <c r="B220" s="1054"/>
      <c r="C220" s="1055"/>
      <c r="D220" s="83"/>
      <c r="E220" s="954"/>
      <c r="F220" s="52"/>
      <c r="G220" s="103"/>
      <c r="H220" s="1058"/>
      <c r="I220" s="684" t="str">
        <f t="shared" si="24"/>
        <v/>
      </c>
      <c r="J220" s="685">
        <f t="shared" si="25"/>
        <v>0</v>
      </c>
      <c r="K220" s="1258"/>
      <c r="L220" s="1251"/>
      <c r="M220" s="1257"/>
      <c r="N220" s="719" t="str">
        <f t="shared" si="28"/>
        <v/>
      </c>
      <c r="O220" s="720" t="str">
        <f>IF('Set up ~ Config'!$G$32=6,IF(OR($N220=7,$N220=8,$N220=9),1,IF(OR($N220=10,$N220=11,$N220=12),2,IF(OR($N220=1,$N220=2,$N220=3),3,IF(OR($N220=4,$N220=5,$N220=6),4,"")))),IF(OR($N220=9,$N220=10,$N220=11),1,IF(OR($N220=12,$N220=1,$N220=2),2,IF(OR($N220=3,$N220=4,$N220=5),3,IF(OR($N220=6,$N220=7,$N220=8),4,"")))))</f>
        <v/>
      </c>
      <c r="P220" s="99"/>
      <c r="Q220" s="62"/>
      <c r="R220" s="62"/>
      <c r="S220" s="51"/>
      <c r="T220" s="51"/>
      <c r="U220" s="51"/>
      <c r="V220" s="51"/>
      <c r="W220" s="51"/>
      <c r="X220" s="51"/>
      <c r="Y220" s="51"/>
      <c r="Z220" s="51"/>
      <c r="AA220" s="51"/>
      <c r="AB220" s="51"/>
      <c r="AC220" s="51"/>
      <c r="AD220" s="51"/>
      <c r="AE220" s="51"/>
      <c r="AF220" s="51"/>
      <c r="AG220" s="51"/>
      <c r="AH220" s="94"/>
      <c r="AI220" s="94"/>
      <c r="AJ220" s="94"/>
      <c r="AK220" s="94"/>
      <c r="AL220" s="94"/>
      <c r="AM220" s="94"/>
      <c r="AN220" s="94"/>
      <c r="AO220" s="95"/>
      <c r="AP220" s="686">
        <f t="shared" si="29"/>
        <v>0</v>
      </c>
      <c r="AQ220" s="42"/>
      <c r="AR220" s="42"/>
      <c r="AS220" s="42"/>
      <c r="AT220" s="43"/>
      <c r="AU220" s="687">
        <f t="shared" si="30"/>
        <v>0</v>
      </c>
      <c r="AV220" s="42"/>
      <c r="AW220" s="42"/>
      <c r="AX220" s="42"/>
      <c r="AY220" s="43"/>
      <c r="AZ220" s="486"/>
      <c r="BA220" s="51"/>
      <c r="BB220" s="51"/>
      <c r="BC220" s="51"/>
      <c r="BD220" s="51"/>
      <c r="BE220" s="51"/>
      <c r="BF220" s="51"/>
      <c r="BG220" s="51"/>
      <c r="BH220" s="94"/>
      <c r="BI220" s="94"/>
      <c r="BJ220" s="94"/>
      <c r="BK220" s="94"/>
      <c r="BL220" s="94"/>
      <c r="BM220" s="483"/>
      <c r="BN220" s="94"/>
      <c r="BO220" s="94"/>
      <c r="BP220" s="94"/>
      <c r="BQ220" s="94"/>
      <c r="BR220" s="94"/>
      <c r="BS220" s="94"/>
      <c r="BT220" s="94"/>
      <c r="BU220" s="94"/>
      <c r="BV220" s="94"/>
      <c r="BW220" s="688">
        <f t="shared" si="26"/>
        <v>0</v>
      </c>
      <c r="BX220" s="51"/>
      <c r="BY220" s="51"/>
      <c r="BZ220" s="51"/>
      <c r="CA220" s="51"/>
      <c r="CB220" s="51"/>
      <c r="CC220" s="51"/>
      <c r="CD220" s="97"/>
      <c r="CE220" s="479"/>
      <c r="CF220" s="51"/>
      <c r="CG220" s="51"/>
      <c r="CH220" s="62"/>
      <c r="CI220" s="62"/>
      <c r="CJ220" s="51"/>
      <c r="CK220" s="51"/>
      <c r="CL220" s="95"/>
      <c r="CM220" s="93"/>
      <c r="CN220" s="51"/>
      <c r="CO220" s="51"/>
      <c r="CP220" s="51"/>
      <c r="CQ220" s="51"/>
      <c r="CR220" s="51"/>
      <c r="CS220" s="51"/>
      <c r="CT220" s="51"/>
      <c r="CU220" s="95"/>
      <c r="CV220" s="93"/>
      <c r="CW220" s="51"/>
      <c r="CX220" s="51"/>
      <c r="CY220" s="51"/>
      <c r="CZ220" s="51"/>
      <c r="DA220" s="51"/>
      <c r="DB220" s="51"/>
      <c r="DC220" s="51"/>
      <c r="DD220" s="95"/>
      <c r="DE220" s="93"/>
      <c r="DF220" s="51"/>
      <c r="DG220" s="51"/>
      <c r="DH220" s="51"/>
      <c r="DI220" s="51"/>
      <c r="DJ220" s="51"/>
      <c r="DK220" s="51"/>
      <c r="DL220" s="95"/>
      <c r="DM220" s="478"/>
      <c r="DN220" s="682">
        <f t="shared" si="31"/>
        <v>0</v>
      </c>
      <c r="DO220" s="683"/>
    </row>
    <row r="221" spans="1:119" ht="25.5" customHeight="1" thickTop="1" thickBot="1" x14ac:dyDescent="0.2">
      <c r="A221" s="676">
        <f t="shared" si="27"/>
        <v>206</v>
      </c>
      <c r="B221" s="1054"/>
      <c r="C221" s="1055"/>
      <c r="D221" s="83"/>
      <c r="E221" s="954"/>
      <c r="F221" s="52"/>
      <c r="G221" s="103"/>
      <c r="H221" s="1058"/>
      <c r="I221" s="684" t="str">
        <f t="shared" si="24"/>
        <v/>
      </c>
      <c r="J221" s="685">
        <f t="shared" si="25"/>
        <v>0</v>
      </c>
      <c r="K221" s="1258"/>
      <c r="L221" s="1251"/>
      <c r="M221" s="1257"/>
      <c r="N221" s="719" t="str">
        <f t="shared" si="28"/>
        <v/>
      </c>
      <c r="O221" s="720" t="str">
        <f>IF('Set up ~ Config'!$G$32=6,IF(OR($N221=7,$N221=8,$N221=9),1,IF(OR($N221=10,$N221=11,$N221=12),2,IF(OR($N221=1,$N221=2,$N221=3),3,IF(OR($N221=4,$N221=5,$N221=6),4,"")))),IF(OR($N221=9,$N221=10,$N221=11),1,IF(OR($N221=12,$N221=1,$N221=2),2,IF(OR($N221=3,$N221=4,$N221=5),3,IF(OR($N221=6,$N221=7,$N221=8),4,"")))))</f>
        <v/>
      </c>
      <c r="P221" s="99"/>
      <c r="Q221" s="62"/>
      <c r="R221" s="62"/>
      <c r="S221" s="51"/>
      <c r="T221" s="51"/>
      <c r="U221" s="51"/>
      <c r="V221" s="51"/>
      <c r="W221" s="51"/>
      <c r="X221" s="51"/>
      <c r="Y221" s="51"/>
      <c r="Z221" s="51"/>
      <c r="AA221" s="51"/>
      <c r="AB221" s="51"/>
      <c r="AC221" s="51"/>
      <c r="AD221" s="51"/>
      <c r="AE221" s="51"/>
      <c r="AF221" s="51"/>
      <c r="AG221" s="51"/>
      <c r="AH221" s="94"/>
      <c r="AI221" s="94"/>
      <c r="AJ221" s="94"/>
      <c r="AK221" s="94"/>
      <c r="AL221" s="94"/>
      <c r="AM221" s="94"/>
      <c r="AN221" s="94"/>
      <c r="AO221" s="95"/>
      <c r="AP221" s="686">
        <f t="shared" si="29"/>
        <v>0</v>
      </c>
      <c r="AQ221" s="42"/>
      <c r="AR221" s="42"/>
      <c r="AS221" s="42"/>
      <c r="AT221" s="43"/>
      <c r="AU221" s="687">
        <f t="shared" si="30"/>
        <v>0</v>
      </c>
      <c r="AV221" s="42"/>
      <c r="AW221" s="42"/>
      <c r="AX221" s="42"/>
      <c r="AY221" s="43"/>
      <c r="AZ221" s="486"/>
      <c r="BA221" s="51"/>
      <c r="BB221" s="51"/>
      <c r="BC221" s="51"/>
      <c r="BD221" s="51"/>
      <c r="BE221" s="51"/>
      <c r="BF221" s="51"/>
      <c r="BG221" s="51"/>
      <c r="BH221" s="94"/>
      <c r="BI221" s="94"/>
      <c r="BJ221" s="94"/>
      <c r="BK221" s="94"/>
      <c r="BL221" s="94"/>
      <c r="BM221" s="483"/>
      <c r="BN221" s="94"/>
      <c r="BO221" s="94"/>
      <c r="BP221" s="94"/>
      <c r="BQ221" s="94"/>
      <c r="BR221" s="94"/>
      <c r="BS221" s="94"/>
      <c r="BT221" s="94"/>
      <c r="BU221" s="94"/>
      <c r="BV221" s="94"/>
      <c r="BW221" s="688">
        <f t="shared" si="26"/>
        <v>0</v>
      </c>
      <c r="BX221" s="51"/>
      <c r="BY221" s="51"/>
      <c r="BZ221" s="51"/>
      <c r="CA221" s="51"/>
      <c r="CB221" s="51"/>
      <c r="CC221" s="51"/>
      <c r="CD221" s="97"/>
      <c r="CE221" s="479"/>
      <c r="CF221" s="51"/>
      <c r="CG221" s="51"/>
      <c r="CH221" s="62"/>
      <c r="CI221" s="62"/>
      <c r="CJ221" s="51"/>
      <c r="CK221" s="51"/>
      <c r="CL221" s="95"/>
      <c r="CM221" s="93"/>
      <c r="CN221" s="51"/>
      <c r="CO221" s="51"/>
      <c r="CP221" s="51"/>
      <c r="CQ221" s="51"/>
      <c r="CR221" s="51"/>
      <c r="CS221" s="51"/>
      <c r="CT221" s="51"/>
      <c r="CU221" s="95"/>
      <c r="CV221" s="93"/>
      <c r="CW221" s="51"/>
      <c r="CX221" s="51"/>
      <c r="CY221" s="51"/>
      <c r="CZ221" s="51"/>
      <c r="DA221" s="51"/>
      <c r="DB221" s="51"/>
      <c r="DC221" s="51"/>
      <c r="DD221" s="95"/>
      <c r="DE221" s="93"/>
      <c r="DF221" s="51"/>
      <c r="DG221" s="51"/>
      <c r="DH221" s="51"/>
      <c r="DI221" s="51"/>
      <c r="DJ221" s="51"/>
      <c r="DK221" s="51"/>
      <c r="DL221" s="95"/>
      <c r="DM221" s="478"/>
      <c r="DN221" s="682">
        <f t="shared" si="31"/>
        <v>0</v>
      </c>
      <c r="DO221" s="683"/>
    </row>
    <row r="222" spans="1:119" ht="25.5" customHeight="1" thickTop="1" thickBot="1" x14ac:dyDescent="0.2">
      <c r="A222" s="676">
        <f t="shared" si="27"/>
        <v>207</v>
      </c>
      <c r="B222" s="1054"/>
      <c r="C222" s="1055"/>
      <c r="D222" s="83"/>
      <c r="E222" s="954"/>
      <c r="F222" s="52"/>
      <c r="G222" s="103"/>
      <c r="H222" s="1058"/>
      <c r="I222" s="684" t="str">
        <f t="shared" si="24"/>
        <v/>
      </c>
      <c r="J222" s="685">
        <f t="shared" si="25"/>
        <v>0</v>
      </c>
      <c r="K222" s="1258"/>
      <c r="L222" s="1251"/>
      <c r="M222" s="1257"/>
      <c r="N222" s="719" t="str">
        <f t="shared" si="28"/>
        <v/>
      </c>
      <c r="O222" s="720" t="str">
        <f>IF('Set up ~ Config'!$G$32=6,IF(OR($N222=7,$N222=8,$N222=9),1,IF(OR($N222=10,$N222=11,$N222=12),2,IF(OR($N222=1,$N222=2,$N222=3),3,IF(OR($N222=4,$N222=5,$N222=6),4,"")))),IF(OR($N222=9,$N222=10,$N222=11),1,IF(OR($N222=12,$N222=1,$N222=2),2,IF(OR($N222=3,$N222=4,$N222=5),3,IF(OR($N222=6,$N222=7,$N222=8),4,"")))))</f>
        <v/>
      </c>
      <c r="P222" s="99"/>
      <c r="Q222" s="62"/>
      <c r="R222" s="62"/>
      <c r="S222" s="51"/>
      <c r="T222" s="51"/>
      <c r="U222" s="51"/>
      <c r="V222" s="51"/>
      <c r="W222" s="51"/>
      <c r="X222" s="51"/>
      <c r="Y222" s="51"/>
      <c r="Z222" s="51"/>
      <c r="AA222" s="51"/>
      <c r="AB222" s="51"/>
      <c r="AC222" s="51"/>
      <c r="AD222" s="51"/>
      <c r="AE222" s="51"/>
      <c r="AF222" s="51"/>
      <c r="AG222" s="51"/>
      <c r="AH222" s="94"/>
      <c r="AI222" s="94"/>
      <c r="AJ222" s="94"/>
      <c r="AK222" s="94"/>
      <c r="AL222" s="94"/>
      <c r="AM222" s="94"/>
      <c r="AN222" s="94"/>
      <c r="AO222" s="95"/>
      <c r="AP222" s="686">
        <f t="shared" si="29"/>
        <v>0</v>
      </c>
      <c r="AQ222" s="42"/>
      <c r="AR222" s="42"/>
      <c r="AS222" s="42"/>
      <c r="AT222" s="43"/>
      <c r="AU222" s="687">
        <f t="shared" si="30"/>
        <v>0</v>
      </c>
      <c r="AV222" s="42"/>
      <c r="AW222" s="42"/>
      <c r="AX222" s="42"/>
      <c r="AY222" s="43"/>
      <c r="AZ222" s="486"/>
      <c r="BA222" s="51"/>
      <c r="BB222" s="51"/>
      <c r="BC222" s="51"/>
      <c r="BD222" s="51"/>
      <c r="BE222" s="51"/>
      <c r="BF222" s="51"/>
      <c r="BG222" s="51"/>
      <c r="BH222" s="94"/>
      <c r="BI222" s="94"/>
      <c r="BJ222" s="94"/>
      <c r="BK222" s="94"/>
      <c r="BL222" s="94"/>
      <c r="BM222" s="483"/>
      <c r="BN222" s="94"/>
      <c r="BO222" s="94"/>
      <c r="BP222" s="94"/>
      <c r="BQ222" s="94"/>
      <c r="BR222" s="94"/>
      <c r="BS222" s="94"/>
      <c r="BT222" s="94"/>
      <c r="BU222" s="94"/>
      <c r="BV222" s="94"/>
      <c r="BW222" s="688">
        <f t="shared" si="26"/>
        <v>0</v>
      </c>
      <c r="BX222" s="51"/>
      <c r="BY222" s="51"/>
      <c r="BZ222" s="51"/>
      <c r="CA222" s="51"/>
      <c r="CB222" s="51"/>
      <c r="CC222" s="51"/>
      <c r="CD222" s="97"/>
      <c r="CE222" s="479"/>
      <c r="CF222" s="51"/>
      <c r="CG222" s="51"/>
      <c r="CH222" s="62"/>
      <c r="CI222" s="62"/>
      <c r="CJ222" s="51"/>
      <c r="CK222" s="51"/>
      <c r="CL222" s="95"/>
      <c r="CM222" s="93"/>
      <c r="CN222" s="51"/>
      <c r="CO222" s="51"/>
      <c r="CP222" s="51"/>
      <c r="CQ222" s="51"/>
      <c r="CR222" s="51"/>
      <c r="CS222" s="51"/>
      <c r="CT222" s="51"/>
      <c r="CU222" s="95"/>
      <c r="CV222" s="93"/>
      <c r="CW222" s="51"/>
      <c r="CX222" s="51"/>
      <c r="CY222" s="51"/>
      <c r="CZ222" s="51"/>
      <c r="DA222" s="51"/>
      <c r="DB222" s="51"/>
      <c r="DC222" s="51"/>
      <c r="DD222" s="95"/>
      <c r="DE222" s="93"/>
      <c r="DF222" s="51"/>
      <c r="DG222" s="51"/>
      <c r="DH222" s="51"/>
      <c r="DI222" s="51"/>
      <c r="DJ222" s="51"/>
      <c r="DK222" s="51"/>
      <c r="DL222" s="95"/>
      <c r="DM222" s="478"/>
      <c r="DN222" s="682">
        <f t="shared" si="31"/>
        <v>0</v>
      </c>
      <c r="DO222" s="683"/>
    </row>
    <row r="223" spans="1:119" ht="25.5" customHeight="1" thickTop="1" thickBot="1" x14ac:dyDescent="0.2">
      <c r="A223" s="676">
        <f t="shared" si="27"/>
        <v>208</v>
      </c>
      <c r="B223" s="1054"/>
      <c r="C223" s="1055"/>
      <c r="D223" s="83"/>
      <c r="E223" s="954"/>
      <c r="F223" s="52"/>
      <c r="G223" s="103"/>
      <c r="H223" s="1058"/>
      <c r="I223" s="684" t="str">
        <f t="shared" si="24"/>
        <v/>
      </c>
      <c r="J223" s="685">
        <f t="shared" si="25"/>
        <v>0</v>
      </c>
      <c r="K223" s="1258"/>
      <c r="L223" s="1251"/>
      <c r="M223" s="1257"/>
      <c r="N223" s="719" t="str">
        <f t="shared" si="28"/>
        <v/>
      </c>
      <c r="O223" s="720" t="str">
        <f>IF('Set up ~ Config'!$G$32=6,IF(OR($N223=7,$N223=8,$N223=9),1,IF(OR($N223=10,$N223=11,$N223=12),2,IF(OR($N223=1,$N223=2,$N223=3),3,IF(OR($N223=4,$N223=5,$N223=6),4,"")))),IF(OR($N223=9,$N223=10,$N223=11),1,IF(OR($N223=12,$N223=1,$N223=2),2,IF(OR($N223=3,$N223=4,$N223=5),3,IF(OR($N223=6,$N223=7,$N223=8),4,"")))))</f>
        <v/>
      </c>
      <c r="P223" s="99"/>
      <c r="Q223" s="62"/>
      <c r="R223" s="62"/>
      <c r="S223" s="51"/>
      <c r="T223" s="51"/>
      <c r="U223" s="51"/>
      <c r="V223" s="51"/>
      <c r="W223" s="51"/>
      <c r="X223" s="51"/>
      <c r="Y223" s="51"/>
      <c r="Z223" s="51"/>
      <c r="AA223" s="51"/>
      <c r="AB223" s="51"/>
      <c r="AC223" s="51"/>
      <c r="AD223" s="51"/>
      <c r="AE223" s="51"/>
      <c r="AF223" s="51"/>
      <c r="AG223" s="51"/>
      <c r="AH223" s="94"/>
      <c r="AI223" s="94"/>
      <c r="AJ223" s="94"/>
      <c r="AK223" s="94"/>
      <c r="AL223" s="94"/>
      <c r="AM223" s="94"/>
      <c r="AN223" s="94"/>
      <c r="AO223" s="95"/>
      <c r="AP223" s="686">
        <f t="shared" si="29"/>
        <v>0</v>
      </c>
      <c r="AQ223" s="42"/>
      <c r="AR223" s="42"/>
      <c r="AS223" s="42"/>
      <c r="AT223" s="43"/>
      <c r="AU223" s="687">
        <f t="shared" si="30"/>
        <v>0</v>
      </c>
      <c r="AV223" s="42"/>
      <c r="AW223" s="42"/>
      <c r="AX223" s="42"/>
      <c r="AY223" s="43"/>
      <c r="AZ223" s="486"/>
      <c r="BA223" s="51"/>
      <c r="BB223" s="51"/>
      <c r="BC223" s="51"/>
      <c r="BD223" s="51"/>
      <c r="BE223" s="51"/>
      <c r="BF223" s="51"/>
      <c r="BG223" s="51"/>
      <c r="BH223" s="94"/>
      <c r="BI223" s="94"/>
      <c r="BJ223" s="94"/>
      <c r="BK223" s="94"/>
      <c r="BL223" s="94"/>
      <c r="BM223" s="483"/>
      <c r="BN223" s="94"/>
      <c r="BO223" s="94"/>
      <c r="BP223" s="94"/>
      <c r="BQ223" s="94"/>
      <c r="BR223" s="94"/>
      <c r="BS223" s="94"/>
      <c r="BT223" s="94"/>
      <c r="BU223" s="94"/>
      <c r="BV223" s="94"/>
      <c r="BW223" s="688">
        <f t="shared" si="26"/>
        <v>0</v>
      </c>
      <c r="BX223" s="51"/>
      <c r="BY223" s="51"/>
      <c r="BZ223" s="51"/>
      <c r="CA223" s="51"/>
      <c r="CB223" s="51"/>
      <c r="CC223" s="51"/>
      <c r="CD223" s="97"/>
      <c r="CE223" s="479"/>
      <c r="CF223" s="51"/>
      <c r="CG223" s="51"/>
      <c r="CH223" s="62"/>
      <c r="CI223" s="62"/>
      <c r="CJ223" s="51"/>
      <c r="CK223" s="51"/>
      <c r="CL223" s="95"/>
      <c r="CM223" s="93"/>
      <c r="CN223" s="51"/>
      <c r="CO223" s="51"/>
      <c r="CP223" s="51"/>
      <c r="CQ223" s="51"/>
      <c r="CR223" s="51"/>
      <c r="CS223" s="51"/>
      <c r="CT223" s="51"/>
      <c r="CU223" s="95"/>
      <c r="CV223" s="93"/>
      <c r="CW223" s="51"/>
      <c r="CX223" s="51"/>
      <c r="CY223" s="51"/>
      <c r="CZ223" s="51"/>
      <c r="DA223" s="51"/>
      <c r="DB223" s="51"/>
      <c r="DC223" s="51"/>
      <c r="DD223" s="95"/>
      <c r="DE223" s="93"/>
      <c r="DF223" s="51"/>
      <c r="DG223" s="51"/>
      <c r="DH223" s="51"/>
      <c r="DI223" s="51"/>
      <c r="DJ223" s="51"/>
      <c r="DK223" s="51"/>
      <c r="DL223" s="95"/>
      <c r="DM223" s="478"/>
      <c r="DN223" s="682">
        <f t="shared" si="31"/>
        <v>0</v>
      </c>
      <c r="DO223" s="683"/>
    </row>
    <row r="224" spans="1:119" ht="25.5" customHeight="1" thickTop="1" thickBot="1" x14ac:dyDescent="0.2">
      <c r="A224" s="676">
        <f t="shared" si="27"/>
        <v>209</v>
      </c>
      <c r="B224" s="1054"/>
      <c r="C224" s="1055"/>
      <c r="D224" s="83"/>
      <c r="E224" s="954"/>
      <c r="F224" s="52"/>
      <c r="G224" s="103"/>
      <c r="H224" s="1058"/>
      <c r="I224" s="684" t="str">
        <f t="shared" si="24"/>
        <v/>
      </c>
      <c r="J224" s="685">
        <f t="shared" si="25"/>
        <v>0</v>
      </c>
      <c r="K224" s="1258"/>
      <c r="L224" s="1251"/>
      <c r="M224" s="1257"/>
      <c r="N224" s="719" t="str">
        <f t="shared" si="28"/>
        <v/>
      </c>
      <c r="O224" s="720" t="str">
        <f>IF('Set up ~ Config'!$G$32=6,IF(OR($N224=7,$N224=8,$N224=9),1,IF(OR($N224=10,$N224=11,$N224=12),2,IF(OR($N224=1,$N224=2,$N224=3),3,IF(OR($N224=4,$N224=5,$N224=6),4,"")))),IF(OR($N224=9,$N224=10,$N224=11),1,IF(OR($N224=12,$N224=1,$N224=2),2,IF(OR($N224=3,$N224=4,$N224=5),3,IF(OR($N224=6,$N224=7,$N224=8),4,"")))))</f>
        <v/>
      </c>
      <c r="P224" s="99"/>
      <c r="Q224" s="62"/>
      <c r="R224" s="62"/>
      <c r="S224" s="51"/>
      <c r="T224" s="51"/>
      <c r="U224" s="51"/>
      <c r="V224" s="51"/>
      <c r="W224" s="51"/>
      <c r="X224" s="51"/>
      <c r="Y224" s="51"/>
      <c r="Z224" s="51"/>
      <c r="AA224" s="51"/>
      <c r="AB224" s="51"/>
      <c r="AC224" s="51"/>
      <c r="AD224" s="51"/>
      <c r="AE224" s="51"/>
      <c r="AF224" s="51"/>
      <c r="AG224" s="51"/>
      <c r="AH224" s="94"/>
      <c r="AI224" s="94"/>
      <c r="AJ224" s="94"/>
      <c r="AK224" s="94"/>
      <c r="AL224" s="94"/>
      <c r="AM224" s="94"/>
      <c r="AN224" s="94"/>
      <c r="AO224" s="95"/>
      <c r="AP224" s="686">
        <f t="shared" si="29"/>
        <v>0</v>
      </c>
      <c r="AQ224" s="42"/>
      <c r="AR224" s="42"/>
      <c r="AS224" s="42"/>
      <c r="AT224" s="43"/>
      <c r="AU224" s="687">
        <f t="shared" si="30"/>
        <v>0</v>
      </c>
      <c r="AV224" s="42"/>
      <c r="AW224" s="42"/>
      <c r="AX224" s="42"/>
      <c r="AY224" s="43"/>
      <c r="AZ224" s="486"/>
      <c r="BA224" s="51"/>
      <c r="BB224" s="51"/>
      <c r="BC224" s="51"/>
      <c r="BD224" s="51"/>
      <c r="BE224" s="51"/>
      <c r="BF224" s="51"/>
      <c r="BG224" s="51"/>
      <c r="BH224" s="94"/>
      <c r="BI224" s="94"/>
      <c r="BJ224" s="94"/>
      <c r="BK224" s="94"/>
      <c r="BL224" s="94"/>
      <c r="BM224" s="483"/>
      <c r="BN224" s="94"/>
      <c r="BO224" s="94"/>
      <c r="BP224" s="94"/>
      <c r="BQ224" s="94"/>
      <c r="BR224" s="94"/>
      <c r="BS224" s="94"/>
      <c r="BT224" s="94"/>
      <c r="BU224" s="94"/>
      <c r="BV224" s="94"/>
      <c r="BW224" s="688">
        <f t="shared" si="26"/>
        <v>0</v>
      </c>
      <c r="BX224" s="51"/>
      <c r="BY224" s="51"/>
      <c r="BZ224" s="51"/>
      <c r="CA224" s="51"/>
      <c r="CB224" s="51"/>
      <c r="CC224" s="51"/>
      <c r="CD224" s="97"/>
      <c r="CE224" s="479"/>
      <c r="CF224" s="51"/>
      <c r="CG224" s="51"/>
      <c r="CH224" s="62"/>
      <c r="CI224" s="62"/>
      <c r="CJ224" s="51"/>
      <c r="CK224" s="51"/>
      <c r="CL224" s="95"/>
      <c r="CM224" s="93"/>
      <c r="CN224" s="51"/>
      <c r="CO224" s="51"/>
      <c r="CP224" s="51"/>
      <c r="CQ224" s="51"/>
      <c r="CR224" s="51"/>
      <c r="CS224" s="51"/>
      <c r="CT224" s="51"/>
      <c r="CU224" s="95"/>
      <c r="CV224" s="93"/>
      <c r="CW224" s="51"/>
      <c r="CX224" s="51"/>
      <c r="CY224" s="51"/>
      <c r="CZ224" s="51"/>
      <c r="DA224" s="51"/>
      <c r="DB224" s="51"/>
      <c r="DC224" s="51"/>
      <c r="DD224" s="95"/>
      <c r="DE224" s="93"/>
      <c r="DF224" s="51"/>
      <c r="DG224" s="51"/>
      <c r="DH224" s="51"/>
      <c r="DI224" s="51"/>
      <c r="DJ224" s="51"/>
      <c r="DK224" s="51"/>
      <c r="DL224" s="95"/>
      <c r="DM224" s="478"/>
      <c r="DN224" s="682">
        <f t="shared" si="31"/>
        <v>0</v>
      </c>
      <c r="DO224" s="683"/>
    </row>
    <row r="225" spans="1:119" ht="25.5" customHeight="1" thickTop="1" thickBot="1" x14ac:dyDescent="0.2">
      <c r="A225" s="676">
        <f t="shared" si="27"/>
        <v>210</v>
      </c>
      <c r="B225" s="1054"/>
      <c r="C225" s="1055"/>
      <c r="D225" s="83"/>
      <c r="E225" s="954"/>
      <c r="F225" s="52"/>
      <c r="G225" s="103"/>
      <c r="H225" s="1058"/>
      <c r="I225" s="684" t="str">
        <f t="shared" si="24"/>
        <v/>
      </c>
      <c r="J225" s="685">
        <f t="shared" si="25"/>
        <v>0</v>
      </c>
      <c r="K225" s="1258"/>
      <c r="L225" s="1251"/>
      <c r="M225" s="1257"/>
      <c r="N225" s="719" t="str">
        <f t="shared" si="28"/>
        <v/>
      </c>
      <c r="O225" s="720" t="str">
        <f>IF('Set up ~ Config'!$G$32=6,IF(OR($N225=7,$N225=8,$N225=9),1,IF(OR($N225=10,$N225=11,$N225=12),2,IF(OR($N225=1,$N225=2,$N225=3),3,IF(OR($N225=4,$N225=5,$N225=6),4,"")))),IF(OR($N225=9,$N225=10,$N225=11),1,IF(OR($N225=12,$N225=1,$N225=2),2,IF(OR($N225=3,$N225=4,$N225=5),3,IF(OR($N225=6,$N225=7,$N225=8),4,"")))))</f>
        <v/>
      </c>
      <c r="P225" s="99"/>
      <c r="Q225" s="62"/>
      <c r="R225" s="62"/>
      <c r="S225" s="51"/>
      <c r="T225" s="51"/>
      <c r="U225" s="51"/>
      <c r="V225" s="51"/>
      <c r="W225" s="51"/>
      <c r="X225" s="51"/>
      <c r="Y225" s="51"/>
      <c r="Z225" s="51"/>
      <c r="AA225" s="51"/>
      <c r="AB225" s="51"/>
      <c r="AC225" s="51"/>
      <c r="AD225" s="51"/>
      <c r="AE225" s="51"/>
      <c r="AF225" s="51"/>
      <c r="AG225" s="51"/>
      <c r="AH225" s="94"/>
      <c r="AI225" s="94"/>
      <c r="AJ225" s="94"/>
      <c r="AK225" s="94"/>
      <c r="AL225" s="94"/>
      <c r="AM225" s="94"/>
      <c r="AN225" s="94"/>
      <c r="AO225" s="95"/>
      <c r="AP225" s="686">
        <f t="shared" si="29"/>
        <v>0</v>
      </c>
      <c r="AQ225" s="42"/>
      <c r="AR225" s="42"/>
      <c r="AS225" s="42"/>
      <c r="AT225" s="43"/>
      <c r="AU225" s="687">
        <f t="shared" si="30"/>
        <v>0</v>
      </c>
      <c r="AV225" s="42"/>
      <c r="AW225" s="42"/>
      <c r="AX225" s="42"/>
      <c r="AY225" s="43"/>
      <c r="AZ225" s="486"/>
      <c r="BA225" s="51"/>
      <c r="BB225" s="51"/>
      <c r="BC225" s="51"/>
      <c r="BD225" s="51"/>
      <c r="BE225" s="51"/>
      <c r="BF225" s="51"/>
      <c r="BG225" s="51"/>
      <c r="BH225" s="94"/>
      <c r="BI225" s="94"/>
      <c r="BJ225" s="94"/>
      <c r="BK225" s="94"/>
      <c r="BL225" s="94"/>
      <c r="BM225" s="483"/>
      <c r="BN225" s="94"/>
      <c r="BO225" s="94"/>
      <c r="BP225" s="94"/>
      <c r="BQ225" s="94"/>
      <c r="BR225" s="94"/>
      <c r="BS225" s="94"/>
      <c r="BT225" s="94"/>
      <c r="BU225" s="94"/>
      <c r="BV225" s="94"/>
      <c r="BW225" s="688">
        <f t="shared" si="26"/>
        <v>0</v>
      </c>
      <c r="BX225" s="51"/>
      <c r="BY225" s="51"/>
      <c r="BZ225" s="51"/>
      <c r="CA225" s="51"/>
      <c r="CB225" s="51"/>
      <c r="CC225" s="51"/>
      <c r="CD225" s="97"/>
      <c r="CE225" s="479"/>
      <c r="CF225" s="51"/>
      <c r="CG225" s="51"/>
      <c r="CH225" s="62"/>
      <c r="CI225" s="62"/>
      <c r="CJ225" s="51"/>
      <c r="CK225" s="51"/>
      <c r="CL225" s="95"/>
      <c r="CM225" s="93"/>
      <c r="CN225" s="51"/>
      <c r="CO225" s="51"/>
      <c r="CP225" s="51"/>
      <c r="CQ225" s="51"/>
      <c r="CR225" s="51"/>
      <c r="CS225" s="51"/>
      <c r="CT225" s="51"/>
      <c r="CU225" s="95"/>
      <c r="CV225" s="93"/>
      <c r="CW225" s="51"/>
      <c r="CX225" s="51"/>
      <c r="CY225" s="51"/>
      <c r="CZ225" s="51"/>
      <c r="DA225" s="51"/>
      <c r="DB225" s="51"/>
      <c r="DC225" s="51"/>
      <c r="DD225" s="95"/>
      <c r="DE225" s="93"/>
      <c r="DF225" s="51"/>
      <c r="DG225" s="51"/>
      <c r="DH225" s="51"/>
      <c r="DI225" s="51"/>
      <c r="DJ225" s="51"/>
      <c r="DK225" s="51"/>
      <c r="DL225" s="95"/>
      <c r="DM225" s="478"/>
      <c r="DN225" s="682">
        <f t="shared" si="31"/>
        <v>0</v>
      </c>
      <c r="DO225" s="683"/>
    </row>
    <row r="226" spans="1:119" ht="25.5" customHeight="1" thickTop="1" thickBot="1" x14ac:dyDescent="0.2">
      <c r="A226" s="676">
        <f t="shared" si="27"/>
        <v>211</v>
      </c>
      <c r="B226" s="1054"/>
      <c r="C226" s="1055"/>
      <c r="D226" s="83"/>
      <c r="E226" s="954"/>
      <c r="F226" s="52"/>
      <c r="G226" s="103"/>
      <c r="H226" s="1058"/>
      <c r="I226" s="684" t="str">
        <f t="shared" si="24"/>
        <v/>
      </c>
      <c r="J226" s="685">
        <f t="shared" si="25"/>
        <v>0</v>
      </c>
      <c r="K226" s="1258"/>
      <c r="L226" s="1251"/>
      <c r="M226" s="1257"/>
      <c r="N226" s="719" t="str">
        <f t="shared" si="28"/>
        <v/>
      </c>
      <c r="O226" s="720" t="str">
        <f>IF('Set up ~ Config'!$G$32=6,IF(OR($N226=7,$N226=8,$N226=9),1,IF(OR($N226=10,$N226=11,$N226=12),2,IF(OR($N226=1,$N226=2,$N226=3),3,IF(OR($N226=4,$N226=5,$N226=6),4,"")))),IF(OR($N226=9,$N226=10,$N226=11),1,IF(OR($N226=12,$N226=1,$N226=2),2,IF(OR($N226=3,$N226=4,$N226=5),3,IF(OR($N226=6,$N226=7,$N226=8),4,"")))))</f>
        <v/>
      </c>
      <c r="P226" s="99"/>
      <c r="Q226" s="62"/>
      <c r="R226" s="62"/>
      <c r="S226" s="51"/>
      <c r="T226" s="51"/>
      <c r="U226" s="51"/>
      <c r="V226" s="51"/>
      <c r="W226" s="51"/>
      <c r="X226" s="51"/>
      <c r="Y226" s="51"/>
      <c r="Z226" s="51"/>
      <c r="AA226" s="51"/>
      <c r="AB226" s="51"/>
      <c r="AC226" s="51"/>
      <c r="AD226" s="51"/>
      <c r="AE226" s="51"/>
      <c r="AF226" s="51"/>
      <c r="AG226" s="51"/>
      <c r="AH226" s="94"/>
      <c r="AI226" s="94"/>
      <c r="AJ226" s="94"/>
      <c r="AK226" s="94"/>
      <c r="AL226" s="94"/>
      <c r="AM226" s="94"/>
      <c r="AN226" s="94"/>
      <c r="AO226" s="95"/>
      <c r="AP226" s="686">
        <f t="shared" si="29"/>
        <v>0</v>
      </c>
      <c r="AQ226" s="42"/>
      <c r="AR226" s="42"/>
      <c r="AS226" s="42"/>
      <c r="AT226" s="43"/>
      <c r="AU226" s="687">
        <f t="shared" si="30"/>
        <v>0</v>
      </c>
      <c r="AV226" s="42"/>
      <c r="AW226" s="42"/>
      <c r="AX226" s="42"/>
      <c r="AY226" s="43"/>
      <c r="AZ226" s="486"/>
      <c r="BA226" s="51"/>
      <c r="BB226" s="51"/>
      <c r="BC226" s="51"/>
      <c r="BD226" s="51"/>
      <c r="BE226" s="51"/>
      <c r="BF226" s="51"/>
      <c r="BG226" s="51"/>
      <c r="BH226" s="94"/>
      <c r="BI226" s="94"/>
      <c r="BJ226" s="94"/>
      <c r="BK226" s="94"/>
      <c r="BL226" s="94"/>
      <c r="BM226" s="483"/>
      <c r="BN226" s="94"/>
      <c r="BO226" s="94"/>
      <c r="BP226" s="94"/>
      <c r="BQ226" s="94"/>
      <c r="BR226" s="94"/>
      <c r="BS226" s="94"/>
      <c r="BT226" s="94"/>
      <c r="BU226" s="94"/>
      <c r="BV226" s="94"/>
      <c r="BW226" s="688">
        <f t="shared" si="26"/>
        <v>0</v>
      </c>
      <c r="BX226" s="51"/>
      <c r="BY226" s="51"/>
      <c r="BZ226" s="51"/>
      <c r="CA226" s="51"/>
      <c r="CB226" s="51"/>
      <c r="CC226" s="51"/>
      <c r="CD226" s="97"/>
      <c r="CE226" s="479"/>
      <c r="CF226" s="51"/>
      <c r="CG226" s="51"/>
      <c r="CH226" s="62"/>
      <c r="CI226" s="62"/>
      <c r="CJ226" s="51"/>
      <c r="CK226" s="51"/>
      <c r="CL226" s="95"/>
      <c r="CM226" s="93"/>
      <c r="CN226" s="51"/>
      <c r="CO226" s="51"/>
      <c r="CP226" s="51"/>
      <c r="CQ226" s="51"/>
      <c r="CR226" s="51"/>
      <c r="CS226" s="51"/>
      <c r="CT226" s="51"/>
      <c r="CU226" s="95"/>
      <c r="CV226" s="93"/>
      <c r="CW226" s="51"/>
      <c r="CX226" s="51"/>
      <c r="CY226" s="51"/>
      <c r="CZ226" s="51"/>
      <c r="DA226" s="51"/>
      <c r="DB226" s="51"/>
      <c r="DC226" s="51"/>
      <c r="DD226" s="95"/>
      <c r="DE226" s="93"/>
      <c r="DF226" s="51"/>
      <c r="DG226" s="51"/>
      <c r="DH226" s="51"/>
      <c r="DI226" s="51"/>
      <c r="DJ226" s="51"/>
      <c r="DK226" s="51"/>
      <c r="DL226" s="95"/>
      <c r="DM226" s="478"/>
      <c r="DN226" s="682">
        <f t="shared" si="31"/>
        <v>0</v>
      </c>
      <c r="DO226" s="683"/>
    </row>
    <row r="227" spans="1:119" ht="25.5" customHeight="1" thickTop="1" thickBot="1" x14ac:dyDescent="0.2">
      <c r="A227" s="676">
        <f t="shared" si="27"/>
        <v>212</v>
      </c>
      <c r="B227" s="1054"/>
      <c r="C227" s="1055"/>
      <c r="D227" s="83"/>
      <c r="E227" s="954"/>
      <c r="F227" s="52"/>
      <c r="G227" s="103"/>
      <c r="H227" s="1058"/>
      <c r="I227" s="684" t="str">
        <f t="shared" si="24"/>
        <v/>
      </c>
      <c r="J227" s="685">
        <f t="shared" si="25"/>
        <v>0</v>
      </c>
      <c r="K227" s="1258"/>
      <c r="L227" s="1251"/>
      <c r="M227" s="1257"/>
      <c r="N227" s="719" t="str">
        <f t="shared" si="28"/>
        <v/>
      </c>
      <c r="O227" s="720" t="str">
        <f>IF('Set up ~ Config'!$G$32=6,IF(OR($N227=7,$N227=8,$N227=9),1,IF(OR($N227=10,$N227=11,$N227=12),2,IF(OR($N227=1,$N227=2,$N227=3),3,IF(OR($N227=4,$N227=5,$N227=6),4,"")))),IF(OR($N227=9,$N227=10,$N227=11),1,IF(OR($N227=12,$N227=1,$N227=2),2,IF(OR($N227=3,$N227=4,$N227=5),3,IF(OR($N227=6,$N227=7,$N227=8),4,"")))))</f>
        <v/>
      </c>
      <c r="P227" s="99"/>
      <c r="Q227" s="62"/>
      <c r="R227" s="62"/>
      <c r="S227" s="51"/>
      <c r="T227" s="51"/>
      <c r="U227" s="51"/>
      <c r="V227" s="51"/>
      <c r="W227" s="51"/>
      <c r="X227" s="51"/>
      <c r="Y227" s="51"/>
      <c r="Z227" s="51"/>
      <c r="AA227" s="51"/>
      <c r="AB227" s="51"/>
      <c r="AC227" s="51"/>
      <c r="AD227" s="51"/>
      <c r="AE227" s="51"/>
      <c r="AF227" s="51"/>
      <c r="AG227" s="51"/>
      <c r="AH227" s="94"/>
      <c r="AI227" s="94"/>
      <c r="AJ227" s="94"/>
      <c r="AK227" s="94"/>
      <c r="AL227" s="94"/>
      <c r="AM227" s="94"/>
      <c r="AN227" s="94"/>
      <c r="AO227" s="95"/>
      <c r="AP227" s="686">
        <f t="shared" si="29"/>
        <v>0</v>
      </c>
      <c r="AQ227" s="42"/>
      <c r="AR227" s="42"/>
      <c r="AS227" s="42"/>
      <c r="AT227" s="43"/>
      <c r="AU227" s="687">
        <f t="shared" si="30"/>
        <v>0</v>
      </c>
      <c r="AV227" s="42"/>
      <c r="AW227" s="42"/>
      <c r="AX227" s="42"/>
      <c r="AY227" s="43"/>
      <c r="AZ227" s="486"/>
      <c r="BA227" s="51"/>
      <c r="BB227" s="51"/>
      <c r="BC227" s="51"/>
      <c r="BD227" s="51"/>
      <c r="BE227" s="51"/>
      <c r="BF227" s="51"/>
      <c r="BG227" s="51"/>
      <c r="BH227" s="94"/>
      <c r="BI227" s="94"/>
      <c r="BJ227" s="94"/>
      <c r="BK227" s="94"/>
      <c r="BL227" s="94"/>
      <c r="BM227" s="483"/>
      <c r="BN227" s="94"/>
      <c r="BO227" s="94"/>
      <c r="BP227" s="94"/>
      <c r="BQ227" s="94"/>
      <c r="BR227" s="94"/>
      <c r="BS227" s="94"/>
      <c r="BT227" s="94"/>
      <c r="BU227" s="94"/>
      <c r="BV227" s="94"/>
      <c r="BW227" s="688">
        <f t="shared" si="26"/>
        <v>0</v>
      </c>
      <c r="BX227" s="51"/>
      <c r="BY227" s="51"/>
      <c r="BZ227" s="51"/>
      <c r="CA227" s="51"/>
      <c r="CB227" s="51"/>
      <c r="CC227" s="51"/>
      <c r="CD227" s="97"/>
      <c r="CE227" s="479"/>
      <c r="CF227" s="51"/>
      <c r="CG227" s="51"/>
      <c r="CH227" s="62"/>
      <c r="CI227" s="62"/>
      <c r="CJ227" s="51"/>
      <c r="CK227" s="51"/>
      <c r="CL227" s="95"/>
      <c r="CM227" s="93"/>
      <c r="CN227" s="51"/>
      <c r="CO227" s="51"/>
      <c r="CP227" s="51"/>
      <c r="CQ227" s="51"/>
      <c r="CR227" s="51"/>
      <c r="CS227" s="51"/>
      <c r="CT227" s="51"/>
      <c r="CU227" s="95"/>
      <c r="CV227" s="93"/>
      <c r="CW227" s="51"/>
      <c r="CX227" s="51"/>
      <c r="CY227" s="51"/>
      <c r="CZ227" s="51"/>
      <c r="DA227" s="51"/>
      <c r="DB227" s="51"/>
      <c r="DC227" s="51"/>
      <c r="DD227" s="95"/>
      <c r="DE227" s="93"/>
      <c r="DF227" s="51"/>
      <c r="DG227" s="51"/>
      <c r="DH227" s="51"/>
      <c r="DI227" s="51"/>
      <c r="DJ227" s="51"/>
      <c r="DK227" s="51"/>
      <c r="DL227" s="95"/>
      <c r="DM227" s="478"/>
      <c r="DN227" s="682">
        <f t="shared" si="31"/>
        <v>0</v>
      </c>
      <c r="DO227" s="683"/>
    </row>
    <row r="228" spans="1:119" ht="25.5" customHeight="1" thickTop="1" thickBot="1" x14ac:dyDescent="0.2">
      <c r="A228" s="676">
        <f t="shared" si="27"/>
        <v>213</v>
      </c>
      <c r="B228" s="1054"/>
      <c r="C228" s="1055"/>
      <c r="D228" s="83"/>
      <c r="E228" s="954"/>
      <c r="F228" s="52"/>
      <c r="G228" s="103"/>
      <c r="H228" s="1058"/>
      <c r="I228" s="684" t="str">
        <f t="shared" si="24"/>
        <v/>
      </c>
      <c r="J228" s="685">
        <f t="shared" si="25"/>
        <v>0</v>
      </c>
      <c r="K228" s="1258"/>
      <c r="L228" s="1251"/>
      <c r="M228" s="1257"/>
      <c r="N228" s="719" t="str">
        <f t="shared" si="28"/>
        <v/>
      </c>
      <c r="O228" s="720" t="str">
        <f>IF('Set up ~ Config'!$G$32=6,IF(OR($N228=7,$N228=8,$N228=9),1,IF(OR($N228=10,$N228=11,$N228=12),2,IF(OR($N228=1,$N228=2,$N228=3),3,IF(OR($N228=4,$N228=5,$N228=6),4,"")))),IF(OR($N228=9,$N228=10,$N228=11),1,IF(OR($N228=12,$N228=1,$N228=2),2,IF(OR($N228=3,$N228=4,$N228=5),3,IF(OR($N228=6,$N228=7,$N228=8),4,"")))))</f>
        <v/>
      </c>
      <c r="P228" s="99"/>
      <c r="Q228" s="62"/>
      <c r="R228" s="62"/>
      <c r="S228" s="51"/>
      <c r="T228" s="51"/>
      <c r="U228" s="51"/>
      <c r="V228" s="51"/>
      <c r="W228" s="51"/>
      <c r="X228" s="51"/>
      <c r="Y228" s="51"/>
      <c r="Z228" s="51"/>
      <c r="AA228" s="51"/>
      <c r="AB228" s="51"/>
      <c r="AC228" s="51"/>
      <c r="AD228" s="51"/>
      <c r="AE228" s="51"/>
      <c r="AF228" s="51"/>
      <c r="AG228" s="51"/>
      <c r="AH228" s="94"/>
      <c r="AI228" s="94"/>
      <c r="AJ228" s="94"/>
      <c r="AK228" s="94"/>
      <c r="AL228" s="94"/>
      <c r="AM228" s="94"/>
      <c r="AN228" s="94"/>
      <c r="AO228" s="95"/>
      <c r="AP228" s="686">
        <f t="shared" si="29"/>
        <v>0</v>
      </c>
      <c r="AQ228" s="42"/>
      <c r="AR228" s="42"/>
      <c r="AS228" s="42"/>
      <c r="AT228" s="43"/>
      <c r="AU228" s="687">
        <f t="shared" si="30"/>
        <v>0</v>
      </c>
      <c r="AV228" s="42"/>
      <c r="AW228" s="42"/>
      <c r="AX228" s="42"/>
      <c r="AY228" s="43"/>
      <c r="AZ228" s="486"/>
      <c r="BA228" s="51"/>
      <c r="BB228" s="51"/>
      <c r="BC228" s="51"/>
      <c r="BD228" s="51"/>
      <c r="BE228" s="51"/>
      <c r="BF228" s="51"/>
      <c r="BG228" s="51"/>
      <c r="BH228" s="94"/>
      <c r="BI228" s="94"/>
      <c r="BJ228" s="94"/>
      <c r="BK228" s="94"/>
      <c r="BL228" s="94"/>
      <c r="BM228" s="483"/>
      <c r="BN228" s="94"/>
      <c r="BO228" s="94"/>
      <c r="BP228" s="94"/>
      <c r="BQ228" s="94"/>
      <c r="BR228" s="94"/>
      <c r="BS228" s="94"/>
      <c r="BT228" s="94"/>
      <c r="BU228" s="94"/>
      <c r="BV228" s="94"/>
      <c r="BW228" s="688">
        <f t="shared" si="26"/>
        <v>0</v>
      </c>
      <c r="BX228" s="51"/>
      <c r="BY228" s="51"/>
      <c r="BZ228" s="51"/>
      <c r="CA228" s="51"/>
      <c r="CB228" s="51"/>
      <c r="CC228" s="51"/>
      <c r="CD228" s="97"/>
      <c r="CE228" s="479"/>
      <c r="CF228" s="51"/>
      <c r="CG228" s="51"/>
      <c r="CH228" s="62"/>
      <c r="CI228" s="62"/>
      <c r="CJ228" s="51"/>
      <c r="CK228" s="51"/>
      <c r="CL228" s="95"/>
      <c r="CM228" s="93"/>
      <c r="CN228" s="51"/>
      <c r="CO228" s="51"/>
      <c r="CP228" s="51"/>
      <c r="CQ228" s="51"/>
      <c r="CR228" s="51"/>
      <c r="CS228" s="51"/>
      <c r="CT228" s="51"/>
      <c r="CU228" s="95"/>
      <c r="CV228" s="93"/>
      <c r="CW228" s="51"/>
      <c r="CX228" s="51"/>
      <c r="CY228" s="51"/>
      <c r="CZ228" s="51"/>
      <c r="DA228" s="51"/>
      <c r="DB228" s="51"/>
      <c r="DC228" s="51"/>
      <c r="DD228" s="95"/>
      <c r="DE228" s="93"/>
      <c r="DF228" s="51"/>
      <c r="DG228" s="51"/>
      <c r="DH228" s="51"/>
      <c r="DI228" s="51"/>
      <c r="DJ228" s="51"/>
      <c r="DK228" s="51"/>
      <c r="DL228" s="95"/>
      <c r="DM228" s="478"/>
      <c r="DN228" s="682">
        <f t="shared" si="31"/>
        <v>0</v>
      </c>
      <c r="DO228" s="683"/>
    </row>
    <row r="229" spans="1:119" ht="25.5" customHeight="1" thickTop="1" thickBot="1" x14ac:dyDescent="0.2">
      <c r="A229" s="676">
        <f t="shared" si="27"/>
        <v>214</v>
      </c>
      <c r="B229" s="1054"/>
      <c r="C229" s="1055"/>
      <c r="D229" s="83"/>
      <c r="E229" s="954"/>
      <c r="F229" s="52"/>
      <c r="G229" s="103"/>
      <c r="H229" s="1058"/>
      <c r="I229" s="684" t="str">
        <f t="shared" si="24"/>
        <v/>
      </c>
      <c r="J229" s="685">
        <f t="shared" si="25"/>
        <v>0</v>
      </c>
      <c r="K229" s="1258"/>
      <c r="L229" s="1251"/>
      <c r="M229" s="1257"/>
      <c r="N229" s="719" t="str">
        <f t="shared" si="28"/>
        <v/>
      </c>
      <c r="O229" s="720" t="str">
        <f>IF('Set up ~ Config'!$G$32=6,IF(OR($N229=7,$N229=8,$N229=9),1,IF(OR($N229=10,$N229=11,$N229=12),2,IF(OR($N229=1,$N229=2,$N229=3),3,IF(OR($N229=4,$N229=5,$N229=6),4,"")))),IF(OR($N229=9,$N229=10,$N229=11),1,IF(OR($N229=12,$N229=1,$N229=2),2,IF(OR($N229=3,$N229=4,$N229=5),3,IF(OR($N229=6,$N229=7,$N229=8),4,"")))))</f>
        <v/>
      </c>
      <c r="P229" s="99"/>
      <c r="Q229" s="62"/>
      <c r="R229" s="62"/>
      <c r="S229" s="51"/>
      <c r="T229" s="51"/>
      <c r="U229" s="51"/>
      <c r="V229" s="51"/>
      <c r="W229" s="51"/>
      <c r="X229" s="51"/>
      <c r="Y229" s="51"/>
      <c r="Z229" s="51"/>
      <c r="AA229" s="51"/>
      <c r="AB229" s="51"/>
      <c r="AC229" s="51"/>
      <c r="AD229" s="51"/>
      <c r="AE229" s="51"/>
      <c r="AF229" s="51"/>
      <c r="AG229" s="51"/>
      <c r="AH229" s="94"/>
      <c r="AI229" s="94"/>
      <c r="AJ229" s="94"/>
      <c r="AK229" s="94"/>
      <c r="AL229" s="94"/>
      <c r="AM229" s="94"/>
      <c r="AN229" s="94"/>
      <c r="AO229" s="95"/>
      <c r="AP229" s="686">
        <f t="shared" si="29"/>
        <v>0</v>
      </c>
      <c r="AQ229" s="42"/>
      <c r="AR229" s="42"/>
      <c r="AS229" s="42"/>
      <c r="AT229" s="43"/>
      <c r="AU229" s="687">
        <f t="shared" si="30"/>
        <v>0</v>
      </c>
      <c r="AV229" s="42"/>
      <c r="AW229" s="42"/>
      <c r="AX229" s="42"/>
      <c r="AY229" s="43"/>
      <c r="AZ229" s="486"/>
      <c r="BA229" s="51"/>
      <c r="BB229" s="51"/>
      <c r="BC229" s="51"/>
      <c r="BD229" s="51"/>
      <c r="BE229" s="51"/>
      <c r="BF229" s="51"/>
      <c r="BG229" s="51"/>
      <c r="BH229" s="94"/>
      <c r="BI229" s="94"/>
      <c r="BJ229" s="94"/>
      <c r="BK229" s="94"/>
      <c r="BL229" s="94"/>
      <c r="BM229" s="483"/>
      <c r="BN229" s="94"/>
      <c r="BO229" s="94"/>
      <c r="BP229" s="94"/>
      <c r="BQ229" s="94"/>
      <c r="BR229" s="94"/>
      <c r="BS229" s="94"/>
      <c r="BT229" s="94"/>
      <c r="BU229" s="94"/>
      <c r="BV229" s="94"/>
      <c r="BW229" s="688">
        <f t="shared" si="26"/>
        <v>0</v>
      </c>
      <c r="BX229" s="51"/>
      <c r="BY229" s="51"/>
      <c r="BZ229" s="51"/>
      <c r="CA229" s="51"/>
      <c r="CB229" s="51"/>
      <c r="CC229" s="51"/>
      <c r="CD229" s="97"/>
      <c r="CE229" s="479"/>
      <c r="CF229" s="51"/>
      <c r="CG229" s="51"/>
      <c r="CH229" s="62"/>
      <c r="CI229" s="62"/>
      <c r="CJ229" s="51"/>
      <c r="CK229" s="51"/>
      <c r="CL229" s="95"/>
      <c r="CM229" s="93"/>
      <c r="CN229" s="51"/>
      <c r="CO229" s="51"/>
      <c r="CP229" s="51"/>
      <c r="CQ229" s="51"/>
      <c r="CR229" s="51"/>
      <c r="CS229" s="51"/>
      <c r="CT229" s="51"/>
      <c r="CU229" s="95"/>
      <c r="CV229" s="93"/>
      <c r="CW229" s="51"/>
      <c r="CX229" s="51"/>
      <c r="CY229" s="51"/>
      <c r="CZ229" s="51"/>
      <c r="DA229" s="51"/>
      <c r="DB229" s="51"/>
      <c r="DC229" s="51"/>
      <c r="DD229" s="95"/>
      <c r="DE229" s="93"/>
      <c r="DF229" s="51"/>
      <c r="DG229" s="51"/>
      <c r="DH229" s="51"/>
      <c r="DI229" s="51"/>
      <c r="DJ229" s="51"/>
      <c r="DK229" s="51"/>
      <c r="DL229" s="95"/>
      <c r="DM229" s="478"/>
      <c r="DN229" s="682">
        <f t="shared" si="31"/>
        <v>0</v>
      </c>
      <c r="DO229" s="683"/>
    </row>
    <row r="230" spans="1:119" ht="25.5" customHeight="1" thickTop="1" thickBot="1" x14ac:dyDescent="0.2">
      <c r="A230" s="676">
        <f t="shared" si="27"/>
        <v>215</v>
      </c>
      <c r="B230" s="1054"/>
      <c r="C230" s="1055"/>
      <c r="D230" s="83"/>
      <c r="E230" s="954"/>
      <c r="F230" s="52"/>
      <c r="G230" s="103"/>
      <c r="H230" s="1058"/>
      <c r="I230" s="684" t="str">
        <f t="shared" si="24"/>
        <v/>
      </c>
      <c r="J230" s="685">
        <f t="shared" si="25"/>
        <v>0</v>
      </c>
      <c r="K230" s="1258"/>
      <c r="L230" s="1251"/>
      <c r="M230" s="1257"/>
      <c r="N230" s="719" t="str">
        <f t="shared" si="28"/>
        <v/>
      </c>
      <c r="O230" s="720" t="str">
        <f>IF('Set up ~ Config'!$G$32=6,IF(OR($N230=7,$N230=8,$N230=9),1,IF(OR($N230=10,$N230=11,$N230=12),2,IF(OR($N230=1,$N230=2,$N230=3),3,IF(OR($N230=4,$N230=5,$N230=6),4,"")))),IF(OR($N230=9,$N230=10,$N230=11),1,IF(OR($N230=12,$N230=1,$N230=2),2,IF(OR($N230=3,$N230=4,$N230=5),3,IF(OR($N230=6,$N230=7,$N230=8),4,"")))))</f>
        <v/>
      </c>
      <c r="P230" s="99"/>
      <c r="Q230" s="62"/>
      <c r="R230" s="62"/>
      <c r="S230" s="51"/>
      <c r="T230" s="51"/>
      <c r="U230" s="51"/>
      <c r="V230" s="51"/>
      <c r="W230" s="51"/>
      <c r="X230" s="51"/>
      <c r="Y230" s="51"/>
      <c r="Z230" s="51"/>
      <c r="AA230" s="51"/>
      <c r="AB230" s="51"/>
      <c r="AC230" s="51"/>
      <c r="AD230" s="51"/>
      <c r="AE230" s="51"/>
      <c r="AF230" s="51"/>
      <c r="AG230" s="51"/>
      <c r="AH230" s="94"/>
      <c r="AI230" s="94"/>
      <c r="AJ230" s="94"/>
      <c r="AK230" s="94"/>
      <c r="AL230" s="94"/>
      <c r="AM230" s="94"/>
      <c r="AN230" s="94"/>
      <c r="AO230" s="95"/>
      <c r="AP230" s="686">
        <f t="shared" si="29"/>
        <v>0</v>
      </c>
      <c r="AQ230" s="42"/>
      <c r="AR230" s="42"/>
      <c r="AS230" s="42"/>
      <c r="AT230" s="43"/>
      <c r="AU230" s="687">
        <f t="shared" si="30"/>
        <v>0</v>
      </c>
      <c r="AV230" s="42"/>
      <c r="AW230" s="42"/>
      <c r="AX230" s="42"/>
      <c r="AY230" s="43"/>
      <c r="AZ230" s="486"/>
      <c r="BA230" s="51"/>
      <c r="BB230" s="51"/>
      <c r="BC230" s="51"/>
      <c r="BD230" s="51"/>
      <c r="BE230" s="51"/>
      <c r="BF230" s="51"/>
      <c r="BG230" s="51"/>
      <c r="BH230" s="94"/>
      <c r="BI230" s="94"/>
      <c r="BJ230" s="94"/>
      <c r="BK230" s="94"/>
      <c r="BL230" s="94"/>
      <c r="BM230" s="483"/>
      <c r="BN230" s="94"/>
      <c r="BO230" s="94"/>
      <c r="BP230" s="94"/>
      <c r="BQ230" s="94"/>
      <c r="BR230" s="94"/>
      <c r="BS230" s="94"/>
      <c r="BT230" s="94"/>
      <c r="BU230" s="94"/>
      <c r="BV230" s="94"/>
      <c r="BW230" s="688">
        <f t="shared" si="26"/>
        <v>0</v>
      </c>
      <c r="BX230" s="51"/>
      <c r="BY230" s="51"/>
      <c r="BZ230" s="51"/>
      <c r="CA230" s="51"/>
      <c r="CB230" s="51"/>
      <c r="CC230" s="51"/>
      <c r="CD230" s="97"/>
      <c r="CE230" s="479"/>
      <c r="CF230" s="51"/>
      <c r="CG230" s="51"/>
      <c r="CH230" s="62"/>
      <c r="CI230" s="62"/>
      <c r="CJ230" s="51"/>
      <c r="CK230" s="51"/>
      <c r="CL230" s="95"/>
      <c r="CM230" s="93"/>
      <c r="CN230" s="51"/>
      <c r="CO230" s="51"/>
      <c r="CP230" s="51"/>
      <c r="CQ230" s="51"/>
      <c r="CR230" s="51"/>
      <c r="CS230" s="51"/>
      <c r="CT230" s="51"/>
      <c r="CU230" s="95"/>
      <c r="CV230" s="93"/>
      <c r="CW230" s="51"/>
      <c r="CX230" s="51"/>
      <c r="CY230" s="51"/>
      <c r="CZ230" s="51"/>
      <c r="DA230" s="51"/>
      <c r="DB230" s="51"/>
      <c r="DC230" s="51"/>
      <c r="DD230" s="95"/>
      <c r="DE230" s="93"/>
      <c r="DF230" s="51"/>
      <c r="DG230" s="51"/>
      <c r="DH230" s="51"/>
      <c r="DI230" s="51"/>
      <c r="DJ230" s="51"/>
      <c r="DK230" s="51"/>
      <c r="DL230" s="95"/>
      <c r="DM230" s="478"/>
      <c r="DN230" s="682">
        <f t="shared" si="31"/>
        <v>0</v>
      </c>
      <c r="DO230" s="683"/>
    </row>
    <row r="231" spans="1:119" ht="25.5" customHeight="1" thickTop="1" thickBot="1" x14ac:dyDescent="0.2">
      <c r="A231" s="676">
        <f t="shared" si="27"/>
        <v>216</v>
      </c>
      <c r="B231" s="1054"/>
      <c r="C231" s="1055"/>
      <c r="D231" s="83"/>
      <c r="E231" s="954"/>
      <c r="F231" s="52"/>
      <c r="G231" s="103"/>
      <c r="H231" s="1058"/>
      <c r="I231" s="684" t="str">
        <f t="shared" si="24"/>
        <v/>
      </c>
      <c r="J231" s="685">
        <f t="shared" si="25"/>
        <v>0</v>
      </c>
      <c r="K231" s="1258"/>
      <c r="L231" s="1251"/>
      <c r="M231" s="1257"/>
      <c r="N231" s="719" t="str">
        <f t="shared" si="28"/>
        <v/>
      </c>
      <c r="O231" s="720" t="str">
        <f>IF('Set up ~ Config'!$G$32=6,IF(OR($N231=7,$N231=8,$N231=9),1,IF(OR($N231=10,$N231=11,$N231=12),2,IF(OR($N231=1,$N231=2,$N231=3),3,IF(OR($N231=4,$N231=5,$N231=6),4,"")))),IF(OR($N231=9,$N231=10,$N231=11),1,IF(OR($N231=12,$N231=1,$N231=2),2,IF(OR($N231=3,$N231=4,$N231=5),3,IF(OR($N231=6,$N231=7,$N231=8),4,"")))))</f>
        <v/>
      </c>
      <c r="P231" s="99"/>
      <c r="Q231" s="62"/>
      <c r="R231" s="62"/>
      <c r="S231" s="51"/>
      <c r="T231" s="51"/>
      <c r="U231" s="51"/>
      <c r="V231" s="51"/>
      <c r="W231" s="51"/>
      <c r="X231" s="51"/>
      <c r="Y231" s="51"/>
      <c r="Z231" s="51"/>
      <c r="AA231" s="51"/>
      <c r="AB231" s="51"/>
      <c r="AC231" s="51"/>
      <c r="AD231" s="51"/>
      <c r="AE231" s="51"/>
      <c r="AF231" s="51"/>
      <c r="AG231" s="51"/>
      <c r="AH231" s="94"/>
      <c r="AI231" s="94"/>
      <c r="AJ231" s="94"/>
      <c r="AK231" s="94"/>
      <c r="AL231" s="94"/>
      <c r="AM231" s="94"/>
      <c r="AN231" s="94"/>
      <c r="AO231" s="95"/>
      <c r="AP231" s="686">
        <f t="shared" si="29"/>
        <v>0</v>
      </c>
      <c r="AQ231" s="42"/>
      <c r="AR231" s="42"/>
      <c r="AS231" s="42"/>
      <c r="AT231" s="43"/>
      <c r="AU231" s="687">
        <f t="shared" si="30"/>
        <v>0</v>
      </c>
      <c r="AV231" s="42"/>
      <c r="AW231" s="42"/>
      <c r="AX231" s="42"/>
      <c r="AY231" s="43"/>
      <c r="AZ231" s="486"/>
      <c r="BA231" s="51"/>
      <c r="BB231" s="51"/>
      <c r="BC231" s="51"/>
      <c r="BD231" s="51"/>
      <c r="BE231" s="51"/>
      <c r="BF231" s="51"/>
      <c r="BG231" s="51"/>
      <c r="BH231" s="94"/>
      <c r="BI231" s="94"/>
      <c r="BJ231" s="94"/>
      <c r="BK231" s="94"/>
      <c r="BL231" s="94"/>
      <c r="BM231" s="483"/>
      <c r="BN231" s="94"/>
      <c r="BO231" s="94"/>
      <c r="BP231" s="94"/>
      <c r="BQ231" s="94"/>
      <c r="BR231" s="94"/>
      <c r="BS231" s="94"/>
      <c r="BT231" s="94"/>
      <c r="BU231" s="94"/>
      <c r="BV231" s="94"/>
      <c r="BW231" s="688">
        <f t="shared" si="26"/>
        <v>0</v>
      </c>
      <c r="BX231" s="51"/>
      <c r="BY231" s="51"/>
      <c r="BZ231" s="51"/>
      <c r="CA231" s="51"/>
      <c r="CB231" s="51"/>
      <c r="CC231" s="51"/>
      <c r="CD231" s="97"/>
      <c r="CE231" s="479"/>
      <c r="CF231" s="51"/>
      <c r="CG231" s="51"/>
      <c r="CH231" s="62"/>
      <c r="CI231" s="62"/>
      <c r="CJ231" s="51"/>
      <c r="CK231" s="51"/>
      <c r="CL231" s="95"/>
      <c r="CM231" s="93"/>
      <c r="CN231" s="51"/>
      <c r="CO231" s="51"/>
      <c r="CP231" s="51"/>
      <c r="CQ231" s="51"/>
      <c r="CR231" s="51"/>
      <c r="CS231" s="51"/>
      <c r="CT231" s="51"/>
      <c r="CU231" s="95"/>
      <c r="CV231" s="93"/>
      <c r="CW231" s="51"/>
      <c r="CX231" s="51"/>
      <c r="CY231" s="51"/>
      <c r="CZ231" s="51"/>
      <c r="DA231" s="51"/>
      <c r="DB231" s="51"/>
      <c r="DC231" s="51"/>
      <c r="DD231" s="95"/>
      <c r="DE231" s="93"/>
      <c r="DF231" s="51"/>
      <c r="DG231" s="51"/>
      <c r="DH231" s="51"/>
      <c r="DI231" s="51"/>
      <c r="DJ231" s="51"/>
      <c r="DK231" s="51"/>
      <c r="DL231" s="95"/>
      <c r="DM231" s="478"/>
      <c r="DN231" s="682">
        <f t="shared" si="31"/>
        <v>0</v>
      </c>
      <c r="DO231" s="683"/>
    </row>
    <row r="232" spans="1:119" ht="25.5" customHeight="1" thickTop="1" thickBot="1" x14ac:dyDescent="0.2">
      <c r="A232" s="676">
        <f t="shared" si="27"/>
        <v>217</v>
      </c>
      <c r="B232" s="1054"/>
      <c r="C232" s="1055"/>
      <c r="D232" s="83"/>
      <c r="E232" s="954"/>
      <c r="F232" s="52"/>
      <c r="G232" s="103"/>
      <c r="H232" s="1058"/>
      <c r="I232" s="684" t="str">
        <f t="shared" si="24"/>
        <v/>
      </c>
      <c r="J232" s="685">
        <f t="shared" si="25"/>
        <v>0</v>
      </c>
      <c r="K232" s="1258"/>
      <c r="L232" s="1251"/>
      <c r="M232" s="1257"/>
      <c r="N232" s="719" t="str">
        <f t="shared" si="28"/>
        <v/>
      </c>
      <c r="O232" s="720" t="str">
        <f>IF('Set up ~ Config'!$G$32=6,IF(OR($N232=7,$N232=8,$N232=9),1,IF(OR($N232=10,$N232=11,$N232=12),2,IF(OR($N232=1,$N232=2,$N232=3),3,IF(OR($N232=4,$N232=5,$N232=6),4,"")))),IF(OR($N232=9,$N232=10,$N232=11),1,IF(OR($N232=12,$N232=1,$N232=2),2,IF(OR($N232=3,$N232=4,$N232=5),3,IF(OR($N232=6,$N232=7,$N232=8),4,"")))))</f>
        <v/>
      </c>
      <c r="P232" s="99"/>
      <c r="Q232" s="62"/>
      <c r="R232" s="62"/>
      <c r="S232" s="51"/>
      <c r="T232" s="51"/>
      <c r="U232" s="51"/>
      <c r="V232" s="51"/>
      <c r="W232" s="51"/>
      <c r="X232" s="51"/>
      <c r="Y232" s="51"/>
      <c r="Z232" s="51"/>
      <c r="AA232" s="51"/>
      <c r="AB232" s="51"/>
      <c r="AC232" s="51"/>
      <c r="AD232" s="51"/>
      <c r="AE232" s="51"/>
      <c r="AF232" s="51"/>
      <c r="AG232" s="51"/>
      <c r="AH232" s="94"/>
      <c r="AI232" s="94"/>
      <c r="AJ232" s="94"/>
      <c r="AK232" s="94"/>
      <c r="AL232" s="94"/>
      <c r="AM232" s="94"/>
      <c r="AN232" s="94"/>
      <c r="AO232" s="95"/>
      <c r="AP232" s="686">
        <f t="shared" si="29"/>
        <v>0</v>
      </c>
      <c r="AQ232" s="42"/>
      <c r="AR232" s="42"/>
      <c r="AS232" s="42"/>
      <c r="AT232" s="43"/>
      <c r="AU232" s="687">
        <f t="shared" si="30"/>
        <v>0</v>
      </c>
      <c r="AV232" s="42"/>
      <c r="AW232" s="42"/>
      <c r="AX232" s="42"/>
      <c r="AY232" s="43"/>
      <c r="AZ232" s="486"/>
      <c r="BA232" s="51"/>
      <c r="BB232" s="51"/>
      <c r="BC232" s="51"/>
      <c r="BD232" s="51"/>
      <c r="BE232" s="51"/>
      <c r="BF232" s="51"/>
      <c r="BG232" s="51"/>
      <c r="BH232" s="94"/>
      <c r="BI232" s="94"/>
      <c r="BJ232" s="94"/>
      <c r="BK232" s="94"/>
      <c r="BL232" s="94"/>
      <c r="BM232" s="483"/>
      <c r="BN232" s="94"/>
      <c r="BO232" s="94"/>
      <c r="BP232" s="94"/>
      <c r="BQ232" s="94"/>
      <c r="BR232" s="94"/>
      <c r="BS232" s="94"/>
      <c r="BT232" s="94"/>
      <c r="BU232" s="94"/>
      <c r="BV232" s="94"/>
      <c r="BW232" s="688">
        <f t="shared" si="26"/>
        <v>0</v>
      </c>
      <c r="BX232" s="51"/>
      <c r="BY232" s="51"/>
      <c r="BZ232" s="51"/>
      <c r="CA232" s="51"/>
      <c r="CB232" s="51"/>
      <c r="CC232" s="51"/>
      <c r="CD232" s="97"/>
      <c r="CE232" s="479"/>
      <c r="CF232" s="51"/>
      <c r="CG232" s="51"/>
      <c r="CH232" s="62"/>
      <c r="CI232" s="62"/>
      <c r="CJ232" s="51"/>
      <c r="CK232" s="51"/>
      <c r="CL232" s="95"/>
      <c r="CM232" s="93"/>
      <c r="CN232" s="51"/>
      <c r="CO232" s="51"/>
      <c r="CP232" s="51"/>
      <c r="CQ232" s="51"/>
      <c r="CR232" s="51"/>
      <c r="CS232" s="51"/>
      <c r="CT232" s="51"/>
      <c r="CU232" s="95"/>
      <c r="CV232" s="93"/>
      <c r="CW232" s="51"/>
      <c r="CX232" s="51"/>
      <c r="CY232" s="51"/>
      <c r="CZ232" s="51"/>
      <c r="DA232" s="51"/>
      <c r="DB232" s="51"/>
      <c r="DC232" s="51"/>
      <c r="DD232" s="95"/>
      <c r="DE232" s="93"/>
      <c r="DF232" s="51"/>
      <c r="DG232" s="51"/>
      <c r="DH232" s="51"/>
      <c r="DI232" s="51"/>
      <c r="DJ232" s="51"/>
      <c r="DK232" s="51"/>
      <c r="DL232" s="95"/>
      <c r="DM232" s="478"/>
      <c r="DN232" s="682">
        <f t="shared" si="31"/>
        <v>0</v>
      </c>
      <c r="DO232" s="683"/>
    </row>
    <row r="233" spans="1:119" ht="25.5" customHeight="1" thickTop="1" thickBot="1" x14ac:dyDescent="0.2">
      <c r="A233" s="676">
        <f t="shared" si="27"/>
        <v>218</v>
      </c>
      <c r="B233" s="1054"/>
      <c r="C233" s="1055"/>
      <c r="D233" s="83"/>
      <c r="E233" s="954"/>
      <c r="F233" s="52"/>
      <c r="G233" s="103"/>
      <c r="H233" s="1058"/>
      <c r="I233" s="684" t="str">
        <f t="shared" si="24"/>
        <v/>
      </c>
      <c r="J233" s="685">
        <f t="shared" si="25"/>
        <v>0</v>
      </c>
      <c r="K233" s="1258"/>
      <c r="L233" s="1251"/>
      <c r="M233" s="1257"/>
      <c r="N233" s="719" t="str">
        <f t="shared" si="28"/>
        <v/>
      </c>
      <c r="O233" s="720" t="str">
        <f>IF('Set up ~ Config'!$G$32=6,IF(OR($N233=7,$N233=8,$N233=9),1,IF(OR($N233=10,$N233=11,$N233=12),2,IF(OR($N233=1,$N233=2,$N233=3),3,IF(OR($N233=4,$N233=5,$N233=6),4,"")))),IF(OR($N233=9,$N233=10,$N233=11),1,IF(OR($N233=12,$N233=1,$N233=2),2,IF(OR($N233=3,$N233=4,$N233=5),3,IF(OR($N233=6,$N233=7,$N233=8),4,"")))))</f>
        <v/>
      </c>
      <c r="P233" s="99"/>
      <c r="Q233" s="62"/>
      <c r="R233" s="62"/>
      <c r="S233" s="51"/>
      <c r="T233" s="51"/>
      <c r="U233" s="51"/>
      <c r="V233" s="51"/>
      <c r="W233" s="51"/>
      <c r="X233" s="51"/>
      <c r="Y233" s="51"/>
      <c r="Z233" s="51"/>
      <c r="AA233" s="51"/>
      <c r="AB233" s="51"/>
      <c r="AC233" s="51"/>
      <c r="AD233" s="51"/>
      <c r="AE233" s="51"/>
      <c r="AF233" s="51"/>
      <c r="AG233" s="51"/>
      <c r="AH233" s="94"/>
      <c r="AI233" s="94"/>
      <c r="AJ233" s="94"/>
      <c r="AK233" s="94"/>
      <c r="AL233" s="94"/>
      <c r="AM233" s="94"/>
      <c r="AN233" s="94"/>
      <c r="AO233" s="95"/>
      <c r="AP233" s="686">
        <f t="shared" si="29"/>
        <v>0</v>
      </c>
      <c r="AQ233" s="42"/>
      <c r="AR233" s="42"/>
      <c r="AS233" s="42"/>
      <c r="AT233" s="43"/>
      <c r="AU233" s="687">
        <f t="shared" si="30"/>
        <v>0</v>
      </c>
      <c r="AV233" s="42"/>
      <c r="AW233" s="42"/>
      <c r="AX233" s="42"/>
      <c r="AY233" s="43"/>
      <c r="AZ233" s="486"/>
      <c r="BA233" s="51"/>
      <c r="BB233" s="51"/>
      <c r="BC233" s="51"/>
      <c r="BD233" s="51"/>
      <c r="BE233" s="51"/>
      <c r="BF233" s="51"/>
      <c r="BG233" s="51"/>
      <c r="BH233" s="94"/>
      <c r="BI233" s="94"/>
      <c r="BJ233" s="94"/>
      <c r="BK233" s="94"/>
      <c r="BL233" s="94"/>
      <c r="BM233" s="483"/>
      <c r="BN233" s="94"/>
      <c r="BO233" s="94"/>
      <c r="BP233" s="94"/>
      <c r="BQ233" s="94"/>
      <c r="BR233" s="94"/>
      <c r="BS233" s="94"/>
      <c r="BT233" s="94"/>
      <c r="BU233" s="94"/>
      <c r="BV233" s="94"/>
      <c r="BW233" s="688">
        <f t="shared" si="26"/>
        <v>0</v>
      </c>
      <c r="BX233" s="51"/>
      <c r="BY233" s="51"/>
      <c r="BZ233" s="51"/>
      <c r="CA233" s="51"/>
      <c r="CB233" s="51"/>
      <c r="CC233" s="51"/>
      <c r="CD233" s="97"/>
      <c r="CE233" s="479"/>
      <c r="CF233" s="51"/>
      <c r="CG233" s="51"/>
      <c r="CH233" s="62"/>
      <c r="CI233" s="62"/>
      <c r="CJ233" s="51"/>
      <c r="CK233" s="51"/>
      <c r="CL233" s="95"/>
      <c r="CM233" s="93"/>
      <c r="CN233" s="51"/>
      <c r="CO233" s="51"/>
      <c r="CP233" s="51"/>
      <c r="CQ233" s="51"/>
      <c r="CR233" s="51"/>
      <c r="CS233" s="51"/>
      <c r="CT233" s="51"/>
      <c r="CU233" s="95"/>
      <c r="CV233" s="93"/>
      <c r="CW233" s="51"/>
      <c r="CX233" s="51"/>
      <c r="CY233" s="51"/>
      <c r="CZ233" s="51"/>
      <c r="DA233" s="51"/>
      <c r="DB233" s="51"/>
      <c r="DC233" s="51"/>
      <c r="DD233" s="95"/>
      <c r="DE233" s="93"/>
      <c r="DF233" s="51"/>
      <c r="DG233" s="51"/>
      <c r="DH233" s="51"/>
      <c r="DI233" s="51"/>
      <c r="DJ233" s="51"/>
      <c r="DK233" s="51"/>
      <c r="DL233" s="95"/>
      <c r="DM233" s="478"/>
      <c r="DN233" s="682">
        <f t="shared" si="31"/>
        <v>0</v>
      </c>
      <c r="DO233" s="683"/>
    </row>
    <row r="234" spans="1:119" ht="25.5" customHeight="1" thickTop="1" thickBot="1" x14ac:dyDescent="0.2">
      <c r="A234" s="676">
        <f t="shared" si="27"/>
        <v>219</v>
      </c>
      <c r="B234" s="1054"/>
      <c r="C234" s="1055"/>
      <c r="D234" s="83"/>
      <c r="E234" s="954"/>
      <c r="F234" s="52"/>
      <c r="G234" s="103"/>
      <c r="H234" s="1058"/>
      <c r="I234" s="684" t="str">
        <f t="shared" si="24"/>
        <v/>
      </c>
      <c r="J234" s="685">
        <f t="shared" si="25"/>
        <v>0</v>
      </c>
      <c r="K234" s="1258"/>
      <c r="L234" s="1251"/>
      <c r="M234" s="1257"/>
      <c r="N234" s="719" t="str">
        <f t="shared" si="28"/>
        <v/>
      </c>
      <c r="O234" s="720" t="str">
        <f>IF('Set up ~ Config'!$G$32=6,IF(OR($N234=7,$N234=8,$N234=9),1,IF(OR($N234=10,$N234=11,$N234=12),2,IF(OR($N234=1,$N234=2,$N234=3),3,IF(OR($N234=4,$N234=5,$N234=6),4,"")))),IF(OR($N234=9,$N234=10,$N234=11),1,IF(OR($N234=12,$N234=1,$N234=2),2,IF(OR($N234=3,$N234=4,$N234=5),3,IF(OR($N234=6,$N234=7,$N234=8),4,"")))))</f>
        <v/>
      </c>
      <c r="P234" s="99"/>
      <c r="Q234" s="62"/>
      <c r="R234" s="62"/>
      <c r="S234" s="51"/>
      <c r="T234" s="51"/>
      <c r="U234" s="51"/>
      <c r="V234" s="51"/>
      <c r="W234" s="51"/>
      <c r="X234" s="51"/>
      <c r="Y234" s="51"/>
      <c r="Z234" s="51"/>
      <c r="AA234" s="51"/>
      <c r="AB234" s="51"/>
      <c r="AC234" s="51"/>
      <c r="AD234" s="51"/>
      <c r="AE234" s="51"/>
      <c r="AF234" s="51"/>
      <c r="AG234" s="51"/>
      <c r="AH234" s="94"/>
      <c r="AI234" s="94"/>
      <c r="AJ234" s="94"/>
      <c r="AK234" s="94"/>
      <c r="AL234" s="94"/>
      <c r="AM234" s="94"/>
      <c r="AN234" s="94"/>
      <c r="AO234" s="95"/>
      <c r="AP234" s="686">
        <f t="shared" si="29"/>
        <v>0</v>
      </c>
      <c r="AQ234" s="42"/>
      <c r="AR234" s="42"/>
      <c r="AS234" s="42"/>
      <c r="AT234" s="43"/>
      <c r="AU234" s="687">
        <f t="shared" si="30"/>
        <v>0</v>
      </c>
      <c r="AV234" s="42"/>
      <c r="AW234" s="42"/>
      <c r="AX234" s="42"/>
      <c r="AY234" s="43"/>
      <c r="AZ234" s="486"/>
      <c r="BA234" s="51"/>
      <c r="BB234" s="51"/>
      <c r="BC234" s="51"/>
      <c r="BD234" s="51"/>
      <c r="BE234" s="51"/>
      <c r="BF234" s="51"/>
      <c r="BG234" s="51"/>
      <c r="BH234" s="94"/>
      <c r="BI234" s="94"/>
      <c r="BJ234" s="94"/>
      <c r="BK234" s="94"/>
      <c r="BL234" s="94"/>
      <c r="BM234" s="483"/>
      <c r="BN234" s="94"/>
      <c r="BO234" s="94"/>
      <c r="BP234" s="94"/>
      <c r="BQ234" s="94"/>
      <c r="BR234" s="94"/>
      <c r="BS234" s="94"/>
      <c r="BT234" s="94"/>
      <c r="BU234" s="94"/>
      <c r="BV234" s="94"/>
      <c r="BW234" s="688">
        <f t="shared" si="26"/>
        <v>0</v>
      </c>
      <c r="BX234" s="51"/>
      <c r="BY234" s="51"/>
      <c r="BZ234" s="51"/>
      <c r="CA234" s="51"/>
      <c r="CB234" s="51"/>
      <c r="CC234" s="51"/>
      <c r="CD234" s="97"/>
      <c r="CE234" s="479"/>
      <c r="CF234" s="51"/>
      <c r="CG234" s="51"/>
      <c r="CH234" s="62"/>
      <c r="CI234" s="62"/>
      <c r="CJ234" s="51"/>
      <c r="CK234" s="51"/>
      <c r="CL234" s="95"/>
      <c r="CM234" s="93"/>
      <c r="CN234" s="51"/>
      <c r="CO234" s="51"/>
      <c r="CP234" s="51"/>
      <c r="CQ234" s="51"/>
      <c r="CR234" s="51"/>
      <c r="CS234" s="51"/>
      <c r="CT234" s="51"/>
      <c r="CU234" s="95"/>
      <c r="CV234" s="93"/>
      <c r="CW234" s="51"/>
      <c r="CX234" s="51"/>
      <c r="CY234" s="51"/>
      <c r="CZ234" s="51"/>
      <c r="DA234" s="51"/>
      <c r="DB234" s="51"/>
      <c r="DC234" s="51"/>
      <c r="DD234" s="95"/>
      <c r="DE234" s="93"/>
      <c r="DF234" s="51"/>
      <c r="DG234" s="51"/>
      <c r="DH234" s="51"/>
      <c r="DI234" s="51"/>
      <c r="DJ234" s="51"/>
      <c r="DK234" s="51"/>
      <c r="DL234" s="95"/>
      <c r="DM234" s="478"/>
      <c r="DN234" s="682">
        <f t="shared" si="31"/>
        <v>0</v>
      </c>
      <c r="DO234" s="683"/>
    </row>
    <row r="235" spans="1:119" ht="25.5" customHeight="1" thickTop="1" thickBot="1" x14ac:dyDescent="0.2">
      <c r="A235" s="676">
        <f t="shared" si="27"/>
        <v>220</v>
      </c>
      <c r="B235" s="1054"/>
      <c r="C235" s="1055"/>
      <c r="D235" s="83"/>
      <c r="E235" s="954"/>
      <c r="F235" s="52"/>
      <c r="G235" s="103"/>
      <c r="H235" s="1058"/>
      <c r="I235" s="684" t="str">
        <f t="shared" si="24"/>
        <v/>
      </c>
      <c r="J235" s="685">
        <f t="shared" si="25"/>
        <v>0</v>
      </c>
      <c r="K235" s="1258"/>
      <c r="L235" s="1251"/>
      <c r="M235" s="1257"/>
      <c r="N235" s="719" t="str">
        <f t="shared" si="28"/>
        <v/>
      </c>
      <c r="O235" s="720" t="str">
        <f>IF('Set up ~ Config'!$G$32=6,IF(OR($N235=7,$N235=8,$N235=9),1,IF(OR($N235=10,$N235=11,$N235=12),2,IF(OR($N235=1,$N235=2,$N235=3),3,IF(OR($N235=4,$N235=5,$N235=6),4,"")))),IF(OR($N235=9,$N235=10,$N235=11),1,IF(OR($N235=12,$N235=1,$N235=2),2,IF(OR($N235=3,$N235=4,$N235=5),3,IF(OR($N235=6,$N235=7,$N235=8),4,"")))))</f>
        <v/>
      </c>
      <c r="P235" s="99"/>
      <c r="Q235" s="62"/>
      <c r="R235" s="62"/>
      <c r="S235" s="51"/>
      <c r="T235" s="51"/>
      <c r="U235" s="51"/>
      <c r="V235" s="51"/>
      <c r="W235" s="51"/>
      <c r="X235" s="51"/>
      <c r="Y235" s="51"/>
      <c r="Z235" s="51"/>
      <c r="AA235" s="51"/>
      <c r="AB235" s="51"/>
      <c r="AC235" s="51"/>
      <c r="AD235" s="51"/>
      <c r="AE235" s="51"/>
      <c r="AF235" s="51"/>
      <c r="AG235" s="51"/>
      <c r="AH235" s="94"/>
      <c r="AI235" s="94"/>
      <c r="AJ235" s="94"/>
      <c r="AK235" s="94"/>
      <c r="AL235" s="94"/>
      <c r="AM235" s="94"/>
      <c r="AN235" s="94"/>
      <c r="AO235" s="95"/>
      <c r="AP235" s="686">
        <f t="shared" si="29"/>
        <v>0</v>
      </c>
      <c r="AQ235" s="42"/>
      <c r="AR235" s="42"/>
      <c r="AS235" s="42"/>
      <c r="AT235" s="43"/>
      <c r="AU235" s="687">
        <f t="shared" si="30"/>
        <v>0</v>
      </c>
      <c r="AV235" s="42"/>
      <c r="AW235" s="42"/>
      <c r="AX235" s="42"/>
      <c r="AY235" s="43"/>
      <c r="AZ235" s="486"/>
      <c r="BA235" s="51"/>
      <c r="BB235" s="51"/>
      <c r="BC235" s="51"/>
      <c r="BD235" s="51"/>
      <c r="BE235" s="51"/>
      <c r="BF235" s="51"/>
      <c r="BG235" s="51"/>
      <c r="BH235" s="94"/>
      <c r="BI235" s="94"/>
      <c r="BJ235" s="94"/>
      <c r="BK235" s="94"/>
      <c r="BL235" s="94"/>
      <c r="BM235" s="483"/>
      <c r="BN235" s="94"/>
      <c r="BO235" s="94"/>
      <c r="BP235" s="94"/>
      <c r="BQ235" s="94"/>
      <c r="BR235" s="94"/>
      <c r="BS235" s="94"/>
      <c r="BT235" s="94"/>
      <c r="BU235" s="94"/>
      <c r="BV235" s="94"/>
      <c r="BW235" s="688">
        <f t="shared" si="26"/>
        <v>0</v>
      </c>
      <c r="BX235" s="51"/>
      <c r="BY235" s="51"/>
      <c r="BZ235" s="51"/>
      <c r="CA235" s="51"/>
      <c r="CB235" s="51"/>
      <c r="CC235" s="51"/>
      <c r="CD235" s="97"/>
      <c r="CE235" s="479"/>
      <c r="CF235" s="51"/>
      <c r="CG235" s="51"/>
      <c r="CH235" s="62"/>
      <c r="CI235" s="62"/>
      <c r="CJ235" s="51"/>
      <c r="CK235" s="51"/>
      <c r="CL235" s="95"/>
      <c r="CM235" s="93"/>
      <c r="CN235" s="51"/>
      <c r="CO235" s="51"/>
      <c r="CP235" s="51"/>
      <c r="CQ235" s="51"/>
      <c r="CR235" s="51"/>
      <c r="CS235" s="51"/>
      <c r="CT235" s="51"/>
      <c r="CU235" s="95"/>
      <c r="CV235" s="93"/>
      <c r="CW235" s="51"/>
      <c r="CX235" s="51"/>
      <c r="CY235" s="51"/>
      <c r="CZ235" s="51"/>
      <c r="DA235" s="51"/>
      <c r="DB235" s="51"/>
      <c r="DC235" s="51"/>
      <c r="DD235" s="95"/>
      <c r="DE235" s="93"/>
      <c r="DF235" s="51"/>
      <c r="DG235" s="51"/>
      <c r="DH235" s="51"/>
      <c r="DI235" s="51"/>
      <c r="DJ235" s="51"/>
      <c r="DK235" s="51"/>
      <c r="DL235" s="95"/>
      <c r="DM235" s="478"/>
      <c r="DN235" s="682">
        <f t="shared" si="31"/>
        <v>0</v>
      </c>
      <c r="DO235" s="683"/>
    </row>
    <row r="236" spans="1:119" ht="25.5" customHeight="1" thickTop="1" thickBot="1" x14ac:dyDescent="0.2">
      <c r="A236" s="676">
        <f t="shared" si="27"/>
        <v>221</v>
      </c>
      <c r="B236" s="1054"/>
      <c r="C236" s="1055"/>
      <c r="D236" s="83"/>
      <c r="E236" s="954"/>
      <c r="F236" s="52"/>
      <c r="G236" s="103"/>
      <c r="H236" s="1058"/>
      <c r="I236" s="684" t="str">
        <f t="shared" si="24"/>
        <v/>
      </c>
      <c r="J236" s="685">
        <f t="shared" si="25"/>
        <v>0</v>
      </c>
      <c r="K236" s="1258"/>
      <c r="L236" s="1251"/>
      <c r="M236" s="1257"/>
      <c r="N236" s="719" t="str">
        <f t="shared" si="28"/>
        <v/>
      </c>
      <c r="O236" s="720" t="str">
        <f>IF('Set up ~ Config'!$G$32=6,IF(OR($N236=7,$N236=8,$N236=9),1,IF(OR($N236=10,$N236=11,$N236=12),2,IF(OR($N236=1,$N236=2,$N236=3),3,IF(OR($N236=4,$N236=5,$N236=6),4,"")))),IF(OR($N236=9,$N236=10,$N236=11),1,IF(OR($N236=12,$N236=1,$N236=2),2,IF(OR($N236=3,$N236=4,$N236=5),3,IF(OR($N236=6,$N236=7,$N236=8),4,"")))))</f>
        <v/>
      </c>
      <c r="P236" s="99"/>
      <c r="Q236" s="62"/>
      <c r="R236" s="62"/>
      <c r="S236" s="51"/>
      <c r="T236" s="51"/>
      <c r="U236" s="51"/>
      <c r="V236" s="51"/>
      <c r="W236" s="51"/>
      <c r="X236" s="51"/>
      <c r="Y236" s="51"/>
      <c r="Z236" s="51"/>
      <c r="AA236" s="51"/>
      <c r="AB236" s="51"/>
      <c r="AC236" s="51"/>
      <c r="AD236" s="51"/>
      <c r="AE236" s="51"/>
      <c r="AF236" s="51"/>
      <c r="AG236" s="51"/>
      <c r="AH236" s="94"/>
      <c r="AI236" s="94"/>
      <c r="AJ236" s="94"/>
      <c r="AK236" s="94"/>
      <c r="AL236" s="94"/>
      <c r="AM236" s="94"/>
      <c r="AN236" s="94"/>
      <c r="AO236" s="95"/>
      <c r="AP236" s="686">
        <f t="shared" si="29"/>
        <v>0</v>
      </c>
      <c r="AQ236" s="42"/>
      <c r="AR236" s="42"/>
      <c r="AS236" s="42"/>
      <c r="AT236" s="43"/>
      <c r="AU236" s="687">
        <f t="shared" si="30"/>
        <v>0</v>
      </c>
      <c r="AV236" s="42"/>
      <c r="AW236" s="42"/>
      <c r="AX236" s="42"/>
      <c r="AY236" s="43"/>
      <c r="AZ236" s="486"/>
      <c r="BA236" s="51"/>
      <c r="BB236" s="51"/>
      <c r="BC236" s="51"/>
      <c r="BD236" s="51"/>
      <c r="BE236" s="51"/>
      <c r="BF236" s="51"/>
      <c r="BG236" s="51"/>
      <c r="BH236" s="94"/>
      <c r="BI236" s="94"/>
      <c r="BJ236" s="94"/>
      <c r="BK236" s="94"/>
      <c r="BL236" s="94"/>
      <c r="BM236" s="483"/>
      <c r="BN236" s="94"/>
      <c r="BO236" s="94"/>
      <c r="BP236" s="94"/>
      <c r="BQ236" s="94"/>
      <c r="BR236" s="94"/>
      <c r="BS236" s="94"/>
      <c r="BT236" s="94"/>
      <c r="BU236" s="94"/>
      <c r="BV236" s="94"/>
      <c r="BW236" s="688">
        <f t="shared" si="26"/>
        <v>0</v>
      </c>
      <c r="BX236" s="51"/>
      <c r="BY236" s="51"/>
      <c r="BZ236" s="51"/>
      <c r="CA236" s="51"/>
      <c r="CB236" s="51"/>
      <c r="CC236" s="51"/>
      <c r="CD236" s="97"/>
      <c r="CE236" s="479"/>
      <c r="CF236" s="51"/>
      <c r="CG236" s="51"/>
      <c r="CH236" s="62"/>
      <c r="CI236" s="62"/>
      <c r="CJ236" s="51"/>
      <c r="CK236" s="51"/>
      <c r="CL236" s="95"/>
      <c r="CM236" s="93"/>
      <c r="CN236" s="51"/>
      <c r="CO236" s="51"/>
      <c r="CP236" s="51"/>
      <c r="CQ236" s="51"/>
      <c r="CR236" s="51"/>
      <c r="CS236" s="51"/>
      <c r="CT236" s="51"/>
      <c r="CU236" s="95"/>
      <c r="CV236" s="93"/>
      <c r="CW236" s="51"/>
      <c r="CX236" s="51"/>
      <c r="CY236" s="51"/>
      <c r="CZ236" s="51"/>
      <c r="DA236" s="51"/>
      <c r="DB236" s="51"/>
      <c r="DC236" s="51"/>
      <c r="DD236" s="95"/>
      <c r="DE236" s="93"/>
      <c r="DF236" s="51"/>
      <c r="DG236" s="51"/>
      <c r="DH236" s="51"/>
      <c r="DI236" s="51"/>
      <c r="DJ236" s="51"/>
      <c r="DK236" s="51"/>
      <c r="DL236" s="95"/>
      <c r="DM236" s="478"/>
      <c r="DN236" s="682">
        <f t="shared" si="31"/>
        <v>0</v>
      </c>
      <c r="DO236" s="683"/>
    </row>
    <row r="237" spans="1:119" ht="25.5" customHeight="1" thickTop="1" thickBot="1" x14ac:dyDescent="0.2">
      <c r="A237" s="676">
        <f t="shared" si="27"/>
        <v>222</v>
      </c>
      <c r="B237" s="1054"/>
      <c r="C237" s="1055"/>
      <c r="D237" s="83"/>
      <c r="E237" s="954"/>
      <c r="F237" s="52"/>
      <c r="G237" s="103"/>
      <c r="H237" s="1058"/>
      <c r="I237" s="684" t="str">
        <f t="shared" si="24"/>
        <v/>
      </c>
      <c r="J237" s="685">
        <f t="shared" si="25"/>
        <v>0</v>
      </c>
      <c r="K237" s="1258"/>
      <c r="L237" s="1251"/>
      <c r="M237" s="1257"/>
      <c r="N237" s="719" t="str">
        <f t="shared" si="28"/>
        <v/>
      </c>
      <c r="O237" s="720" t="str">
        <f>IF('Set up ~ Config'!$G$32=6,IF(OR($N237=7,$N237=8,$N237=9),1,IF(OR($N237=10,$N237=11,$N237=12),2,IF(OR($N237=1,$N237=2,$N237=3),3,IF(OR($N237=4,$N237=5,$N237=6),4,"")))),IF(OR($N237=9,$N237=10,$N237=11),1,IF(OR($N237=12,$N237=1,$N237=2),2,IF(OR($N237=3,$N237=4,$N237=5),3,IF(OR($N237=6,$N237=7,$N237=8),4,"")))))</f>
        <v/>
      </c>
      <c r="P237" s="99"/>
      <c r="Q237" s="62"/>
      <c r="R237" s="62"/>
      <c r="S237" s="51"/>
      <c r="T237" s="51"/>
      <c r="U237" s="51"/>
      <c r="V237" s="51"/>
      <c r="W237" s="51"/>
      <c r="X237" s="51"/>
      <c r="Y237" s="51"/>
      <c r="Z237" s="51"/>
      <c r="AA237" s="51"/>
      <c r="AB237" s="51"/>
      <c r="AC237" s="51"/>
      <c r="AD237" s="51"/>
      <c r="AE237" s="51"/>
      <c r="AF237" s="51"/>
      <c r="AG237" s="51"/>
      <c r="AH237" s="94"/>
      <c r="AI237" s="94"/>
      <c r="AJ237" s="94"/>
      <c r="AK237" s="94"/>
      <c r="AL237" s="94"/>
      <c r="AM237" s="94"/>
      <c r="AN237" s="94"/>
      <c r="AO237" s="95"/>
      <c r="AP237" s="686">
        <f t="shared" si="29"/>
        <v>0</v>
      </c>
      <c r="AQ237" s="42"/>
      <c r="AR237" s="42"/>
      <c r="AS237" s="42"/>
      <c r="AT237" s="43"/>
      <c r="AU237" s="687">
        <f t="shared" si="30"/>
        <v>0</v>
      </c>
      <c r="AV237" s="42"/>
      <c r="AW237" s="42"/>
      <c r="AX237" s="42"/>
      <c r="AY237" s="43"/>
      <c r="AZ237" s="486"/>
      <c r="BA237" s="51"/>
      <c r="BB237" s="51"/>
      <c r="BC237" s="51"/>
      <c r="BD237" s="51"/>
      <c r="BE237" s="51"/>
      <c r="BF237" s="51"/>
      <c r="BG237" s="51"/>
      <c r="BH237" s="94"/>
      <c r="BI237" s="94"/>
      <c r="BJ237" s="94"/>
      <c r="BK237" s="94"/>
      <c r="BL237" s="94"/>
      <c r="BM237" s="483"/>
      <c r="BN237" s="94"/>
      <c r="BO237" s="94"/>
      <c r="BP237" s="94"/>
      <c r="BQ237" s="94"/>
      <c r="BR237" s="94"/>
      <c r="BS237" s="94"/>
      <c r="BT237" s="94"/>
      <c r="BU237" s="94"/>
      <c r="BV237" s="94"/>
      <c r="BW237" s="688">
        <f t="shared" si="26"/>
        <v>0</v>
      </c>
      <c r="BX237" s="51"/>
      <c r="BY237" s="51"/>
      <c r="BZ237" s="51"/>
      <c r="CA237" s="51"/>
      <c r="CB237" s="51"/>
      <c r="CC237" s="51"/>
      <c r="CD237" s="97"/>
      <c r="CE237" s="479"/>
      <c r="CF237" s="51"/>
      <c r="CG237" s="51"/>
      <c r="CH237" s="62"/>
      <c r="CI237" s="62"/>
      <c r="CJ237" s="51"/>
      <c r="CK237" s="51"/>
      <c r="CL237" s="95"/>
      <c r="CM237" s="93"/>
      <c r="CN237" s="51"/>
      <c r="CO237" s="51"/>
      <c r="CP237" s="51"/>
      <c r="CQ237" s="51"/>
      <c r="CR237" s="51"/>
      <c r="CS237" s="51"/>
      <c r="CT237" s="51"/>
      <c r="CU237" s="95"/>
      <c r="CV237" s="93"/>
      <c r="CW237" s="51"/>
      <c r="CX237" s="51"/>
      <c r="CY237" s="51"/>
      <c r="CZ237" s="51"/>
      <c r="DA237" s="51"/>
      <c r="DB237" s="51"/>
      <c r="DC237" s="51"/>
      <c r="DD237" s="95"/>
      <c r="DE237" s="93"/>
      <c r="DF237" s="51"/>
      <c r="DG237" s="51"/>
      <c r="DH237" s="51"/>
      <c r="DI237" s="51"/>
      <c r="DJ237" s="51"/>
      <c r="DK237" s="51"/>
      <c r="DL237" s="95"/>
      <c r="DM237" s="478"/>
      <c r="DN237" s="682">
        <f t="shared" si="31"/>
        <v>0</v>
      </c>
      <c r="DO237" s="683"/>
    </row>
    <row r="238" spans="1:119" ht="25.5" customHeight="1" thickTop="1" thickBot="1" x14ac:dyDescent="0.2">
      <c r="A238" s="676">
        <f t="shared" si="27"/>
        <v>223</v>
      </c>
      <c r="B238" s="1054"/>
      <c r="C238" s="1055"/>
      <c r="D238" s="83"/>
      <c r="E238" s="954"/>
      <c r="F238" s="52"/>
      <c r="G238" s="103"/>
      <c r="H238" s="1058"/>
      <c r="I238" s="684" t="str">
        <f t="shared" si="24"/>
        <v/>
      </c>
      <c r="J238" s="685">
        <f t="shared" si="25"/>
        <v>0</v>
      </c>
      <c r="K238" s="1258"/>
      <c r="L238" s="1251"/>
      <c r="M238" s="1257"/>
      <c r="N238" s="719" t="str">
        <f t="shared" si="28"/>
        <v/>
      </c>
      <c r="O238" s="720" t="str">
        <f>IF('Set up ~ Config'!$G$32=6,IF(OR($N238=7,$N238=8,$N238=9),1,IF(OR($N238=10,$N238=11,$N238=12),2,IF(OR($N238=1,$N238=2,$N238=3),3,IF(OR($N238=4,$N238=5,$N238=6),4,"")))),IF(OR($N238=9,$N238=10,$N238=11),1,IF(OR($N238=12,$N238=1,$N238=2),2,IF(OR($N238=3,$N238=4,$N238=5),3,IF(OR($N238=6,$N238=7,$N238=8),4,"")))))</f>
        <v/>
      </c>
      <c r="P238" s="99"/>
      <c r="Q238" s="62"/>
      <c r="R238" s="62"/>
      <c r="S238" s="51"/>
      <c r="T238" s="51"/>
      <c r="U238" s="51"/>
      <c r="V238" s="51"/>
      <c r="W238" s="51"/>
      <c r="X238" s="51"/>
      <c r="Y238" s="51"/>
      <c r="Z238" s="51"/>
      <c r="AA238" s="51"/>
      <c r="AB238" s="51"/>
      <c r="AC238" s="51"/>
      <c r="AD238" s="51"/>
      <c r="AE238" s="51"/>
      <c r="AF238" s="51"/>
      <c r="AG238" s="51"/>
      <c r="AH238" s="94"/>
      <c r="AI238" s="94"/>
      <c r="AJ238" s="94"/>
      <c r="AK238" s="94"/>
      <c r="AL238" s="94"/>
      <c r="AM238" s="94"/>
      <c r="AN238" s="94"/>
      <c r="AO238" s="95"/>
      <c r="AP238" s="686">
        <f t="shared" si="29"/>
        <v>0</v>
      </c>
      <c r="AQ238" s="42"/>
      <c r="AR238" s="42"/>
      <c r="AS238" s="42"/>
      <c r="AT238" s="43"/>
      <c r="AU238" s="687">
        <f t="shared" si="30"/>
        <v>0</v>
      </c>
      <c r="AV238" s="42"/>
      <c r="AW238" s="42"/>
      <c r="AX238" s="42"/>
      <c r="AY238" s="43"/>
      <c r="AZ238" s="486"/>
      <c r="BA238" s="51"/>
      <c r="BB238" s="51"/>
      <c r="BC238" s="51"/>
      <c r="BD238" s="51"/>
      <c r="BE238" s="51"/>
      <c r="BF238" s="51"/>
      <c r="BG238" s="51"/>
      <c r="BH238" s="94"/>
      <c r="BI238" s="94"/>
      <c r="BJ238" s="94"/>
      <c r="BK238" s="94"/>
      <c r="BL238" s="94"/>
      <c r="BM238" s="483"/>
      <c r="BN238" s="94"/>
      <c r="BO238" s="94"/>
      <c r="BP238" s="94"/>
      <c r="BQ238" s="94"/>
      <c r="BR238" s="94"/>
      <c r="BS238" s="94"/>
      <c r="BT238" s="94"/>
      <c r="BU238" s="94"/>
      <c r="BV238" s="94"/>
      <c r="BW238" s="688">
        <f t="shared" si="26"/>
        <v>0</v>
      </c>
      <c r="BX238" s="51"/>
      <c r="BY238" s="51"/>
      <c r="BZ238" s="51"/>
      <c r="CA238" s="51"/>
      <c r="CB238" s="51"/>
      <c r="CC238" s="51"/>
      <c r="CD238" s="97"/>
      <c r="CE238" s="479"/>
      <c r="CF238" s="51"/>
      <c r="CG238" s="51"/>
      <c r="CH238" s="62"/>
      <c r="CI238" s="62"/>
      <c r="CJ238" s="51"/>
      <c r="CK238" s="51"/>
      <c r="CL238" s="95"/>
      <c r="CM238" s="93"/>
      <c r="CN238" s="51"/>
      <c r="CO238" s="51"/>
      <c r="CP238" s="51"/>
      <c r="CQ238" s="51"/>
      <c r="CR238" s="51"/>
      <c r="CS238" s="51"/>
      <c r="CT238" s="51"/>
      <c r="CU238" s="95"/>
      <c r="CV238" s="93"/>
      <c r="CW238" s="51"/>
      <c r="CX238" s="51"/>
      <c r="CY238" s="51"/>
      <c r="CZ238" s="51"/>
      <c r="DA238" s="51"/>
      <c r="DB238" s="51"/>
      <c r="DC238" s="51"/>
      <c r="DD238" s="95"/>
      <c r="DE238" s="93"/>
      <c r="DF238" s="51"/>
      <c r="DG238" s="51"/>
      <c r="DH238" s="51"/>
      <c r="DI238" s="51"/>
      <c r="DJ238" s="51"/>
      <c r="DK238" s="51"/>
      <c r="DL238" s="95"/>
      <c r="DM238" s="478"/>
      <c r="DN238" s="682">
        <f t="shared" si="31"/>
        <v>0</v>
      </c>
      <c r="DO238" s="683"/>
    </row>
    <row r="239" spans="1:119" ht="25.5" customHeight="1" thickTop="1" thickBot="1" x14ac:dyDescent="0.2">
      <c r="A239" s="676">
        <f t="shared" si="27"/>
        <v>224</v>
      </c>
      <c r="B239" s="1054"/>
      <c r="C239" s="1055"/>
      <c r="D239" s="83"/>
      <c r="E239" s="954"/>
      <c r="F239" s="52"/>
      <c r="G239" s="103"/>
      <c r="H239" s="1058"/>
      <c r="I239" s="684" t="str">
        <f t="shared" si="24"/>
        <v/>
      </c>
      <c r="J239" s="685">
        <f t="shared" si="25"/>
        <v>0</v>
      </c>
      <c r="K239" s="1258"/>
      <c r="L239" s="1251"/>
      <c r="M239" s="1257"/>
      <c r="N239" s="719" t="str">
        <f t="shared" si="28"/>
        <v/>
      </c>
      <c r="O239" s="720" t="str">
        <f>IF('Set up ~ Config'!$G$32=6,IF(OR($N239=7,$N239=8,$N239=9),1,IF(OR($N239=10,$N239=11,$N239=12),2,IF(OR($N239=1,$N239=2,$N239=3),3,IF(OR($N239=4,$N239=5,$N239=6),4,"")))),IF(OR($N239=9,$N239=10,$N239=11),1,IF(OR($N239=12,$N239=1,$N239=2),2,IF(OR($N239=3,$N239=4,$N239=5),3,IF(OR($N239=6,$N239=7,$N239=8),4,"")))))</f>
        <v/>
      </c>
      <c r="P239" s="99"/>
      <c r="Q239" s="62"/>
      <c r="R239" s="62"/>
      <c r="S239" s="51"/>
      <c r="T239" s="51"/>
      <c r="U239" s="51"/>
      <c r="V239" s="51"/>
      <c r="W239" s="51"/>
      <c r="X239" s="51"/>
      <c r="Y239" s="51"/>
      <c r="Z239" s="51"/>
      <c r="AA239" s="51"/>
      <c r="AB239" s="51"/>
      <c r="AC239" s="51"/>
      <c r="AD239" s="51"/>
      <c r="AE239" s="51"/>
      <c r="AF239" s="51"/>
      <c r="AG239" s="51"/>
      <c r="AH239" s="94"/>
      <c r="AI239" s="94"/>
      <c r="AJ239" s="94"/>
      <c r="AK239" s="94"/>
      <c r="AL239" s="94"/>
      <c r="AM239" s="94"/>
      <c r="AN239" s="94"/>
      <c r="AO239" s="95"/>
      <c r="AP239" s="686">
        <f t="shared" si="29"/>
        <v>0</v>
      </c>
      <c r="AQ239" s="42"/>
      <c r="AR239" s="42"/>
      <c r="AS239" s="42"/>
      <c r="AT239" s="43"/>
      <c r="AU239" s="687">
        <f t="shared" si="30"/>
        <v>0</v>
      </c>
      <c r="AV239" s="42"/>
      <c r="AW239" s="42"/>
      <c r="AX239" s="42"/>
      <c r="AY239" s="43"/>
      <c r="AZ239" s="486"/>
      <c r="BA239" s="51"/>
      <c r="BB239" s="51"/>
      <c r="BC239" s="51"/>
      <c r="BD239" s="51"/>
      <c r="BE239" s="51"/>
      <c r="BF239" s="51"/>
      <c r="BG239" s="51"/>
      <c r="BH239" s="94"/>
      <c r="BI239" s="94"/>
      <c r="BJ239" s="94"/>
      <c r="BK239" s="94"/>
      <c r="BL239" s="94"/>
      <c r="BM239" s="483"/>
      <c r="BN239" s="94"/>
      <c r="BO239" s="94"/>
      <c r="BP239" s="94"/>
      <c r="BQ239" s="94"/>
      <c r="BR239" s="94"/>
      <c r="BS239" s="94"/>
      <c r="BT239" s="94"/>
      <c r="BU239" s="94"/>
      <c r="BV239" s="94"/>
      <c r="BW239" s="688">
        <f t="shared" si="26"/>
        <v>0</v>
      </c>
      <c r="BX239" s="51"/>
      <c r="BY239" s="51"/>
      <c r="BZ239" s="51"/>
      <c r="CA239" s="51"/>
      <c r="CB239" s="51"/>
      <c r="CC239" s="51"/>
      <c r="CD239" s="97"/>
      <c r="CE239" s="479"/>
      <c r="CF239" s="51"/>
      <c r="CG239" s="51"/>
      <c r="CH239" s="62"/>
      <c r="CI239" s="62"/>
      <c r="CJ239" s="51"/>
      <c r="CK239" s="51"/>
      <c r="CL239" s="95"/>
      <c r="CM239" s="93"/>
      <c r="CN239" s="51"/>
      <c r="CO239" s="51"/>
      <c r="CP239" s="51"/>
      <c r="CQ239" s="51"/>
      <c r="CR239" s="51"/>
      <c r="CS239" s="51"/>
      <c r="CT239" s="51"/>
      <c r="CU239" s="95"/>
      <c r="CV239" s="93"/>
      <c r="CW239" s="51"/>
      <c r="CX239" s="51"/>
      <c r="CY239" s="51"/>
      <c r="CZ239" s="51"/>
      <c r="DA239" s="51"/>
      <c r="DB239" s="51"/>
      <c r="DC239" s="51"/>
      <c r="DD239" s="95"/>
      <c r="DE239" s="93"/>
      <c r="DF239" s="51"/>
      <c r="DG239" s="51"/>
      <c r="DH239" s="51"/>
      <c r="DI239" s="51"/>
      <c r="DJ239" s="51"/>
      <c r="DK239" s="51"/>
      <c r="DL239" s="95"/>
      <c r="DM239" s="478"/>
      <c r="DN239" s="682">
        <f t="shared" si="31"/>
        <v>0</v>
      </c>
      <c r="DO239" s="683"/>
    </row>
    <row r="240" spans="1:119" ht="25.5" customHeight="1" thickTop="1" thickBot="1" x14ac:dyDescent="0.2">
      <c r="A240" s="676">
        <f t="shared" si="27"/>
        <v>225</v>
      </c>
      <c r="B240" s="1054"/>
      <c r="C240" s="1055"/>
      <c r="D240" s="83"/>
      <c r="E240" s="954"/>
      <c r="F240" s="52"/>
      <c r="G240" s="103"/>
      <c r="H240" s="1058"/>
      <c r="I240" s="684" t="str">
        <f t="shared" si="24"/>
        <v/>
      </c>
      <c r="J240" s="685">
        <f t="shared" si="25"/>
        <v>0</v>
      </c>
      <c r="K240" s="1258"/>
      <c r="L240" s="1251"/>
      <c r="M240" s="1257"/>
      <c r="N240" s="719" t="str">
        <f t="shared" si="28"/>
        <v/>
      </c>
      <c r="O240" s="720" t="str">
        <f>IF('Set up ~ Config'!$G$32=6,IF(OR($N240=7,$N240=8,$N240=9),1,IF(OR($N240=10,$N240=11,$N240=12),2,IF(OR($N240=1,$N240=2,$N240=3),3,IF(OR($N240=4,$N240=5,$N240=6),4,"")))),IF(OR($N240=9,$N240=10,$N240=11),1,IF(OR($N240=12,$N240=1,$N240=2),2,IF(OR($N240=3,$N240=4,$N240=5),3,IF(OR($N240=6,$N240=7,$N240=8),4,"")))))</f>
        <v/>
      </c>
      <c r="P240" s="99"/>
      <c r="Q240" s="62"/>
      <c r="R240" s="62"/>
      <c r="S240" s="51"/>
      <c r="T240" s="51"/>
      <c r="U240" s="51"/>
      <c r="V240" s="51"/>
      <c r="W240" s="51"/>
      <c r="X240" s="51"/>
      <c r="Y240" s="51"/>
      <c r="Z240" s="51"/>
      <c r="AA240" s="51"/>
      <c r="AB240" s="51"/>
      <c r="AC240" s="51"/>
      <c r="AD240" s="51"/>
      <c r="AE240" s="51"/>
      <c r="AF240" s="51"/>
      <c r="AG240" s="51"/>
      <c r="AH240" s="94"/>
      <c r="AI240" s="94"/>
      <c r="AJ240" s="94"/>
      <c r="AK240" s="94"/>
      <c r="AL240" s="94"/>
      <c r="AM240" s="94"/>
      <c r="AN240" s="94"/>
      <c r="AO240" s="95"/>
      <c r="AP240" s="686">
        <f t="shared" si="29"/>
        <v>0</v>
      </c>
      <c r="AQ240" s="42"/>
      <c r="AR240" s="42"/>
      <c r="AS240" s="42"/>
      <c r="AT240" s="43"/>
      <c r="AU240" s="687">
        <f t="shared" si="30"/>
        <v>0</v>
      </c>
      <c r="AV240" s="42"/>
      <c r="AW240" s="42"/>
      <c r="AX240" s="42"/>
      <c r="AY240" s="43"/>
      <c r="AZ240" s="486"/>
      <c r="BA240" s="51"/>
      <c r="BB240" s="51"/>
      <c r="BC240" s="51"/>
      <c r="BD240" s="51"/>
      <c r="BE240" s="51"/>
      <c r="BF240" s="51"/>
      <c r="BG240" s="51"/>
      <c r="BH240" s="94"/>
      <c r="BI240" s="94"/>
      <c r="BJ240" s="94"/>
      <c r="BK240" s="94"/>
      <c r="BL240" s="94"/>
      <c r="BM240" s="483"/>
      <c r="BN240" s="94"/>
      <c r="BO240" s="94"/>
      <c r="BP240" s="94"/>
      <c r="BQ240" s="94"/>
      <c r="BR240" s="94"/>
      <c r="BS240" s="94"/>
      <c r="BT240" s="94"/>
      <c r="BU240" s="94"/>
      <c r="BV240" s="94"/>
      <c r="BW240" s="688">
        <f t="shared" si="26"/>
        <v>0</v>
      </c>
      <c r="BX240" s="51"/>
      <c r="BY240" s="51"/>
      <c r="BZ240" s="51"/>
      <c r="CA240" s="51"/>
      <c r="CB240" s="51"/>
      <c r="CC240" s="51"/>
      <c r="CD240" s="97"/>
      <c r="CE240" s="479"/>
      <c r="CF240" s="51"/>
      <c r="CG240" s="51"/>
      <c r="CH240" s="62"/>
      <c r="CI240" s="62"/>
      <c r="CJ240" s="51"/>
      <c r="CK240" s="51"/>
      <c r="CL240" s="95"/>
      <c r="CM240" s="93"/>
      <c r="CN240" s="51"/>
      <c r="CO240" s="51"/>
      <c r="CP240" s="51"/>
      <c r="CQ240" s="51"/>
      <c r="CR240" s="51"/>
      <c r="CS240" s="51"/>
      <c r="CT240" s="51"/>
      <c r="CU240" s="95"/>
      <c r="CV240" s="93"/>
      <c r="CW240" s="51"/>
      <c r="CX240" s="51"/>
      <c r="CY240" s="51"/>
      <c r="CZ240" s="51"/>
      <c r="DA240" s="51"/>
      <c r="DB240" s="51"/>
      <c r="DC240" s="51"/>
      <c r="DD240" s="95"/>
      <c r="DE240" s="93"/>
      <c r="DF240" s="51"/>
      <c r="DG240" s="51"/>
      <c r="DH240" s="51"/>
      <c r="DI240" s="51"/>
      <c r="DJ240" s="51"/>
      <c r="DK240" s="51"/>
      <c r="DL240" s="95"/>
      <c r="DM240" s="478"/>
      <c r="DN240" s="682">
        <f t="shared" si="31"/>
        <v>0</v>
      </c>
      <c r="DO240" s="683"/>
    </row>
    <row r="241" spans="1:119" ht="25.5" customHeight="1" thickTop="1" thickBot="1" x14ac:dyDescent="0.2">
      <c r="A241" s="676">
        <f t="shared" si="27"/>
        <v>226</v>
      </c>
      <c r="B241" s="1054"/>
      <c r="C241" s="1055"/>
      <c r="D241" s="83"/>
      <c r="E241" s="954"/>
      <c r="F241" s="52"/>
      <c r="G241" s="103"/>
      <c r="H241" s="1058"/>
      <c r="I241" s="684" t="str">
        <f t="shared" si="24"/>
        <v/>
      </c>
      <c r="J241" s="685">
        <f t="shared" si="25"/>
        <v>0</v>
      </c>
      <c r="K241" s="1258"/>
      <c r="L241" s="1251"/>
      <c r="M241" s="1257"/>
      <c r="N241" s="719" t="str">
        <f t="shared" si="28"/>
        <v/>
      </c>
      <c r="O241" s="720" t="str">
        <f>IF('Set up ~ Config'!$G$32=6,IF(OR($N241=7,$N241=8,$N241=9),1,IF(OR($N241=10,$N241=11,$N241=12),2,IF(OR($N241=1,$N241=2,$N241=3),3,IF(OR($N241=4,$N241=5,$N241=6),4,"")))),IF(OR($N241=9,$N241=10,$N241=11),1,IF(OR($N241=12,$N241=1,$N241=2),2,IF(OR($N241=3,$N241=4,$N241=5),3,IF(OR($N241=6,$N241=7,$N241=8),4,"")))))</f>
        <v/>
      </c>
      <c r="P241" s="99"/>
      <c r="Q241" s="62"/>
      <c r="R241" s="62"/>
      <c r="S241" s="51"/>
      <c r="T241" s="51"/>
      <c r="U241" s="51"/>
      <c r="V241" s="51"/>
      <c r="W241" s="51"/>
      <c r="X241" s="51"/>
      <c r="Y241" s="51"/>
      <c r="Z241" s="51"/>
      <c r="AA241" s="51"/>
      <c r="AB241" s="51"/>
      <c r="AC241" s="51"/>
      <c r="AD241" s="51"/>
      <c r="AE241" s="51"/>
      <c r="AF241" s="51"/>
      <c r="AG241" s="51"/>
      <c r="AH241" s="94"/>
      <c r="AI241" s="94"/>
      <c r="AJ241" s="94"/>
      <c r="AK241" s="94"/>
      <c r="AL241" s="94"/>
      <c r="AM241" s="94"/>
      <c r="AN241" s="94"/>
      <c r="AO241" s="95"/>
      <c r="AP241" s="686">
        <f t="shared" si="29"/>
        <v>0</v>
      </c>
      <c r="AQ241" s="42"/>
      <c r="AR241" s="42"/>
      <c r="AS241" s="42"/>
      <c r="AT241" s="43"/>
      <c r="AU241" s="687">
        <f t="shared" si="30"/>
        <v>0</v>
      </c>
      <c r="AV241" s="42"/>
      <c r="AW241" s="42"/>
      <c r="AX241" s="42"/>
      <c r="AY241" s="43"/>
      <c r="AZ241" s="486"/>
      <c r="BA241" s="51"/>
      <c r="BB241" s="51"/>
      <c r="BC241" s="51"/>
      <c r="BD241" s="51"/>
      <c r="BE241" s="51"/>
      <c r="BF241" s="51"/>
      <c r="BG241" s="51"/>
      <c r="BH241" s="94"/>
      <c r="BI241" s="94"/>
      <c r="BJ241" s="94"/>
      <c r="BK241" s="94"/>
      <c r="BL241" s="94"/>
      <c r="BM241" s="483"/>
      <c r="BN241" s="94"/>
      <c r="BO241" s="94"/>
      <c r="BP241" s="94"/>
      <c r="BQ241" s="94"/>
      <c r="BR241" s="94"/>
      <c r="BS241" s="94"/>
      <c r="BT241" s="94"/>
      <c r="BU241" s="94"/>
      <c r="BV241" s="94"/>
      <c r="BW241" s="688">
        <f t="shared" si="26"/>
        <v>0</v>
      </c>
      <c r="BX241" s="51"/>
      <c r="BY241" s="51"/>
      <c r="BZ241" s="51"/>
      <c r="CA241" s="51"/>
      <c r="CB241" s="51"/>
      <c r="CC241" s="51"/>
      <c r="CD241" s="97"/>
      <c r="CE241" s="479"/>
      <c r="CF241" s="51"/>
      <c r="CG241" s="51"/>
      <c r="CH241" s="62"/>
      <c r="CI241" s="62"/>
      <c r="CJ241" s="51"/>
      <c r="CK241" s="51"/>
      <c r="CL241" s="95"/>
      <c r="CM241" s="93"/>
      <c r="CN241" s="51"/>
      <c r="CO241" s="51"/>
      <c r="CP241" s="51"/>
      <c r="CQ241" s="51"/>
      <c r="CR241" s="51"/>
      <c r="CS241" s="51"/>
      <c r="CT241" s="51"/>
      <c r="CU241" s="95"/>
      <c r="CV241" s="93"/>
      <c r="CW241" s="51"/>
      <c r="CX241" s="51"/>
      <c r="CY241" s="51"/>
      <c r="CZ241" s="51"/>
      <c r="DA241" s="51"/>
      <c r="DB241" s="51"/>
      <c r="DC241" s="51"/>
      <c r="DD241" s="95"/>
      <c r="DE241" s="93"/>
      <c r="DF241" s="51"/>
      <c r="DG241" s="51"/>
      <c r="DH241" s="51"/>
      <c r="DI241" s="51"/>
      <c r="DJ241" s="51"/>
      <c r="DK241" s="51"/>
      <c r="DL241" s="95"/>
      <c r="DM241" s="478"/>
      <c r="DN241" s="682">
        <f t="shared" si="31"/>
        <v>0</v>
      </c>
      <c r="DO241" s="683"/>
    </row>
    <row r="242" spans="1:119" ht="25.5" customHeight="1" thickTop="1" thickBot="1" x14ac:dyDescent="0.2">
      <c r="A242" s="676">
        <f t="shared" si="27"/>
        <v>227</v>
      </c>
      <c r="B242" s="1054"/>
      <c r="C242" s="1055"/>
      <c r="D242" s="83"/>
      <c r="E242" s="954"/>
      <c r="F242" s="52"/>
      <c r="G242" s="103"/>
      <c r="H242" s="1058"/>
      <c r="I242" s="684" t="str">
        <f t="shared" si="24"/>
        <v/>
      </c>
      <c r="J242" s="685">
        <f t="shared" si="25"/>
        <v>0</v>
      </c>
      <c r="K242" s="1258"/>
      <c r="L242" s="1251"/>
      <c r="M242" s="1257"/>
      <c r="N242" s="719" t="str">
        <f t="shared" si="28"/>
        <v/>
      </c>
      <c r="O242" s="720" t="str">
        <f>IF('Set up ~ Config'!$G$32=6,IF(OR($N242=7,$N242=8,$N242=9),1,IF(OR($N242=10,$N242=11,$N242=12),2,IF(OR($N242=1,$N242=2,$N242=3),3,IF(OR($N242=4,$N242=5,$N242=6),4,"")))),IF(OR($N242=9,$N242=10,$N242=11),1,IF(OR($N242=12,$N242=1,$N242=2),2,IF(OR($N242=3,$N242=4,$N242=5),3,IF(OR($N242=6,$N242=7,$N242=8),4,"")))))</f>
        <v/>
      </c>
      <c r="P242" s="99"/>
      <c r="Q242" s="62"/>
      <c r="R242" s="62"/>
      <c r="S242" s="51"/>
      <c r="T242" s="51"/>
      <c r="U242" s="51"/>
      <c r="V242" s="51"/>
      <c r="W242" s="51"/>
      <c r="X242" s="51"/>
      <c r="Y242" s="51"/>
      <c r="Z242" s="51"/>
      <c r="AA242" s="51"/>
      <c r="AB242" s="51"/>
      <c r="AC242" s="51"/>
      <c r="AD242" s="51"/>
      <c r="AE242" s="51"/>
      <c r="AF242" s="51"/>
      <c r="AG242" s="51"/>
      <c r="AH242" s="94"/>
      <c r="AI242" s="94"/>
      <c r="AJ242" s="94"/>
      <c r="AK242" s="94"/>
      <c r="AL242" s="94"/>
      <c r="AM242" s="94"/>
      <c r="AN242" s="94"/>
      <c r="AO242" s="95"/>
      <c r="AP242" s="686">
        <f t="shared" si="29"/>
        <v>0</v>
      </c>
      <c r="AQ242" s="42"/>
      <c r="AR242" s="42"/>
      <c r="AS242" s="42"/>
      <c r="AT242" s="43"/>
      <c r="AU242" s="687">
        <f t="shared" si="30"/>
        <v>0</v>
      </c>
      <c r="AV242" s="42"/>
      <c r="AW242" s="42"/>
      <c r="AX242" s="42"/>
      <c r="AY242" s="43"/>
      <c r="AZ242" s="486"/>
      <c r="BA242" s="51"/>
      <c r="BB242" s="51"/>
      <c r="BC242" s="51"/>
      <c r="BD242" s="51"/>
      <c r="BE242" s="51"/>
      <c r="BF242" s="51"/>
      <c r="BG242" s="51"/>
      <c r="BH242" s="94"/>
      <c r="BI242" s="94"/>
      <c r="BJ242" s="94"/>
      <c r="BK242" s="94"/>
      <c r="BL242" s="94"/>
      <c r="BM242" s="483"/>
      <c r="BN242" s="94"/>
      <c r="BO242" s="94"/>
      <c r="BP242" s="94"/>
      <c r="BQ242" s="94"/>
      <c r="BR242" s="94"/>
      <c r="BS242" s="94"/>
      <c r="BT242" s="94"/>
      <c r="BU242" s="94"/>
      <c r="BV242" s="94"/>
      <c r="BW242" s="688">
        <f t="shared" si="26"/>
        <v>0</v>
      </c>
      <c r="BX242" s="51"/>
      <c r="BY242" s="51"/>
      <c r="BZ242" s="51"/>
      <c r="CA242" s="51"/>
      <c r="CB242" s="51"/>
      <c r="CC242" s="51"/>
      <c r="CD242" s="97"/>
      <c r="CE242" s="479"/>
      <c r="CF242" s="51"/>
      <c r="CG242" s="51"/>
      <c r="CH242" s="62"/>
      <c r="CI242" s="62"/>
      <c r="CJ242" s="51"/>
      <c r="CK242" s="51"/>
      <c r="CL242" s="95"/>
      <c r="CM242" s="93"/>
      <c r="CN242" s="51"/>
      <c r="CO242" s="51"/>
      <c r="CP242" s="51"/>
      <c r="CQ242" s="51"/>
      <c r="CR242" s="51"/>
      <c r="CS242" s="51"/>
      <c r="CT242" s="51"/>
      <c r="CU242" s="95"/>
      <c r="CV242" s="93"/>
      <c r="CW242" s="51"/>
      <c r="CX242" s="51"/>
      <c r="CY242" s="51"/>
      <c r="CZ242" s="51"/>
      <c r="DA242" s="51"/>
      <c r="DB242" s="51"/>
      <c r="DC242" s="51"/>
      <c r="DD242" s="95"/>
      <c r="DE242" s="93"/>
      <c r="DF242" s="51"/>
      <c r="DG242" s="51"/>
      <c r="DH242" s="51"/>
      <c r="DI242" s="51"/>
      <c r="DJ242" s="51"/>
      <c r="DK242" s="51"/>
      <c r="DL242" s="95"/>
      <c r="DM242" s="478"/>
      <c r="DN242" s="682">
        <f t="shared" si="31"/>
        <v>0</v>
      </c>
      <c r="DO242" s="683"/>
    </row>
    <row r="243" spans="1:119" ht="25.5" customHeight="1" thickTop="1" thickBot="1" x14ac:dyDescent="0.2">
      <c r="A243" s="676">
        <f t="shared" si="27"/>
        <v>228</v>
      </c>
      <c r="B243" s="1054"/>
      <c r="C243" s="1055"/>
      <c r="D243" s="83"/>
      <c r="E243" s="954"/>
      <c r="F243" s="52"/>
      <c r="G243" s="103"/>
      <c r="H243" s="1058"/>
      <c r="I243" s="684" t="str">
        <f t="shared" si="24"/>
        <v/>
      </c>
      <c r="J243" s="685">
        <f t="shared" si="25"/>
        <v>0</v>
      </c>
      <c r="K243" s="1258"/>
      <c r="L243" s="1251"/>
      <c r="M243" s="1257"/>
      <c r="N243" s="719" t="str">
        <f t="shared" si="28"/>
        <v/>
      </c>
      <c r="O243" s="720" t="str">
        <f>IF('Set up ~ Config'!$G$32=6,IF(OR($N243=7,$N243=8,$N243=9),1,IF(OR($N243=10,$N243=11,$N243=12),2,IF(OR($N243=1,$N243=2,$N243=3),3,IF(OR($N243=4,$N243=5,$N243=6),4,"")))),IF(OR($N243=9,$N243=10,$N243=11),1,IF(OR($N243=12,$N243=1,$N243=2),2,IF(OR($N243=3,$N243=4,$N243=5),3,IF(OR($N243=6,$N243=7,$N243=8),4,"")))))</f>
        <v/>
      </c>
      <c r="P243" s="99"/>
      <c r="Q243" s="62"/>
      <c r="R243" s="62"/>
      <c r="S243" s="51"/>
      <c r="T243" s="51"/>
      <c r="U243" s="51"/>
      <c r="V243" s="51"/>
      <c r="W243" s="51"/>
      <c r="X243" s="51"/>
      <c r="Y243" s="51"/>
      <c r="Z243" s="51"/>
      <c r="AA243" s="51"/>
      <c r="AB243" s="51"/>
      <c r="AC243" s="51"/>
      <c r="AD243" s="51"/>
      <c r="AE243" s="51"/>
      <c r="AF243" s="51"/>
      <c r="AG243" s="51"/>
      <c r="AH243" s="94"/>
      <c r="AI243" s="94"/>
      <c r="AJ243" s="94"/>
      <c r="AK243" s="94"/>
      <c r="AL243" s="94"/>
      <c r="AM243" s="94"/>
      <c r="AN243" s="94"/>
      <c r="AO243" s="95"/>
      <c r="AP243" s="686">
        <f t="shared" si="29"/>
        <v>0</v>
      </c>
      <c r="AQ243" s="42"/>
      <c r="AR243" s="42"/>
      <c r="AS243" s="42"/>
      <c r="AT243" s="43"/>
      <c r="AU243" s="687">
        <f t="shared" si="30"/>
        <v>0</v>
      </c>
      <c r="AV243" s="42"/>
      <c r="AW243" s="42"/>
      <c r="AX243" s="42"/>
      <c r="AY243" s="43"/>
      <c r="AZ243" s="486"/>
      <c r="BA243" s="51"/>
      <c r="BB243" s="51"/>
      <c r="BC243" s="51"/>
      <c r="BD243" s="51"/>
      <c r="BE243" s="51"/>
      <c r="BF243" s="51"/>
      <c r="BG243" s="51"/>
      <c r="BH243" s="94"/>
      <c r="BI243" s="94"/>
      <c r="BJ243" s="94"/>
      <c r="BK243" s="94"/>
      <c r="BL243" s="94"/>
      <c r="BM243" s="483"/>
      <c r="BN243" s="94"/>
      <c r="BO243" s="94"/>
      <c r="BP243" s="94"/>
      <c r="BQ243" s="94"/>
      <c r="BR243" s="94"/>
      <c r="BS243" s="94"/>
      <c r="BT243" s="94"/>
      <c r="BU243" s="94"/>
      <c r="BV243" s="94"/>
      <c r="BW243" s="688">
        <f t="shared" si="26"/>
        <v>0</v>
      </c>
      <c r="BX243" s="51"/>
      <c r="BY243" s="51"/>
      <c r="BZ243" s="51"/>
      <c r="CA243" s="51"/>
      <c r="CB243" s="51"/>
      <c r="CC243" s="51"/>
      <c r="CD243" s="97"/>
      <c r="CE243" s="479"/>
      <c r="CF243" s="51"/>
      <c r="CG243" s="51"/>
      <c r="CH243" s="62"/>
      <c r="CI243" s="62"/>
      <c r="CJ243" s="51"/>
      <c r="CK243" s="51"/>
      <c r="CL243" s="95"/>
      <c r="CM243" s="93"/>
      <c r="CN243" s="51"/>
      <c r="CO243" s="51"/>
      <c r="CP243" s="51"/>
      <c r="CQ243" s="51"/>
      <c r="CR243" s="51"/>
      <c r="CS243" s="51"/>
      <c r="CT243" s="51"/>
      <c r="CU243" s="95"/>
      <c r="CV243" s="93"/>
      <c r="CW243" s="51"/>
      <c r="CX243" s="51"/>
      <c r="CY243" s="51"/>
      <c r="CZ243" s="51"/>
      <c r="DA243" s="51"/>
      <c r="DB243" s="51"/>
      <c r="DC243" s="51"/>
      <c r="DD243" s="95"/>
      <c r="DE243" s="93"/>
      <c r="DF243" s="51"/>
      <c r="DG243" s="51"/>
      <c r="DH243" s="51"/>
      <c r="DI243" s="51"/>
      <c r="DJ243" s="51"/>
      <c r="DK243" s="51"/>
      <c r="DL243" s="95"/>
      <c r="DM243" s="478"/>
      <c r="DN243" s="682">
        <f t="shared" si="31"/>
        <v>0</v>
      </c>
      <c r="DO243" s="683"/>
    </row>
    <row r="244" spans="1:119" ht="25.5" customHeight="1" thickTop="1" thickBot="1" x14ac:dyDescent="0.2">
      <c r="A244" s="676">
        <f t="shared" si="27"/>
        <v>229</v>
      </c>
      <c r="B244" s="1054"/>
      <c r="C244" s="1055"/>
      <c r="D244" s="83"/>
      <c r="E244" s="954"/>
      <c r="F244" s="52"/>
      <c r="G244" s="103"/>
      <c r="H244" s="1058"/>
      <c r="I244" s="684" t="str">
        <f t="shared" si="24"/>
        <v/>
      </c>
      <c r="J244" s="685">
        <f t="shared" si="25"/>
        <v>0</v>
      </c>
      <c r="K244" s="1258"/>
      <c r="L244" s="1251"/>
      <c r="M244" s="1257"/>
      <c r="N244" s="719" t="str">
        <f t="shared" si="28"/>
        <v/>
      </c>
      <c r="O244" s="720" t="str">
        <f>IF('Set up ~ Config'!$G$32=6,IF(OR($N244=7,$N244=8,$N244=9),1,IF(OR($N244=10,$N244=11,$N244=12),2,IF(OR($N244=1,$N244=2,$N244=3),3,IF(OR($N244=4,$N244=5,$N244=6),4,"")))),IF(OR($N244=9,$N244=10,$N244=11),1,IF(OR($N244=12,$N244=1,$N244=2),2,IF(OR($N244=3,$N244=4,$N244=5),3,IF(OR($N244=6,$N244=7,$N244=8),4,"")))))</f>
        <v/>
      </c>
      <c r="P244" s="99"/>
      <c r="Q244" s="62"/>
      <c r="R244" s="62"/>
      <c r="S244" s="51"/>
      <c r="T244" s="51"/>
      <c r="U244" s="51"/>
      <c r="V244" s="51"/>
      <c r="W244" s="51"/>
      <c r="X244" s="51"/>
      <c r="Y244" s="51"/>
      <c r="Z244" s="51"/>
      <c r="AA244" s="51"/>
      <c r="AB244" s="51"/>
      <c r="AC244" s="51"/>
      <c r="AD244" s="51"/>
      <c r="AE244" s="51"/>
      <c r="AF244" s="51"/>
      <c r="AG244" s="51"/>
      <c r="AH244" s="94"/>
      <c r="AI244" s="94"/>
      <c r="AJ244" s="94"/>
      <c r="AK244" s="94"/>
      <c r="AL244" s="94"/>
      <c r="AM244" s="94"/>
      <c r="AN244" s="94"/>
      <c r="AO244" s="95"/>
      <c r="AP244" s="686">
        <f t="shared" si="29"/>
        <v>0</v>
      </c>
      <c r="AQ244" s="42"/>
      <c r="AR244" s="42"/>
      <c r="AS244" s="42"/>
      <c r="AT244" s="43"/>
      <c r="AU244" s="687">
        <f t="shared" si="30"/>
        <v>0</v>
      </c>
      <c r="AV244" s="42"/>
      <c r="AW244" s="42"/>
      <c r="AX244" s="42"/>
      <c r="AY244" s="43"/>
      <c r="AZ244" s="486"/>
      <c r="BA244" s="51"/>
      <c r="BB244" s="51"/>
      <c r="BC244" s="51"/>
      <c r="BD244" s="51"/>
      <c r="BE244" s="51"/>
      <c r="BF244" s="51"/>
      <c r="BG244" s="51"/>
      <c r="BH244" s="94"/>
      <c r="BI244" s="94"/>
      <c r="BJ244" s="94"/>
      <c r="BK244" s="94"/>
      <c r="BL244" s="94"/>
      <c r="BM244" s="483"/>
      <c r="BN244" s="94"/>
      <c r="BO244" s="94"/>
      <c r="BP244" s="94"/>
      <c r="BQ244" s="94"/>
      <c r="BR244" s="94"/>
      <c r="BS244" s="94"/>
      <c r="BT244" s="94"/>
      <c r="BU244" s="94"/>
      <c r="BV244" s="94"/>
      <c r="BW244" s="688">
        <f t="shared" si="26"/>
        <v>0</v>
      </c>
      <c r="BX244" s="51"/>
      <c r="BY244" s="51"/>
      <c r="BZ244" s="51"/>
      <c r="CA244" s="51"/>
      <c r="CB244" s="51"/>
      <c r="CC244" s="51"/>
      <c r="CD244" s="97"/>
      <c r="CE244" s="479"/>
      <c r="CF244" s="51"/>
      <c r="CG244" s="51"/>
      <c r="CH244" s="62"/>
      <c r="CI244" s="62"/>
      <c r="CJ244" s="51"/>
      <c r="CK244" s="51"/>
      <c r="CL244" s="95"/>
      <c r="CM244" s="93"/>
      <c r="CN244" s="51"/>
      <c r="CO244" s="51"/>
      <c r="CP244" s="51"/>
      <c r="CQ244" s="51"/>
      <c r="CR244" s="51"/>
      <c r="CS244" s="51"/>
      <c r="CT244" s="51"/>
      <c r="CU244" s="95"/>
      <c r="CV244" s="93"/>
      <c r="CW244" s="51"/>
      <c r="CX244" s="51"/>
      <c r="CY244" s="51"/>
      <c r="CZ244" s="51"/>
      <c r="DA244" s="51"/>
      <c r="DB244" s="51"/>
      <c r="DC244" s="51"/>
      <c r="DD244" s="95"/>
      <c r="DE244" s="93"/>
      <c r="DF244" s="51"/>
      <c r="DG244" s="51"/>
      <c r="DH244" s="51"/>
      <c r="DI244" s="51"/>
      <c r="DJ244" s="51"/>
      <c r="DK244" s="51"/>
      <c r="DL244" s="95"/>
      <c r="DM244" s="478"/>
      <c r="DN244" s="682">
        <f t="shared" si="31"/>
        <v>0</v>
      </c>
      <c r="DO244" s="683"/>
    </row>
    <row r="245" spans="1:119" ht="25.5" customHeight="1" thickTop="1" thickBot="1" x14ac:dyDescent="0.2">
      <c r="A245" s="676">
        <f t="shared" si="27"/>
        <v>230</v>
      </c>
      <c r="B245" s="1054"/>
      <c r="C245" s="1055"/>
      <c r="D245" s="83"/>
      <c r="E245" s="954"/>
      <c r="F245" s="52"/>
      <c r="G245" s="103"/>
      <c r="H245" s="1058"/>
      <c r="I245" s="684" t="str">
        <f t="shared" si="24"/>
        <v/>
      </c>
      <c r="J245" s="685">
        <f t="shared" si="25"/>
        <v>0</v>
      </c>
      <c r="K245" s="1258"/>
      <c r="L245" s="1251"/>
      <c r="M245" s="1257"/>
      <c r="N245" s="719" t="str">
        <f t="shared" si="28"/>
        <v/>
      </c>
      <c r="O245" s="720" t="str">
        <f>IF('Set up ~ Config'!$G$32=6,IF(OR($N245=7,$N245=8,$N245=9),1,IF(OR($N245=10,$N245=11,$N245=12),2,IF(OR($N245=1,$N245=2,$N245=3),3,IF(OR($N245=4,$N245=5,$N245=6),4,"")))),IF(OR($N245=9,$N245=10,$N245=11),1,IF(OR($N245=12,$N245=1,$N245=2),2,IF(OR($N245=3,$N245=4,$N245=5),3,IF(OR($N245=6,$N245=7,$N245=8),4,"")))))</f>
        <v/>
      </c>
      <c r="P245" s="99"/>
      <c r="Q245" s="62"/>
      <c r="R245" s="62"/>
      <c r="S245" s="51"/>
      <c r="T245" s="51"/>
      <c r="U245" s="51"/>
      <c r="V245" s="51"/>
      <c r="W245" s="51"/>
      <c r="X245" s="51"/>
      <c r="Y245" s="51"/>
      <c r="Z245" s="51"/>
      <c r="AA245" s="51"/>
      <c r="AB245" s="51"/>
      <c r="AC245" s="51"/>
      <c r="AD245" s="51"/>
      <c r="AE245" s="51"/>
      <c r="AF245" s="51"/>
      <c r="AG245" s="51"/>
      <c r="AH245" s="94"/>
      <c r="AI245" s="94"/>
      <c r="AJ245" s="94"/>
      <c r="AK245" s="94"/>
      <c r="AL245" s="94"/>
      <c r="AM245" s="94"/>
      <c r="AN245" s="94"/>
      <c r="AO245" s="95"/>
      <c r="AP245" s="686">
        <f t="shared" si="29"/>
        <v>0</v>
      </c>
      <c r="AQ245" s="42"/>
      <c r="AR245" s="42"/>
      <c r="AS245" s="42"/>
      <c r="AT245" s="43"/>
      <c r="AU245" s="687">
        <f t="shared" si="30"/>
        <v>0</v>
      </c>
      <c r="AV245" s="42"/>
      <c r="AW245" s="42"/>
      <c r="AX245" s="42"/>
      <c r="AY245" s="43"/>
      <c r="AZ245" s="486"/>
      <c r="BA245" s="51"/>
      <c r="BB245" s="51"/>
      <c r="BC245" s="51"/>
      <c r="BD245" s="51"/>
      <c r="BE245" s="51"/>
      <c r="BF245" s="51"/>
      <c r="BG245" s="51"/>
      <c r="BH245" s="94"/>
      <c r="BI245" s="94"/>
      <c r="BJ245" s="94"/>
      <c r="BK245" s="94"/>
      <c r="BL245" s="94"/>
      <c r="BM245" s="483"/>
      <c r="BN245" s="94"/>
      <c r="BO245" s="94"/>
      <c r="BP245" s="94"/>
      <c r="BQ245" s="94"/>
      <c r="BR245" s="94"/>
      <c r="BS245" s="94"/>
      <c r="BT245" s="94"/>
      <c r="BU245" s="94"/>
      <c r="BV245" s="94"/>
      <c r="BW245" s="688">
        <f t="shared" si="26"/>
        <v>0</v>
      </c>
      <c r="BX245" s="51"/>
      <c r="BY245" s="51"/>
      <c r="BZ245" s="51"/>
      <c r="CA245" s="51"/>
      <c r="CB245" s="51"/>
      <c r="CC245" s="51"/>
      <c r="CD245" s="97"/>
      <c r="CE245" s="479"/>
      <c r="CF245" s="51"/>
      <c r="CG245" s="51"/>
      <c r="CH245" s="62"/>
      <c r="CI245" s="62"/>
      <c r="CJ245" s="51"/>
      <c r="CK245" s="51"/>
      <c r="CL245" s="95"/>
      <c r="CM245" s="93"/>
      <c r="CN245" s="51"/>
      <c r="CO245" s="51"/>
      <c r="CP245" s="51"/>
      <c r="CQ245" s="51"/>
      <c r="CR245" s="51"/>
      <c r="CS245" s="51"/>
      <c r="CT245" s="51"/>
      <c r="CU245" s="95"/>
      <c r="CV245" s="93"/>
      <c r="CW245" s="51"/>
      <c r="CX245" s="51"/>
      <c r="CY245" s="51"/>
      <c r="CZ245" s="51"/>
      <c r="DA245" s="51"/>
      <c r="DB245" s="51"/>
      <c r="DC245" s="51"/>
      <c r="DD245" s="95"/>
      <c r="DE245" s="93"/>
      <c r="DF245" s="51"/>
      <c r="DG245" s="51"/>
      <c r="DH245" s="51"/>
      <c r="DI245" s="51"/>
      <c r="DJ245" s="51"/>
      <c r="DK245" s="51"/>
      <c r="DL245" s="95"/>
      <c r="DM245" s="478"/>
      <c r="DN245" s="682">
        <f t="shared" si="31"/>
        <v>0</v>
      </c>
      <c r="DO245" s="683"/>
    </row>
    <row r="246" spans="1:119" ht="25.5" customHeight="1" thickTop="1" thickBot="1" x14ac:dyDescent="0.2">
      <c r="A246" s="676">
        <f t="shared" si="27"/>
        <v>231</v>
      </c>
      <c r="B246" s="1054"/>
      <c r="C246" s="1055"/>
      <c r="D246" s="83"/>
      <c r="E246" s="954"/>
      <c r="F246" s="52"/>
      <c r="G246" s="103"/>
      <c r="H246" s="1058"/>
      <c r="I246" s="684" t="str">
        <f t="shared" si="24"/>
        <v/>
      </c>
      <c r="J246" s="685">
        <f t="shared" si="25"/>
        <v>0</v>
      </c>
      <c r="K246" s="1258"/>
      <c r="L246" s="1251"/>
      <c r="M246" s="1257"/>
      <c r="N246" s="719" t="str">
        <f t="shared" si="28"/>
        <v/>
      </c>
      <c r="O246" s="720" t="str">
        <f>IF('Set up ~ Config'!$G$32=6,IF(OR($N246=7,$N246=8,$N246=9),1,IF(OR($N246=10,$N246=11,$N246=12),2,IF(OR($N246=1,$N246=2,$N246=3),3,IF(OR($N246=4,$N246=5,$N246=6),4,"")))),IF(OR($N246=9,$N246=10,$N246=11),1,IF(OR($N246=12,$N246=1,$N246=2),2,IF(OR($N246=3,$N246=4,$N246=5),3,IF(OR($N246=6,$N246=7,$N246=8),4,"")))))</f>
        <v/>
      </c>
      <c r="P246" s="99"/>
      <c r="Q246" s="62"/>
      <c r="R246" s="62"/>
      <c r="S246" s="51"/>
      <c r="T246" s="51"/>
      <c r="U246" s="51"/>
      <c r="V246" s="51"/>
      <c r="W246" s="51"/>
      <c r="X246" s="51"/>
      <c r="Y246" s="51"/>
      <c r="Z246" s="51"/>
      <c r="AA246" s="51"/>
      <c r="AB246" s="51"/>
      <c r="AC246" s="51"/>
      <c r="AD246" s="51"/>
      <c r="AE246" s="51"/>
      <c r="AF246" s="51"/>
      <c r="AG246" s="51"/>
      <c r="AH246" s="94"/>
      <c r="AI246" s="94"/>
      <c r="AJ246" s="94"/>
      <c r="AK246" s="94"/>
      <c r="AL246" s="94"/>
      <c r="AM246" s="94"/>
      <c r="AN246" s="94"/>
      <c r="AO246" s="95"/>
      <c r="AP246" s="686">
        <f t="shared" si="29"/>
        <v>0</v>
      </c>
      <c r="AQ246" s="42"/>
      <c r="AR246" s="42"/>
      <c r="AS246" s="42"/>
      <c r="AT246" s="43"/>
      <c r="AU246" s="687">
        <f t="shared" si="30"/>
        <v>0</v>
      </c>
      <c r="AV246" s="42"/>
      <c r="AW246" s="42"/>
      <c r="AX246" s="42"/>
      <c r="AY246" s="43"/>
      <c r="AZ246" s="486"/>
      <c r="BA246" s="51"/>
      <c r="BB246" s="51"/>
      <c r="BC246" s="51"/>
      <c r="BD246" s="51"/>
      <c r="BE246" s="51"/>
      <c r="BF246" s="51"/>
      <c r="BG246" s="51"/>
      <c r="BH246" s="94"/>
      <c r="BI246" s="94"/>
      <c r="BJ246" s="94"/>
      <c r="BK246" s="94"/>
      <c r="BL246" s="94"/>
      <c r="BM246" s="483"/>
      <c r="BN246" s="94"/>
      <c r="BO246" s="94"/>
      <c r="BP246" s="94"/>
      <c r="BQ246" s="94"/>
      <c r="BR246" s="94"/>
      <c r="BS246" s="94"/>
      <c r="BT246" s="94"/>
      <c r="BU246" s="94"/>
      <c r="BV246" s="94"/>
      <c r="BW246" s="688">
        <f t="shared" si="26"/>
        <v>0</v>
      </c>
      <c r="BX246" s="51"/>
      <c r="BY246" s="51"/>
      <c r="BZ246" s="51"/>
      <c r="CA246" s="51"/>
      <c r="CB246" s="51"/>
      <c r="CC246" s="51"/>
      <c r="CD246" s="97"/>
      <c r="CE246" s="479"/>
      <c r="CF246" s="51"/>
      <c r="CG246" s="51"/>
      <c r="CH246" s="62"/>
      <c r="CI246" s="62"/>
      <c r="CJ246" s="51"/>
      <c r="CK246" s="51"/>
      <c r="CL246" s="95"/>
      <c r="CM246" s="93"/>
      <c r="CN246" s="51"/>
      <c r="CO246" s="51"/>
      <c r="CP246" s="51"/>
      <c r="CQ246" s="51"/>
      <c r="CR246" s="51"/>
      <c r="CS246" s="51"/>
      <c r="CT246" s="51"/>
      <c r="CU246" s="95"/>
      <c r="CV246" s="93"/>
      <c r="CW246" s="51"/>
      <c r="CX246" s="51"/>
      <c r="CY246" s="51"/>
      <c r="CZ246" s="51"/>
      <c r="DA246" s="51"/>
      <c r="DB246" s="51"/>
      <c r="DC246" s="51"/>
      <c r="DD246" s="95"/>
      <c r="DE246" s="93"/>
      <c r="DF246" s="51"/>
      <c r="DG246" s="51"/>
      <c r="DH246" s="51"/>
      <c r="DI246" s="51"/>
      <c r="DJ246" s="51"/>
      <c r="DK246" s="51"/>
      <c r="DL246" s="95"/>
      <c r="DM246" s="478"/>
      <c r="DN246" s="682">
        <f t="shared" si="31"/>
        <v>0</v>
      </c>
      <c r="DO246" s="683"/>
    </row>
    <row r="247" spans="1:119" ht="25.5" customHeight="1" thickTop="1" thickBot="1" x14ac:dyDescent="0.2">
      <c r="A247" s="676">
        <f t="shared" si="27"/>
        <v>232</v>
      </c>
      <c r="B247" s="1054"/>
      <c r="C247" s="1055"/>
      <c r="D247" s="83"/>
      <c r="E247" s="954"/>
      <c r="F247" s="52"/>
      <c r="G247" s="103"/>
      <c r="H247" s="1058"/>
      <c r="I247" s="684" t="str">
        <f t="shared" si="24"/>
        <v/>
      </c>
      <c r="J247" s="685">
        <f t="shared" si="25"/>
        <v>0</v>
      </c>
      <c r="K247" s="1258"/>
      <c r="L247" s="1251"/>
      <c r="M247" s="1257"/>
      <c r="N247" s="719" t="str">
        <f t="shared" si="28"/>
        <v/>
      </c>
      <c r="O247" s="720" t="str">
        <f>IF('Set up ~ Config'!$G$32=6,IF(OR($N247=7,$N247=8,$N247=9),1,IF(OR($N247=10,$N247=11,$N247=12),2,IF(OR($N247=1,$N247=2,$N247=3),3,IF(OR($N247=4,$N247=5,$N247=6),4,"")))),IF(OR($N247=9,$N247=10,$N247=11),1,IF(OR($N247=12,$N247=1,$N247=2),2,IF(OR($N247=3,$N247=4,$N247=5),3,IF(OR($N247=6,$N247=7,$N247=8),4,"")))))</f>
        <v/>
      </c>
      <c r="P247" s="99"/>
      <c r="Q247" s="62"/>
      <c r="R247" s="62"/>
      <c r="S247" s="51"/>
      <c r="T247" s="51"/>
      <c r="U247" s="51"/>
      <c r="V247" s="51"/>
      <c r="W247" s="51"/>
      <c r="X247" s="51"/>
      <c r="Y247" s="51"/>
      <c r="Z247" s="51"/>
      <c r="AA247" s="51"/>
      <c r="AB247" s="51"/>
      <c r="AC247" s="51"/>
      <c r="AD247" s="51"/>
      <c r="AE247" s="51"/>
      <c r="AF247" s="51"/>
      <c r="AG247" s="51"/>
      <c r="AH247" s="94"/>
      <c r="AI247" s="94"/>
      <c r="AJ247" s="94"/>
      <c r="AK247" s="94"/>
      <c r="AL247" s="94"/>
      <c r="AM247" s="94"/>
      <c r="AN247" s="94"/>
      <c r="AO247" s="95"/>
      <c r="AP247" s="686">
        <f t="shared" si="29"/>
        <v>0</v>
      </c>
      <c r="AQ247" s="42"/>
      <c r="AR247" s="42"/>
      <c r="AS247" s="42"/>
      <c r="AT247" s="43"/>
      <c r="AU247" s="687">
        <f t="shared" si="30"/>
        <v>0</v>
      </c>
      <c r="AV247" s="42"/>
      <c r="AW247" s="42"/>
      <c r="AX247" s="42"/>
      <c r="AY247" s="43"/>
      <c r="AZ247" s="486"/>
      <c r="BA247" s="51"/>
      <c r="BB247" s="51"/>
      <c r="BC247" s="51"/>
      <c r="BD247" s="51"/>
      <c r="BE247" s="51"/>
      <c r="BF247" s="51"/>
      <c r="BG247" s="51"/>
      <c r="BH247" s="94"/>
      <c r="BI247" s="94"/>
      <c r="BJ247" s="94"/>
      <c r="BK247" s="94"/>
      <c r="BL247" s="94"/>
      <c r="BM247" s="483"/>
      <c r="BN247" s="94"/>
      <c r="BO247" s="94"/>
      <c r="BP247" s="94"/>
      <c r="BQ247" s="94"/>
      <c r="BR247" s="94"/>
      <c r="BS247" s="94"/>
      <c r="BT247" s="94"/>
      <c r="BU247" s="94"/>
      <c r="BV247" s="94"/>
      <c r="BW247" s="688">
        <f t="shared" si="26"/>
        <v>0</v>
      </c>
      <c r="BX247" s="51"/>
      <c r="BY247" s="51"/>
      <c r="BZ247" s="51"/>
      <c r="CA247" s="51"/>
      <c r="CB247" s="51"/>
      <c r="CC247" s="51"/>
      <c r="CD247" s="97"/>
      <c r="CE247" s="479"/>
      <c r="CF247" s="51"/>
      <c r="CG247" s="51"/>
      <c r="CH247" s="62"/>
      <c r="CI247" s="62"/>
      <c r="CJ247" s="51"/>
      <c r="CK247" s="51"/>
      <c r="CL247" s="95"/>
      <c r="CM247" s="93"/>
      <c r="CN247" s="51"/>
      <c r="CO247" s="51"/>
      <c r="CP247" s="51"/>
      <c r="CQ247" s="51"/>
      <c r="CR247" s="51"/>
      <c r="CS247" s="51"/>
      <c r="CT247" s="51"/>
      <c r="CU247" s="95"/>
      <c r="CV247" s="93"/>
      <c r="CW247" s="51"/>
      <c r="CX247" s="51"/>
      <c r="CY247" s="51"/>
      <c r="CZ247" s="51"/>
      <c r="DA247" s="51"/>
      <c r="DB247" s="51"/>
      <c r="DC247" s="51"/>
      <c r="DD247" s="95"/>
      <c r="DE247" s="93"/>
      <c r="DF247" s="51"/>
      <c r="DG247" s="51"/>
      <c r="DH247" s="51"/>
      <c r="DI247" s="51"/>
      <c r="DJ247" s="51"/>
      <c r="DK247" s="51"/>
      <c r="DL247" s="95"/>
      <c r="DM247" s="478"/>
      <c r="DN247" s="682">
        <f t="shared" si="31"/>
        <v>0</v>
      </c>
      <c r="DO247" s="683"/>
    </row>
    <row r="248" spans="1:119" ht="25.5" customHeight="1" thickTop="1" thickBot="1" x14ac:dyDescent="0.2">
      <c r="A248" s="676">
        <f t="shared" si="27"/>
        <v>233</v>
      </c>
      <c r="B248" s="1054"/>
      <c r="C248" s="1055"/>
      <c r="D248" s="83"/>
      <c r="E248" s="954"/>
      <c r="F248" s="52"/>
      <c r="G248" s="103"/>
      <c r="H248" s="1058"/>
      <c r="I248" s="684" t="str">
        <f t="shared" si="24"/>
        <v/>
      </c>
      <c r="J248" s="685">
        <f t="shared" si="25"/>
        <v>0</v>
      </c>
      <c r="K248" s="1258"/>
      <c r="L248" s="1251"/>
      <c r="M248" s="1257"/>
      <c r="N248" s="719" t="str">
        <f t="shared" si="28"/>
        <v/>
      </c>
      <c r="O248" s="720" t="str">
        <f>IF('Set up ~ Config'!$G$32=6,IF(OR($N248=7,$N248=8,$N248=9),1,IF(OR($N248=10,$N248=11,$N248=12),2,IF(OR($N248=1,$N248=2,$N248=3),3,IF(OR($N248=4,$N248=5,$N248=6),4,"")))),IF(OR($N248=9,$N248=10,$N248=11),1,IF(OR($N248=12,$N248=1,$N248=2),2,IF(OR($N248=3,$N248=4,$N248=5),3,IF(OR($N248=6,$N248=7,$N248=8),4,"")))))</f>
        <v/>
      </c>
      <c r="P248" s="99"/>
      <c r="Q248" s="62"/>
      <c r="R248" s="62"/>
      <c r="S248" s="51"/>
      <c r="T248" s="51"/>
      <c r="U248" s="51"/>
      <c r="V248" s="51"/>
      <c r="W248" s="51"/>
      <c r="X248" s="51"/>
      <c r="Y248" s="51"/>
      <c r="Z248" s="51"/>
      <c r="AA248" s="51"/>
      <c r="AB248" s="51"/>
      <c r="AC248" s="51"/>
      <c r="AD248" s="51"/>
      <c r="AE248" s="51"/>
      <c r="AF248" s="51"/>
      <c r="AG248" s="51"/>
      <c r="AH248" s="94"/>
      <c r="AI248" s="94"/>
      <c r="AJ248" s="94"/>
      <c r="AK248" s="94"/>
      <c r="AL248" s="94"/>
      <c r="AM248" s="94"/>
      <c r="AN248" s="94"/>
      <c r="AO248" s="95"/>
      <c r="AP248" s="686">
        <f t="shared" si="29"/>
        <v>0</v>
      </c>
      <c r="AQ248" s="42"/>
      <c r="AR248" s="42"/>
      <c r="AS248" s="42"/>
      <c r="AT248" s="43"/>
      <c r="AU248" s="687">
        <f t="shared" si="30"/>
        <v>0</v>
      </c>
      <c r="AV248" s="42"/>
      <c r="AW248" s="42"/>
      <c r="AX248" s="42"/>
      <c r="AY248" s="43"/>
      <c r="AZ248" s="486"/>
      <c r="BA248" s="51"/>
      <c r="BB248" s="51"/>
      <c r="BC248" s="51"/>
      <c r="BD248" s="51"/>
      <c r="BE248" s="51"/>
      <c r="BF248" s="51"/>
      <c r="BG248" s="51"/>
      <c r="BH248" s="94"/>
      <c r="BI248" s="94"/>
      <c r="BJ248" s="94"/>
      <c r="BK248" s="94"/>
      <c r="BL248" s="94"/>
      <c r="BM248" s="483"/>
      <c r="BN248" s="94"/>
      <c r="BO248" s="94"/>
      <c r="BP248" s="94"/>
      <c r="BQ248" s="94"/>
      <c r="BR248" s="94"/>
      <c r="BS248" s="94"/>
      <c r="BT248" s="94"/>
      <c r="BU248" s="94"/>
      <c r="BV248" s="94"/>
      <c r="BW248" s="688">
        <f t="shared" si="26"/>
        <v>0</v>
      </c>
      <c r="BX248" s="51"/>
      <c r="BY248" s="51"/>
      <c r="BZ248" s="51"/>
      <c r="CA248" s="51"/>
      <c r="CB248" s="51"/>
      <c r="CC248" s="51"/>
      <c r="CD248" s="97"/>
      <c r="CE248" s="479"/>
      <c r="CF248" s="51"/>
      <c r="CG248" s="51"/>
      <c r="CH248" s="62"/>
      <c r="CI248" s="62"/>
      <c r="CJ248" s="51"/>
      <c r="CK248" s="51"/>
      <c r="CL248" s="95"/>
      <c r="CM248" s="93"/>
      <c r="CN248" s="51"/>
      <c r="CO248" s="51"/>
      <c r="CP248" s="51"/>
      <c r="CQ248" s="51"/>
      <c r="CR248" s="51"/>
      <c r="CS248" s="51"/>
      <c r="CT248" s="51"/>
      <c r="CU248" s="95"/>
      <c r="CV248" s="93"/>
      <c r="CW248" s="51"/>
      <c r="CX248" s="51"/>
      <c r="CY248" s="51"/>
      <c r="CZ248" s="51"/>
      <c r="DA248" s="51"/>
      <c r="DB248" s="51"/>
      <c r="DC248" s="51"/>
      <c r="DD248" s="95"/>
      <c r="DE248" s="93"/>
      <c r="DF248" s="51"/>
      <c r="DG248" s="51"/>
      <c r="DH248" s="51"/>
      <c r="DI248" s="51"/>
      <c r="DJ248" s="51"/>
      <c r="DK248" s="51"/>
      <c r="DL248" s="95"/>
      <c r="DM248" s="478"/>
      <c r="DN248" s="682">
        <f t="shared" si="31"/>
        <v>0</v>
      </c>
      <c r="DO248" s="683"/>
    </row>
    <row r="249" spans="1:119" ht="25.5" customHeight="1" thickTop="1" thickBot="1" x14ac:dyDescent="0.2">
      <c r="A249" s="676">
        <f t="shared" si="27"/>
        <v>234</v>
      </c>
      <c r="B249" s="1054"/>
      <c r="C249" s="1055"/>
      <c r="D249" s="83"/>
      <c r="E249" s="954"/>
      <c r="F249" s="52"/>
      <c r="G249" s="103"/>
      <c r="H249" s="1058"/>
      <c r="I249" s="684" t="str">
        <f t="shared" si="24"/>
        <v/>
      </c>
      <c r="J249" s="685">
        <f t="shared" si="25"/>
        <v>0</v>
      </c>
      <c r="K249" s="1258"/>
      <c r="L249" s="1251"/>
      <c r="M249" s="1257"/>
      <c r="N249" s="719" t="str">
        <f t="shared" si="28"/>
        <v/>
      </c>
      <c r="O249" s="720" t="str">
        <f>IF('Set up ~ Config'!$G$32=6,IF(OR($N249=7,$N249=8,$N249=9),1,IF(OR($N249=10,$N249=11,$N249=12),2,IF(OR($N249=1,$N249=2,$N249=3),3,IF(OR($N249=4,$N249=5,$N249=6),4,"")))),IF(OR($N249=9,$N249=10,$N249=11),1,IF(OR($N249=12,$N249=1,$N249=2),2,IF(OR($N249=3,$N249=4,$N249=5),3,IF(OR($N249=6,$N249=7,$N249=8),4,"")))))</f>
        <v/>
      </c>
      <c r="P249" s="99"/>
      <c r="Q249" s="62"/>
      <c r="R249" s="62"/>
      <c r="S249" s="51"/>
      <c r="T249" s="51"/>
      <c r="U249" s="51"/>
      <c r="V249" s="51"/>
      <c r="W249" s="51"/>
      <c r="X249" s="51"/>
      <c r="Y249" s="51"/>
      <c r="Z249" s="51"/>
      <c r="AA249" s="51"/>
      <c r="AB249" s="51"/>
      <c r="AC249" s="51"/>
      <c r="AD249" s="51"/>
      <c r="AE249" s="51"/>
      <c r="AF249" s="51"/>
      <c r="AG249" s="51"/>
      <c r="AH249" s="94"/>
      <c r="AI249" s="94"/>
      <c r="AJ249" s="94"/>
      <c r="AK249" s="94"/>
      <c r="AL249" s="94"/>
      <c r="AM249" s="94"/>
      <c r="AN249" s="94"/>
      <c r="AO249" s="95"/>
      <c r="AP249" s="686">
        <f t="shared" si="29"/>
        <v>0</v>
      </c>
      <c r="AQ249" s="42"/>
      <c r="AR249" s="42"/>
      <c r="AS249" s="42"/>
      <c r="AT249" s="43"/>
      <c r="AU249" s="687">
        <f t="shared" si="30"/>
        <v>0</v>
      </c>
      <c r="AV249" s="42"/>
      <c r="AW249" s="42"/>
      <c r="AX249" s="42"/>
      <c r="AY249" s="43"/>
      <c r="AZ249" s="486"/>
      <c r="BA249" s="51"/>
      <c r="BB249" s="51"/>
      <c r="BC249" s="51"/>
      <c r="BD249" s="51"/>
      <c r="BE249" s="51"/>
      <c r="BF249" s="51"/>
      <c r="BG249" s="51"/>
      <c r="BH249" s="94"/>
      <c r="BI249" s="94"/>
      <c r="BJ249" s="94"/>
      <c r="BK249" s="94"/>
      <c r="BL249" s="94"/>
      <c r="BM249" s="483"/>
      <c r="BN249" s="94"/>
      <c r="BO249" s="94"/>
      <c r="BP249" s="94"/>
      <c r="BQ249" s="94"/>
      <c r="BR249" s="94"/>
      <c r="BS249" s="94"/>
      <c r="BT249" s="94"/>
      <c r="BU249" s="94"/>
      <c r="BV249" s="94"/>
      <c r="BW249" s="688">
        <f t="shared" si="26"/>
        <v>0</v>
      </c>
      <c r="BX249" s="51"/>
      <c r="BY249" s="51"/>
      <c r="BZ249" s="51"/>
      <c r="CA249" s="51"/>
      <c r="CB249" s="51"/>
      <c r="CC249" s="51"/>
      <c r="CD249" s="97"/>
      <c r="CE249" s="479"/>
      <c r="CF249" s="51"/>
      <c r="CG249" s="51"/>
      <c r="CH249" s="62"/>
      <c r="CI249" s="62"/>
      <c r="CJ249" s="51"/>
      <c r="CK249" s="51"/>
      <c r="CL249" s="95"/>
      <c r="CM249" s="93"/>
      <c r="CN249" s="51"/>
      <c r="CO249" s="51"/>
      <c r="CP249" s="51"/>
      <c r="CQ249" s="51"/>
      <c r="CR249" s="51"/>
      <c r="CS249" s="51"/>
      <c r="CT249" s="51"/>
      <c r="CU249" s="95"/>
      <c r="CV249" s="93"/>
      <c r="CW249" s="51"/>
      <c r="CX249" s="51"/>
      <c r="CY249" s="51"/>
      <c r="CZ249" s="51"/>
      <c r="DA249" s="51"/>
      <c r="DB249" s="51"/>
      <c r="DC249" s="51"/>
      <c r="DD249" s="95"/>
      <c r="DE249" s="93"/>
      <c r="DF249" s="51"/>
      <c r="DG249" s="51"/>
      <c r="DH249" s="51"/>
      <c r="DI249" s="51"/>
      <c r="DJ249" s="51"/>
      <c r="DK249" s="51"/>
      <c r="DL249" s="95"/>
      <c r="DM249" s="478"/>
      <c r="DN249" s="682">
        <f t="shared" si="31"/>
        <v>0</v>
      </c>
      <c r="DO249" s="683"/>
    </row>
    <row r="250" spans="1:119" ht="25.5" customHeight="1" thickTop="1" thickBot="1" x14ac:dyDescent="0.2">
      <c r="A250" s="676">
        <f t="shared" si="27"/>
        <v>235</v>
      </c>
      <c r="B250" s="1054"/>
      <c r="C250" s="1055"/>
      <c r="D250" s="83"/>
      <c r="E250" s="954"/>
      <c r="F250" s="52"/>
      <c r="G250" s="103"/>
      <c r="H250" s="1058"/>
      <c r="I250" s="684" t="str">
        <f t="shared" si="24"/>
        <v/>
      </c>
      <c r="J250" s="685">
        <f t="shared" si="25"/>
        <v>0</v>
      </c>
      <c r="K250" s="1258"/>
      <c r="L250" s="1251"/>
      <c r="M250" s="1257"/>
      <c r="N250" s="719" t="str">
        <f t="shared" si="28"/>
        <v/>
      </c>
      <c r="O250" s="720" t="str">
        <f>IF('Set up ~ Config'!$G$32=6,IF(OR($N250=7,$N250=8,$N250=9),1,IF(OR($N250=10,$N250=11,$N250=12),2,IF(OR($N250=1,$N250=2,$N250=3),3,IF(OR($N250=4,$N250=5,$N250=6),4,"")))),IF(OR($N250=9,$N250=10,$N250=11),1,IF(OR($N250=12,$N250=1,$N250=2),2,IF(OR($N250=3,$N250=4,$N250=5),3,IF(OR($N250=6,$N250=7,$N250=8),4,"")))))</f>
        <v/>
      </c>
      <c r="P250" s="99"/>
      <c r="Q250" s="62"/>
      <c r="R250" s="62"/>
      <c r="S250" s="51"/>
      <c r="T250" s="51"/>
      <c r="U250" s="51"/>
      <c r="V250" s="51"/>
      <c r="W250" s="51"/>
      <c r="X250" s="51"/>
      <c r="Y250" s="51"/>
      <c r="Z250" s="51"/>
      <c r="AA250" s="51"/>
      <c r="AB250" s="51"/>
      <c r="AC250" s="51"/>
      <c r="AD250" s="51"/>
      <c r="AE250" s="51"/>
      <c r="AF250" s="51"/>
      <c r="AG250" s="51"/>
      <c r="AH250" s="94"/>
      <c r="AI250" s="94"/>
      <c r="AJ250" s="94"/>
      <c r="AK250" s="94"/>
      <c r="AL250" s="94"/>
      <c r="AM250" s="94"/>
      <c r="AN250" s="94"/>
      <c r="AO250" s="95"/>
      <c r="AP250" s="686">
        <f t="shared" si="29"/>
        <v>0</v>
      </c>
      <c r="AQ250" s="42"/>
      <c r="AR250" s="42"/>
      <c r="AS250" s="42"/>
      <c r="AT250" s="43"/>
      <c r="AU250" s="687">
        <f t="shared" si="30"/>
        <v>0</v>
      </c>
      <c r="AV250" s="42"/>
      <c r="AW250" s="42"/>
      <c r="AX250" s="42"/>
      <c r="AY250" s="43"/>
      <c r="AZ250" s="486"/>
      <c r="BA250" s="51"/>
      <c r="BB250" s="51"/>
      <c r="BC250" s="51"/>
      <c r="BD250" s="51"/>
      <c r="BE250" s="51"/>
      <c r="BF250" s="51"/>
      <c r="BG250" s="51"/>
      <c r="BH250" s="94"/>
      <c r="BI250" s="94"/>
      <c r="BJ250" s="94"/>
      <c r="BK250" s="94"/>
      <c r="BL250" s="94"/>
      <c r="BM250" s="483"/>
      <c r="BN250" s="94"/>
      <c r="BO250" s="94"/>
      <c r="BP250" s="94"/>
      <c r="BQ250" s="94"/>
      <c r="BR250" s="94"/>
      <c r="BS250" s="94"/>
      <c r="BT250" s="94"/>
      <c r="BU250" s="94"/>
      <c r="BV250" s="94"/>
      <c r="BW250" s="688">
        <f t="shared" si="26"/>
        <v>0</v>
      </c>
      <c r="BX250" s="51"/>
      <c r="BY250" s="51"/>
      <c r="BZ250" s="51"/>
      <c r="CA250" s="51"/>
      <c r="CB250" s="51"/>
      <c r="CC250" s="51"/>
      <c r="CD250" s="97"/>
      <c r="CE250" s="479"/>
      <c r="CF250" s="51"/>
      <c r="CG250" s="51"/>
      <c r="CH250" s="62"/>
      <c r="CI250" s="62"/>
      <c r="CJ250" s="51"/>
      <c r="CK250" s="51"/>
      <c r="CL250" s="95"/>
      <c r="CM250" s="93"/>
      <c r="CN250" s="51"/>
      <c r="CO250" s="51"/>
      <c r="CP250" s="51"/>
      <c r="CQ250" s="51"/>
      <c r="CR250" s="51"/>
      <c r="CS250" s="51"/>
      <c r="CT250" s="51"/>
      <c r="CU250" s="95"/>
      <c r="CV250" s="93"/>
      <c r="CW250" s="51"/>
      <c r="CX250" s="51"/>
      <c r="CY250" s="51"/>
      <c r="CZ250" s="51"/>
      <c r="DA250" s="51"/>
      <c r="DB250" s="51"/>
      <c r="DC250" s="51"/>
      <c r="DD250" s="95"/>
      <c r="DE250" s="93"/>
      <c r="DF250" s="51"/>
      <c r="DG250" s="51"/>
      <c r="DH250" s="51"/>
      <c r="DI250" s="51"/>
      <c r="DJ250" s="51"/>
      <c r="DK250" s="51"/>
      <c r="DL250" s="95"/>
      <c r="DM250" s="478"/>
      <c r="DN250" s="682">
        <f t="shared" si="31"/>
        <v>0</v>
      </c>
      <c r="DO250" s="683"/>
    </row>
    <row r="251" spans="1:119" ht="25.5" customHeight="1" thickTop="1" thickBot="1" x14ac:dyDescent="0.2">
      <c r="A251" s="676">
        <f t="shared" si="27"/>
        <v>236</v>
      </c>
      <c r="B251" s="1054"/>
      <c r="C251" s="1055"/>
      <c r="D251" s="83"/>
      <c r="E251" s="954"/>
      <c r="F251" s="52"/>
      <c r="G251" s="103"/>
      <c r="H251" s="1058"/>
      <c r="I251" s="684" t="str">
        <f t="shared" si="24"/>
        <v/>
      </c>
      <c r="J251" s="685">
        <f t="shared" si="25"/>
        <v>0</v>
      </c>
      <c r="K251" s="1258"/>
      <c r="L251" s="1251"/>
      <c r="M251" s="1257"/>
      <c r="N251" s="719" t="str">
        <f t="shared" si="28"/>
        <v/>
      </c>
      <c r="O251" s="720" t="str">
        <f>IF('Set up ~ Config'!$G$32=6,IF(OR($N251=7,$N251=8,$N251=9),1,IF(OR($N251=10,$N251=11,$N251=12),2,IF(OR($N251=1,$N251=2,$N251=3),3,IF(OR($N251=4,$N251=5,$N251=6),4,"")))),IF(OR($N251=9,$N251=10,$N251=11),1,IF(OR($N251=12,$N251=1,$N251=2),2,IF(OR($N251=3,$N251=4,$N251=5),3,IF(OR($N251=6,$N251=7,$N251=8),4,"")))))</f>
        <v/>
      </c>
      <c r="P251" s="99"/>
      <c r="Q251" s="62"/>
      <c r="R251" s="62"/>
      <c r="S251" s="51"/>
      <c r="T251" s="51"/>
      <c r="U251" s="51"/>
      <c r="V251" s="51"/>
      <c r="W251" s="51"/>
      <c r="X251" s="51"/>
      <c r="Y251" s="51"/>
      <c r="Z251" s="51"/>
      <c r="AA251" s="51"/>
      <c r="AB251" s="51"/>
      <c r="AC251" s="51"/>
      <c r="AD251" s="51"/>
      <c r="AE251" s="51"/>
      <c r="AF251" s="51"/>
      <c r="AG251" s="51"/>
      <c r="AH251" s="94"/>
      <c r="AI251" s="94"/>
      <c r="AJ251" s="94"/>
      <c r="AK251" s="94"/>
      <c r="AL251" s="94"/>
      <c r="AM251" s="94"/>
      <c r="AN251" s="94"/>
      <c r="AO251" s="95"/>
      <c r="AP251" s="686">
        <f t="shared" si="29"/>
        <v>0</v>
      </c>
      <c r="AQ251" s="42"/>
      <c r="AR251" s="42"/>
      <c r="AS251" s="42"/>
      <c r="AT251" s="43"/>
      <c r="AU251" s="687">
        <f t="shared" si="30"/>
        <v>0</v>
      </c>
      <c r="AV251" s="42"/>
      <c r="AW251" s="42"/>
      <c r="AX251" s="42"/>
      <c r="AY251" s="43"/>
      <c r="AZ251" s="486"/>
      <c r="BA251" s="51"/>
      <c r="BB251" s="51"/>
      <c r="BC251" s="51"/>
      <c r="BD251" s="51"/>
      <c r="BE251" s="51"/>
      <c r="BF251" s="51"/>
      <c r="BG251" s="51"/>
      <c r="BH251" s="94"/>
      <c r="BI251" s="94"/>
      <c r="BJ251" s="94"/>
      <c r="BK251" s="94"/>
      <c r="BL251" s="94"/>
      <c r="BM251" s="483"/>
      <c r="BN251" s="94"/>
      <c r="BO251" s="94"/>
      <c r="BP251" s="94"/>
      <c r="BQ251" s="94"/>
      <c r="BR251" s="94"/>
      <c r="BS251" s="94"/>
      <c r="BT251" s="94"/>
      <c r="BU251" s="94"/>
      <c r="BV251" s="94"/>
      <c r="BW251" s="688">
        <f t="shared" si="26"/>
        <v>0</v>
      </c>
      <c r="BX251" s="51"/>
      <c r="BY251" s="51"/>
      <c r="BZ251" s="51"/>
      <c r="CA251" s="51"/>
      <c r="CB251" s="51"/>
      <c r="CC251" s="51"/>
      <c r="CD251" s="97"/>
      <c r="CE251" s="479"/>
      <c r="CF251" s="51"/>
      <c r="CG251" s="51"/>
      <c r="CH251" s="62"/>
      <c r="CI251" s="62"/>
      <c r="CJ251" s="51"/>
      <c r="CK251" s="51"/>
      <c r="CL251" s="95"/>
      <c r="CM251" s="93"/>
      <c r="CN251" s="51"/>
      <c r="CO251" s="51"/>
      <c r="CP251" s="51"/>
      <c r="CQ251" s="51"/>
      <c r="CR251" s="51"/>
      <c r="CS251" s="51"/>
      <c r="CT251" s="51"/>
      <c r="CU251" s="95"/>
      <c r="CV251" s="93"/>
      <c r="CW251" s="51"/>
      <c r="CX251" s="51"/>
      <c r="CY251" s="51"/>
      <c r="CZ251" s="51"/>
      <c r="DA251" s="51"/>
      <c r="DB251" s="51"/>
      <c r="DC251" s="51"/>
      <c r="DD251" s="95"/>
      <c r="DE251" s="93"/>
      <c r="DF251" s="51"/>
      <c r="DG251" s="51"/>
      <c r="DH251" s="51"/>
      <c r="DI251" s="51"/>
      <c r="DJ251" s="51"/>
      <c r="DK251" s="51"/>
      <c r="DL251" s="95"/>
      <c r="DM251" s="478"/>
      <c r="DN251" s="682">
        <f t="shared" si="31"/>
        <v>0</v>
      </c>
      <c r="DO251" s="683"/>
    </row>
    <row r="252" spans="1:119" ht="25.5" customHeight="1" thickTop="1" thickBot="1" x14ac:dyDescent="0.2">
      <c r="A252" s="676">
        <f t="shared" si="27"/>
        <v>237</v>
      </c>
      <c r="B252" s="1054"/>
      <c r="C252" s="1055"/>
      <c r="D252" s="83"/>
      <c r="E252" s="954"/>
      <c r="F252" s="52"/>
      <c r="G252" s="103"/>
      <c r="H252" s="1058"/>
      <c r="I252" s="684" t="str">
        <f t="shared" si="24"/>
        <v/>
      </c>
      <c r="J252" s="685">
        <f t="shared" si="25"/>
        <v>0</v>
      </c>
      <c r="K252" s="1258"/>
      <c r="L252" s="1251"/>
      <c r="M252" s="1257"/>
      <c r="N252" s="719" t="str">
        <f t="shared" si="28"/>
        <v/>
      </c>
      <c r="O252" s="720" t="str">
        <f>IF('Set up ~ Config'!$G$32=6,IF(OR($N252=7,$N252=8,$N252=9),1,IF(OR($N252=10,$N252=11,$N252=12),2,IF(OR($N252=1,$N252=2,$N252=3),3,IF(OR($N252=4,$N252=5,$N252=6),4,"")))),IF(OR($N252=9,$N252=10,$N252=11),1,IF(OR($N252=12,$N252=1,$N252=2),2,IF(OR($N252=3,$N252=4,$N252=5),3,IF(OR($N252=6,$N252=7,$N252=8),4,"")))))</f>
        <v/>
      </c>
      <c r="P252" s="99"/>
      <c r="Q252" s="62"/>
      <c r="R252" s="62"/>
      <c r="S252" s="51"/>
      <c r="T252" s="51"/>
      <c r="U252" s="51"/>
      <c r="V252" s="51"/>
      <c r="W252" s="51"/>
      <c r="X252" s="51"/>
      <c r="Y252" s="51"/>
      <c r="Z252" s="51"/>
      <c r="AA252" s="51"/>
      <c r="AB252" s="51"/>
      <c r="AC252" s="51"/>
      <c r="AD252" s="51"/>
      <c r="AE252" s="51"/>
      <c r="AF252" s="51"/>
      <c r="AG252" s="51"/>
      <c r="AH252" s="94"/>
      <c r="AI252" s="94"/>
      <c r="AJ252" s="94"/>
      <c r="AK252" s="94"/>
      <c r="AL252" s="94"/>
      <c r="AM252" s="94"/>
      <c r="AN252" s="94"/>
      <c r="AO252" s="95"/>
      <c r="AP252" s="686">
        <f t="shared" si="29"/>
        <v>0</v>
      </c>
      <c r="AQ252" s="42"/>
      <c r="AR252" s="42"/>
      <c r="AS252" s="42"/>
      <c r="AT252" s="43"/>
      <c r="AU252" s="687">
        <f t="shared" si="30"/>
        <v>0</v>
      </c>
      <c r="AV252" s="42"/>
      <c r="AW252" s="42"/>
      <c r="AX252" s="42"/>
      <c r="AY252" s="43"/>
      <c r="AZ252" s="486"/>
      <c r="BA252" s="51"/>
      <c r="BB252" s="51"/>
      <c r="BC252" s="51"/>
      <c r="BD252" s="51"/>
      <c r="BE252" s="51"/>
      <c r="BF252" s="51"/>
      <c r="BG252" s="51"/>
      <c r="BH252" s="94"/>
      <c r="BI252" s="94"/>
      <c r="BJ252" s="94"/>
      <c r="BK252" s="94"/>
      <c r="BL252" s="94"/>
      <c r="BM252" s="483"/>
      <c r="BN252" s="94"/>
      <c r="BO252" s="94"/>
      <c r="BP252" s="94"/>
      <c r="BQ252" s="94"/>
      <c r="BR252" s="94"/>
      <c r="BS252" s="94"/>
      <c r="BT252" s="94"/>
      <c r="BU252" s="94"/>
      <c r="BV252" s="94"/>
      <c r="BW252" s="688">
        <f t="shared" si="26"/>
        <v>0</v>
      </c>
      <c r="BX252" s="51"/>
      <c r="BY252" s="51"/>
      <c r="BZ252" s="51"/>
      <c r="CA252" s="51"/>
      <c r="CB252" s="51"/>
      <c r="CC252" s="51"/>
      <c r="CD252" s="97"/>
      <c r="CE252" s="479"/>
      <c r="CF252" s="51"/>
      <c r="CG252" s="51"/>
      <c r="CH252" s="62"/>
      <c r="CI252" s="62"/>
      <c r="CJ252" s="51"/>
      <c r="CK252" s="51"/>
      <c r="CL252" s="95"/>
      <c r="CM252" s="93"/>
      <c r="CN252" s="51"/>
      <c r="CO252" s="51"/>
      <c r="CP252" s="51"/>
      <c r="CQ252" s="51"/>
      <c r="CR252" s="51"/>
      <c r="CS252" s="51"/>
      <c r="CT252" s="51"/>
      <c r="CU252" s="95"/>
      <c r="CV252" s="93"/>
      <c r="CW252" s="51"/>
      <c r="CX252" s="51"/>
      <c r="CY252" s="51"/>
      <c r="CZ252" s="51"/>
      <c r="DA252" s="51"/>
      <c r="DB252" s="51"/>
      <c r="DC252" s="51"/>
      <c r="DD252" s="95"/>
      <c r="DE252" s="93"/>
      <c r="DF252" s="51"/>
      <c r="DG252" s="51"/>
      <c r="DH252" s="51"/>
      <c r="DI252" s="51"/>
      <c r="DJ252" s="51"/>
      <c r="DK252" s="51"/>
      <c r="DL252" s="95"/>
      <c r="DM252" s="478"/>
      <c r="DN252" s="682">
        <f t="shared" si="31"/>
        <v>0</v>
      </c>
      <c r="DO252" s="683"/>
    </row>
    <row r="253" spans="1:119" ht="25.5" customHeight="1" thickTop="1" thickBot="1" x14ac:dyDescent="0.2">
      <c r="A253" s="676">
        <f t="shared" si="27"/>
        <v>238</v>
      </c>
      <c r="B253" s="1054"/>
      <c r="C253" s="1055"/>
      <c r="D253" s="83"/>
      <c r="E253" s="954"/>
      <c r="F253" s="52"/>
      <c r="G253" s="103"/>
      <c r="H253" s="1058"/>
      <c r="I253" s="684" t="str">
        <f t="shared" si="24"/>
        <v/>
      </c>
      <c r="J253" s="685">
        <f t="shared" si="25"/>
        <v>0</v>
      </c>
      <c r="K253" s="1258"/>
      <c r="L253" s="1251"/>
      <c r="M253" s="1257"/>
      <c r="N253" s="719" t="str">
        <f t="shared" si="28"/>
        <v/>
      </c>
      <c r="O253" s="720" t="str">
        <f>IF('Set up ~ Config'!$G$32=6,IF(OR($N253=7,$N253=8,$N253=9),1,IF(OR($N253=10,$N253=11,$N253=12),2,IF(OR($N253=1,$N253=2,$N253=3),3,IF(OR($N253=4,$N253=5,$N253=6),4,"")))),IF(OR($N253=9,$N253=10,$N253=11),1,IF(OR($N253=12,$N253=1,$N253=2),2,IF(OR($N253=3,$N253=4,$N253=5),3,IF(OR($N253=6,$N253=7,$N253=8),4,"")))))</f>
        <v/>
      </c>
      <c r="P253" s="99"/>
      <c r="Q253" s="62"/>
      <c r="R253" s="62"/>
      <c r="S253" s="51"/>
      <c r="T253" s="51"/>
      <c r="U253" s="51"/>
      <c r="V253" s="51"/>
      <c r="W253" s="51"/>
      <c r="X253" s="51"/>
      <c r="Y253" s="51"/>
      <c r="Z253" s="51"/>
      <c r="AA253" s="51"/>
      <c r="AB253" s="51"/>
      <c r="AC253" s="51"/>
      <c r="AD253" s="51"/>
      <c r="AE253" s="51"/>
      <c r="AF253" s="51"/>
      <c r="AG253" s="51"/>
      <c r="AH253" s="94"/>
      <c r="AI253" s="94"/>
      <c r="AJ253" s="94"/>
      <c r="AK253" s="94"/>
      <c r="AL253" s="94"/>
      <c r="AM253" s="94"/>
      <c r="AN253" s="94"/>
      <c r="AO253" s="95"/>
      <c r="AP253" s="686">
        <f t="shared" si="29"/>
        <v>0</v>
      </c>
      <c r="AQ253" s="42"/>
      <c r="AR253" s="42"/>
      <c r="AS253" s="42"/>
      <c r="AT253" s="43"/>
      <c r="AU253" s="687">
        <f t="shared" si="30"/>
        <v>0</v>
      </c>
      <c r="AV253" s="42"/>
      <c r="AW253" s="42"/>
      <c r="AX253" s="42"/>
      <c r="AY253" s="43"/>
      <c r="AZ253" s="486"/>
      <c r="BA253" s="51"/>
      <c r="BB253" s="51"/>
      <c r="BC253" s="51"/>
      <c r="BD253" s="51"/>
      <c r="BE253" s="51"/>
      <c r="BF253" s="51"/>
      <c r="BG253" s="51"/>
      <c r="BH253" s="94"/>
      <c r="BI253" s="94"/>
      <c r="BJ253" s="94"/>
      <c r="BK253" s="94"/>
      <c r="BL253" s="94"/>
      <c r="BM253" s="483"/>
      <c r="BN253" s="94"/>
      <c r="BO253" s="94"/>
      <c r="BP253" s="94"/>
      <c r="BQ253" s="94"/>
      <c r="BR253" s="94"/>
      <c r="BS253" s="94"/>
      <c r="BT253" s="94"/>
      <c r="BU253" s="94"/>
      <c r="BV253" s="94"/>
      <c r="BW253" s="688">
        <f t="shared" si="26"/>
        <v>0</v>
      </c>
      <c r="BX253" s="51"/>
      <c r="BY253" s="51"/>
      <c r="BZ253" s="51"/>
      <c r="CA253" s="51"/>
      <c r="CB253" s="51"/>
      <c r="CC253" s="51"/>
      <c r="CD253" s="97"/>
      <c r="CE253" s="479"/>
      <c r="CF253" s="51"/>
      <c r="CG253" s="51"/>
      <c r="CH253" s="62"/>
      <c r="CI253" s="62"/>
      <c r="CJ253" s="51"/>
      <c r="CK253" s="51"/>
      <c r="CL253" s="95"/>
      <c r="CM253" s="93"/>
      <c r="CN253" s="51"/>
      <c r="CO253" s="51"/>
      <c r="CP253" s="51"/>
      <c r="CQ253" s="51"/>
      <c r="CR253" s="51"/>
      <c r="CS253" s="51"/>
      <c r="CT253" s="51"/>
      <c r="CU253" s="95"/>
      <c r="CV253" s="93"/>
      <c r="CW253" s="51"/>
      <c r="CX253" s="51"/>
      <c r="CY253" s="51"/>
      <c r="CZ253" s="51"/>
      <c r="DA253" s="51"/>
      <c r="DB253" s="51"/>
      <c r="DC253" s="51"/>
      <c r="DD253" s="95"/>
      <c r="DE253" s="93"/>
      <c r="DF253" s="51"/>
      <c r="DG253" s="51"/>
      <c r="DH253" s="51"/>
      <c r="DI253" s="51"/>
      <c r="DJ253" s="51"/>
      <c r="DK253" s="51"/>
      <c r="DL253" s="95"/>
      <c r="DM253" s="478"/>
      <c r="DN253" s="682">
        <f t="shared" si="31"/>
        <v>0</v>
      </c>
      <c r="DO253" s="683"/>
    </row>
    <row r="254" spans="1:119" ht="25.5" customHeight="1" thickTop="1" thickBot="1" x14ac:dyDescent="0.2">
      <c r="A254" s="676">
        <f t="shared" si="27"/>
        <v>239</v>
      </c>
      <c r="B254" s="1054"/>
      <c r="C254" s="1055"/>
      <c r="D254" s="83"/>
      <c r="E254" s="954"/>
      <c r="F254" s="52"/>
      <c r="G254" s="103"/>
      <c r="H254" s="1058"/>
      <c r="I254" s="684" t="str">
        <f t="shared" si="24"/>
        <v/>
      </c>
      <c r="J254" s="685">
        <f t="shared" si="25"/>
        <v>0</v>
      </c>
      <c r="K254" s="1258"/>
      <c r="L254" s="1251"/>
      <c r="M254" s="1257"/>
      <c r="N254" s="719" t="str">
        <f t="shared" si="28"/>
        <v/>
      </c>
      <c r="O254" s="720" t="str">
        <f>IF('Set up ~ Config'!$G$32=6,IF(OR($N254=7,$N254=8,$N254=9),1,IF(OR($N254=10,$N254=11,$N254=12),2,IF(OR($N254=1,$N254=2,$N254=3),3,IF(OR($N254=4,$N254=5,$N254=6),4,"")))),IF(OR($N254=9,$N254=10,$N254=11),1,IF(OR($N254=12,$N254=1,$N254=2),2,IF(OR($N254=3,$N254=4,$N254=5),3,IF(OR($N254=6,$N254=7,$N254=8),4,"")))))</f>
        <v/>
      </c>
      <c r="P254" s="99"/>
      <c r="Q254" s="62"/>
      <c r="R254" s="62"/>
      <c r="S254" s="51"/>
      <c r="T254" s="51"/>
      <c r="U254" s="51"/>
      <c r="V254" s="51"/>
      <c r="W254" s="51"/>
      <c r="X254" s="51"/>
      <c r="Y254" s="51"/>
      <c r="Z254" s="51"/>
      <c r="AA254" s="51"/>
      <c r="AB254" s="51"/>
      <c r="AC254" s="51"/>
      <c r="AD254" s="51"/>
      <c r="AE254" s="51"/>
      <c r="AF254" s="51"/>
      <c r="AG254" s="51"/>
      <c r="AH254" s="94"/>
      <c r="AI254" s="94"/>
      <c r="AJ254" s="94"/>
      <c r="AK254" s="94"/>
      <c r="AL254" s="94"/>
      <c r="AM254" s="94"/>
      <c r="AN254" s="94"/>
      <c r="AO254" s="95"/>
      <c r="AP254" s="686">
        <f t="shared" si="29"/>
        <v>0</v>
      </c>
      <c r="AQ254" s="42"/>
      <c r="AR254" s="42"/>
      <c r="AS254" s="42"/>
      <c r="AT254" s="43"/>
      <c r="AU254" s="687">
        <f t="shared" si="30"/>
        <v>0</v>
      </c>
      <c r="AV254" s="42"/>
      <c r="AW254" s="42"/>
      <c r="AX254" s="42"/>
      <c r="AY254" s="43"/>
      <c r="AZ254" s="486"/>
      <c r="BA254" s="51"/>
      <c r="BB254" s="51"/>
      <c r="BC254" s="51"/>
      <c r="BD254" s="51"/>
      <c r="BE254" s="51"/>
      <c r="BF254" s="51"/>
      <c r="BG254" s="51"/>
      <c r="BH254" s="94"/>
      <c r="BI254" s="94"/>
      <c r="BJ254" s="94"/>
      <c r="BK254" s="94"/>
      <c r="BL254" s="94"/>
      <c r="BM254" s="483"/>
      <c r="BN254" s="94"/>
      <c r="BO254" s="94"/>
      <c r="BP254" s="94"/>
      <c r="BQ254" s="94"/>
      <c r="BR254" s="94"/>
      <c r="BS254" s="94"/>
      <c r="BT254" s="94"/>
      <c r="BU254" s="94"/>
      <c r="BV254" s="94"/>
      <c r="BW254" s="688">
        <f t="shared" si="26"/>
        <v>0</v>
      </c>
      <c r="BX254" s="51"/>
      <c r="BY254" s="51"/>
      <c r="BZ254" s="51"/>
      <c r="CA254" s="51"/>
      <c r="CB254" s="51"/>
      <c r="CC254" s="51"/>
      <c r="CD254" s="97"/>
      <c r="CE254" s="479"/>
      <c r="CF254" s="51"/>
      <c r="CG254" s="51"/>
      <c r="CH254" s="62"/>
      <c r="CI254" s="62"/>
      <c r="CJ254" s="51"/>
      <c r="CK254" s="51"/>
      <c r="CL254" s="95"/>
      <c r="CM254" s="93"/>
      <c r="CN254" s="51"/>
      <c r="CO254" s="51"/>
      <c r="CP254" s="51"/>
      <c r="CQ254" s="51"/>
      <c r="CR254" s="51"/>
      <c r="CS254" s="51"/>
      <c r="CT254" s="51"/>
      <c r="CU254" s="95"/>
      <c r="CV254" s="93"/>
      <c r="CW254" s="51"/>
      <c r="CX254" s="51"/>
      <c r="CY254" s="51"/>
      <c r="CZ254" s="51"/>
      <c r="DA254" s="51"/>
      <c r="DB254" s="51"/>
      <c r="DC254" s="51"/>
      <c r="DD254" s="95"/>
      <c r="DE254" s="93"/>
      <c r="DF254" s="51"/>
      <c r="DG254" s="51"/>
      <c r="DH254" s="51"/>
      <c r="DI254" s="51"/>
      <c r="DJ254" s="51"/>
      <c r="DK254" s="51"/>
      <c r="DL254" s="95"/>
      <c r="DM254" s="478"/>
      <c r="DN254" s="682">
        <f t="shared" si="31"/>
        <v>0</v>
      </c>
      <c r="DO254" s="683"/>
    </row>
    <row r="255" spans="1:119" ht="25.5" customHeight="1" thickTop="1" thickBot="1" x14ac:dyDescent="0.2">
      <c r="A255" s="676">
        <f t="shared" si="27"/>
        <v>240</v>
      </c>
      <c r="B255" s="1054"/>
      <c r="C255" s="1055"/>
      <c r="D255" s="83"/>
      <c r="E255" s="954"/>
      <c r="F255" s="52"/>
      <c r="G255" s="103"/>
      <c r="H255" s="1058"/>
      <c r="I255" s="684" t="str">
        <f t="shared" si="24"/>
        <v/>
      </c>
      <c r="J255" s="685">
        <f t="shared" si="25"/>
        <v>0</v>
      </c>
      <c r="K255" s="1258"/>
      <c r="L255" s="1251"/>
      <c r="M255" s="1257"/>
      <c r="N255" s="719" t="str">
        <f t="shared" si="28"/>
        <v/>
      </c>
      <c r="O255" s="720" t="str">
        <f>IF('Set up ~ Config'!$G$32=6,IF(OR($N255=7,$N255=8,$N255=9),1,IF(OR($N255=10,$N255=11,$N255=12),2,IF(OR($N255=1,$N255=2,$N255=3),3,IF(OR($N255=4,$N255=5,$N255=6),4,"")))),IF(OR($N255=9,$N255=10,$N255=11),1,IF(OR($N255=12,$N255=1,$N255=2),2,IF(OR($N255=3,$N255=4,$N255=5),3,IF(OR($N255=6,$N255=7,$N255=8),4,"")))))</f>
        <v/>
      </c>
      <c r="P255" s="99"/>
      <c r="Q255" s="62"/>
      <c r="R255" s="62"/>
      <c r="S255" s="51"/>
      <c r="T255" s="51"/>
      <c r="U255" s="51"/>
      <c r="V255" s="51"/>
      <c r="W255" s="51"/>
      <c r="X255" s="51"/>
      <c r="Y255" s="51"/>
      <c r="Z255" s="51"/>
      <c r="AA255" s="51"/>
      <c r="AB255" s="51"/>
      <c r="AC255" s="51"/>
      <c r="AD255" s="51"/>
      <c r="AE255" s="51"/>
      <c r="AF255" s="51"/>
      <c r="AG255" s="51"/>
      <c r="AH255" s="94"/>
      <c r="AI255" s="94"/>
      <c r="AJ255" s="94"/>
      <c r="AK255" s="94"/>
      <c r="AL255" s="94"/>
      <c r="AM255" s="94"/>
      <c r="AN255" s="94"/>
      <c r="AO255" s="95"/>
      <c r="AP255" s="686">
        <f t="shared" si="29"/>
        <v>0</v>
      </c>
      <c r="AQ255" s="42"/>
      <c r="AR255" s="42"/>
      <c r="AS255" s="42"/>
      <c r="AT255" s="43"/>
      <c r="AU255" s="687">
        <f t="shared" si="30"/>
        <v>0</v>
      </c>
      <c r="AV255" s="42"/>
      <c r="AW255" s="42"/>
      <c r="AX255" s="42"/>
      <c r="AY255" s="43"/>
      <c r="AZ255" s="486"/>
      <c r="BA255" s="51"/>
      <c r="BB255" s="51"/>
      <c r="BC255" s="51"/>
      <c r="BD255" s="51"/>
      <c r="BE255" s="51"/>
      <c r="BF255" s="51"/>
      <c r="BG255" s="51"/>
      <c r="BH255" s="94"/>
      <c r="BI255" s="94"/>
      <c r="BJ255" s="94"/>
      <c r="BK255" s="94"/>
      <c r="BL255" s="94"/>
      <c r="BM255" s="483"/>
      <c r="BN255" s="94"/>
      <c r="BO255" s="94"/>
      <c r="BP255" s="94"/>
      <c r="BQ255" s="94"/>
      <c r="BR255" s="94"/>
      <c r="BS255" s="94"/>
      <c r="BT255" s="94"/>
      <c r="BU255" s="94"/>
      <c r="BV255" s="94"/>
      <c r="BW255" s="688">
        <f t="shared" si="26"/>
        <v>0</v>
      </c>
      <c r="BX255" s="51"/>
      <c r="BY255" s="51"/>
      <c r="BZ255" s="51"/>
      <c r="CA255" s="51"/>
      <c r="CB255" s="51"/>
      <c r="CC255" s="51"/>
      <c r="CD255" s="97"/>
      <c r="CE255" s="479"/>
      <c r="CF255" s="51"/>
      <c r="CG255" s="51"/>
      <c r="CH255" s="62"/>
      <c r="CI255" s="62"/>
      <c r="CJ255" s="51"/>
      <c r="CK255" s="51"/>
      <c r="CL255" s="95"/>
      <c r="CM255" s="93"/>
      <c r="CN255" s="51"/>
      <c r="CO255" s="51"/>
      <c r="CP255" s="51"/>
      <c r="CQ255" s="51"/>
      <c r="CR255" s="51"/>
      <c r="CS255" s="51"/>
      <c r="CT255" s="51"/>
      <c r="CU255" s="95"/>
      <c r="CV255" s="93"/>
      <c r="CW255" s="51"/>
      <c r="CX255" s="51"/>
      <c r="CY255" s="51"/>
      <c r="CZ255" s="51"/>
      <c r="DA255" s="51"/>
      <c r="DB255" s="51"/>
      <c r="DC255" s="51"/>
      <c r="DD255" s="95"/>
      <c r="DE255" s="93"/>
      <c r="DF255" s="51"/>
      <c r="DG255" s="51"/>
      <c r="DH255" s="51"/>
      <c r="DI255" s="51"/>
      <c r="DJ255" s="51"/>
      <c r="DK255" s="51"/>
      <c r="DL255" s="95"/>
      <c r="DM255" s="478"/>
      <c r="DN255" s="682">
        <f t="shared" si="31"/>
        <v>0</v>
      </c>
      <c r="DO255" s="683"/>
    </row>
    <row r="256" spans="1:119" ht="25.5" customHeight="1" thickTop="1" thickBot="1" x14ac:dyDescent="0.2">
      <c r="A256" s="676">
        <f t="shared" si="27"/>
        <v>241</v>
      </c>
      <c r="B256" s="1054"/>
      <c r="C256" s="1055"/>
      <c r="D256" s="83"/>
      <c r="E256" s="954"/>
      <c r="F256" s="52"/>
      <c r="G256" s="103"/>
      <c r="H256" s="1058"/>
      <c r="I256" s="684" t="str">
        <f t="shared" si="24"/>
        <v/>
      </c>
      <c r="J256" s="685">
        <f t="shared" si="25"/>
        <v>0</v>
      </c>
      <c r="K256" s="1258"/>
      <c r="L256" s="1251"/>
      <c r="M256" s="1257"/>
      <c r="N256" s="719" t="str">
        <f t="shared" si="28"/>
        <v/>
      </c>
      <c r="O256" s="720" t="str">
        <f>IF('Set up ~ Config'!$G$32=6,IF(OR($N256=7,$N256=8,$N256=9),1,IF(OR($N256=10,$N256=11,$N256=12),2,IF(OR($N256=1,$N256=2,$N256=3),3,IF(OR($N256=4,$N256=5,$N256=6),4,"")))),IF(OR($N256=9,$N256=10,$N256=11),1,IF(OR($N256=12,$N256=1,$N256=2),2,IF(OR($N256=3,$N256=4,$N256=5),3,IF(OR($N256=6,$N256=7,$N256=8),4,"")))))</f>
        <v/>
      </c>
      <c r="P256" s="99"/>
      <c r="Q256" s="62"/>
      <c r="R256" s="62"/>
      <c r="S256" s="51"/>
      <c r="T256" s="51"/>
      <c r="U256" s="51"/>
      <c r="V256" s="51"/>
      <c r="W256" s="51"/>
      <c r="X256" s="51"/>
      <c r="Y256" s="51"/>
      <c r="Z256" s="51"/>
      <c r="AA256" s="51"/>
      <c r="AB256" s="51"/>
      <c r="AC256" s="51"/>
      <c r="AD256" s="51"/>
      <c r="AE256" s="51"/>
      <c r="AF256" s="51"/>
      <c r="AG256" s="51"/>
      <c r="AH256" s="94"/>
      <c r="AI256" s="94"/>
      <c r="AJ256" s="94"/>
      <c r="AK256" s="94"/>
      <c r="AL256" s="94"/>
      <c r="AM256" s="94"/>
      <c r="AN256" s="94"/>
      <c r="AO256" s="95"/>
      <c r="AP256" s="686">
        <f t="shared" si="29"/>
        <v>0</v>
      </c>
      <c r="AQ256" s="42"/>
      <c r="AR256" s="42"/>
      <c r="AS256" s="42"/>
      <c r="AT256" s="43"/>
      <c r="AU256" s="687">
        <f t="shared" si="30"/>
        <v>0</v>
      </c>
      <c r="AV256" s="42"/>
      <c r="AW256" s="42"/>
      <c r="AX256" s="42"/>
      <c r="AY256" s="43"/>
      <c r="AZ256" s="486"/>
      <c r="BA256" s="51"/>
      <c r="BB256" s="51"/>
      <c r="BC256" s="51"/>
      <c r="BD256" s="51"/>
      <c r="BE256" s="51"/>
      <c r="BF256" s="51"/>
      <c r="BG256" s="51"/>
      <c r="BH256" s="94"/>
      <c r="BI256" s="94"/>
      <c r="BJ256" s="94"/>
      <c r="BK256" s="94"/>
      <c r="BL256" s="94"/>
      <c r="BM256" s="483"/>
      <c r="BN256" s="94"/>
      <c r="BO256" s="94"/>
      <c r="BP256" s="94"/>
      <c r="BQ256" s="94"/>
      <c r="BR256" s="94"/>
      <c r="BS256" s="94"/>
      <c r="BT256" s="94"/>
      <c r="BU256" s="94"/>
      <c r="BV256" s="94"/>
      <c r="BW256" s="688">
        <f t="shared" si="26"/>
        <v>0</v>
      </c>
      <c r="BX256" s="51"/>
      <c r="BY256" s="51"/>
      <c r="BZ256" s="51"/>
      <c r="CA256" s="51"/>
      <c r="CB256" s="51"/>
      <c r="CC256" s="51"/>
      <c r="CD256" s="97"/>
      <c r="CE256" s="479"/>
      <c r="CF256" s="51"/>
      <c r="CG256" s="51"/>
      <c r="CH256" s="62"/>
      <c r="CI256" s="62"/>
      <c r="CJ256" s="51"/>
      <c r="CK256" s="51"/>
      <c r="CL256" s="95"/>
      <c r="CM256" s="93"/>
      <c r="CN256" s="51"/>
      <c r="CO256" s="51"/>
      <c r="CP256" s="51"/>
      <c r="CQ256" s="51"/>
      <c r="CR256" s="51"/>
      <c r="CS256" s="51"/>
      <c r="CT256" s="51"/>
      <c r="CU256" s="95"/>
      <c r="CV256" s="93"/>
      <c r="CW256" s="51"/>
      <c r="CX256" s="51"/>
      <c r="CY256" s="51"/>
      <c r="CZ256" s="51"/>
      <c r="DA256" s="51"/>
      <c r="DB256" s="51"/>
      <c r="DC256" s="51"/>
      <c r="DD256" s="95"/>
      <c r="DE256" s="93"/>
      <c r="DF256" s="51"/>
      <c r="DG256" s="51"/>
      <c r="DH256" s="51"/>
      <c r="DI256" s="51"/>
      <c r="DJ256" s="51"/>
      <c r="DK256" s="51"/>
      <c r="DL256" s="95"/>
      <c r="DM256" s="478"/>
      <c r="DN256" s="682">
        <f t="shared" si="31"/>
        <v>0</v>
      </c>
      <c r="DO256" s="683"/>
    </row>
    <row r="257" spans="1:119" ht="25.5" customHeight="1" thickTop="1" thickBot="1" x14ac:dyDescent="0.2">
      <c r="A257" s="676">
        <f t="shared" si="27"/>
        <v>242</v>
      </c>
      <c r="B257" s="1054"/>
      <c r="C257" s="1055"/>
      <c r="D257" s="83"/>
      <c r="E257" s="954"/>
      <c r="F257" s="52"/>
      <c r="G257" s="103"/>
      <c r="H257" s="1058"/>
      <c r="I257" s="684" t="str">
        <f t="shared" si="24"/>
        <v/>
      </c>
      <c r="J257" s="685">
        <f t="shared" si="25"/>
        <v>0</v>
      </c>
      <c r="K257" s="1258"/>
      <c r="L257" s="1251"/>
      <c r="M257" s="1257"/>
      <c r="N257" s="719" t="str">
        <f t="shared" si="28"/>
        <v/>
      </c>
      <c r="O257" s="720" t="str">
        <f>IF('Set up ~ Config'!$G$32=6,IF(OR($N257=7,$N257=8,$N257=9),1,IF(OR($N257=10,$N257=11,$N257=12),2,IF(OR($N257=1,$N257=2,$N257=3),3,IF(OR($N257=4,$N257=5,$N257=6),4,"")))),IF(OR($N257=9,$N257=10,$N257=11),1,IF(OR($N257=12,$N257=1,$N257=2),2,IF(OR($N257=3,$N257=4,$N257=5),3,IF(OR($N257=6,$N257=7,$N257=8),4,"")))))</f>
        <v/>
      </c>
      <c r="P257" s="99"/>
      <c r="Q257" s="62"/>
      <c r="R257" s="62"/>
      <c r="S257" s="51"/>
      <c r="T257" s="51"/>
      <c r="U257" s="51"/>
      <c r="V257" s="51"/>
      <c r="W257" s="51"/>
      <c r="X257" s="51"/>
      <c r="Y257" s="51"/>
      <c r="Z257" s="51"/>
      <c r="AA257" s="51"/>
      <c r="AB257" s="51"/>
      <c r="AC257" s="51"/>
      <c r="AD257" s="51"/>
      <c r="AE257" s="51"/>
      <c r="AF257" s="51"/>
      <c r="AG257" s="51"/>
      <c r="AH257" s="94"/>
      <c r="AI257" s="94"/>
      <c r="AJ257" s="94"/>
      <c r="AK257" s="94"/>
      <c r="AL257" s="94"/>
      <c r="AM257" s="94"/>
      <c r="AN257" s="94"/>
      <c r="AO257" s="95"/>
      <c r="AP257" s="686">
        <f t="shared" si="29"/>
        <v>0</v>
      </c>
      <c r="AQ257" s="42"/>
      <c r="AR257" s="42"/>
      <c r="AS257" s="42"/>
      <c r="AT257" s="43"/>
      <c r="AU257" s="687">
        <f t="shared" si="30"/>
        <v>0</v>
      </c>
      <c r="AV257" s="42"/>
      <c r="AW257" s="42"/>
      <c r="AX257" s="42"/>
      <c r="AY257" s="43"/>
      <c r="AZ257" s="486"/>
      <c r="BA257" s="51"/>
      <c r="BB257" s="51"/>
      <c r="BC257" s="51"/>
      <c r="BD257" s="51"/>
      <c r="BE257" s="51"/>
      <c r="BF257" s="51"/>
      <c r="BG257" s="51"/>
      <c r="BH257" s="94"/>
      <c r="BI257" s="94"/>
      <c r="BJ257" s="94"/>
      <c r="BK257" s="94"/>
      <c r="BL257" s="94"/>
      <c r="BM257" s="483"/>
      <c r="BN257" s="94"/>
      <c r="BO257" s="94"/>
      <c r="BP257" s="94"/>
      <c r="BQ257" s="94"/>
      <c r="BR257" s="94"/>
      <c r="BS257" s="94"/>
      <c r="BT257" s="94"/>
      <c r="BU257" s="94"/>
      <c r="BV257" s="94"/>
      <c r="BW257" s="688">
        <f t="shared" si="26"/>
        <v>0</v>
      </c>
      <c r="BX257" s="51"/>
      <c r="BY257" s="51"/>
      <c r="BZ257" s="51"/>
      <c r="CA257" s="51"/>
      <c r="CB257" s="51"/>
      <c r="CC257" s="51"/>
      <c r="CD257" s="97"/>
      <c r="CE257" s="479"/>
      <c r="CF257" s="51"/>
      <c r="CG257" s="51"/>
      <c r="CH257" s="62"/>
      <c r="CI257" s="62"/>
      <c r="CJ257" s="51"/>
      <c r="CK257" s="51"/>
      <c r="CL257" s="95"/>
      <c r="CM257" s="93"/>
      <c r="CN257" s="51"/>
      <c r="CO257" s="51"/>
      <c r="CP257" s="51"/>
      <c r="CQ257" s="51"/>
      <c r="CR257" s="51"/>
      <c r="CS257" s="51"/>
      <c r="CT257" s="51"/>
      <c r="CU257" s="95"/>
      <c r="CV257" s="93"/>
      <c r="CW257" s="51"/>
      <c r="CX257" s="51"/>
      <c r="CY257" s="51"/>
      <c r="CZ257" s="51"/>
      <c r="DA257" s="51"/>
      <c r="DB257" s="51"/>
      <c r="DC257" s="51"/>
      <c r="DD257" s="95"/>
      <c r="DE257" s="93"/>
      <c r="DF257" s="51"/>
      <c r="DG257" s="51"/>
      <c r="DH257" s="51"/>
      <c r="DI257" s="51"/>
      <c r="DJ257" s="51"/>
      <c r="DK257" s="51"/>
      <c r="DL257" s="95"/>
      <c r="DM257" s="478"/>
      <c r="DN257" s="682">
        <f t="shared" si="31"/>
        <v>0</v>
      </c>
      <c r="DO257" s="683"/>
    </row>
    <row r="258" spans="1:119" ht="25.5" customHeight="1" thickTop="1" thickBot="1" x14ac:dyDescent="0.2">
      <c r="A258" s="676">
        <f t="shared" si="27"/>
        <v>243</v>
      </c>
      <c r="B258" s="1054"/>
      <c r="C258" s="1055"/>
      <c r="D258" s="83"/>
      <c r="E258" s="954"/>
      <c r="F258" s="52"/>
      <c r="G258" s="103"/>
      <c r="H258" s="1058"/>
      <c r="I258" s="684" t="str">
        <f t="shared" si="24"/>
        <v/>
      </c>
      <c r="J258" s="685">
        <f t="shared" si="25"/>
        <v>0</v>
      </c>
      <c r="K258" s="1258"/>
      <c r="L258" s="1251"/>
      <c r="M258" s="1257"/>
      <c r="N258" s="719" t="str">
        <f t="shared" si="28"/>
        <v/>
      </c>
      <c r="O258" s="720" t="str">
        <f>IF('Set up ~ Config'!$G$32=6,IF(OR($N258=7,$N258=8,$N258=9),1,IF(OR($N258=10,$N258=11,$N258=12),2,IF(OR($N258=1,$N258=2,$N258=3),3,IF(OR($N258=4,$N258=5,$N258=6),4,"")))),IF(OR($N258=9,$N258=10,$N258=11),1,IF(OR($N258=12,$N258=1,$N258=2),2,IF(OR($N258=3,$N258=4,$N258=5),3,IF(OR($N258=6,$N258=7,$N258=8),4,"")))))</f>
        <v/>
      </c>
      <c r="P258" s="99"/>
      <c r="Q258" s="62"/>
      <c r="R258" s="62"/>
      <c r="S258" s="51"/>
      <c r="T258" s="51"/>
      <c r="U258" s="51"/>
      <c r="V258" s="51"/>
      <c r="W258" s="51"/>
      <c r="X258" s="51"/>
      <c r="Y258" s="51"/>
      <c r="Z258" s="51"/>
      <c r="AA258" s="51"/>
      <c r="AB258" s="51"/>
      <c r="AC258" s="51"/>
      <c r="AD258" s="51"/>
      <c r="AE258" s="51"/>
      <c r="AF258" s="51"/>
      <c r="AG258" s="51"/>
      <c r="AH258" s="94"/>
      <c r="AI258" s="94"/>
      <c r="AJ258" s="94"/>
      <c r="AK258" s="94"/>
      <c r="AL258" s="94"/>
      <c r="AM258" s="94"/>
      <c r="AN258" s="94"/>
      <c r="AO258" s="95"/>
      <c r="AP258" s="686">
        <f t="shared" si="29"/>
        <v>0</v>
      </c>
      <c r="AQ258" s="42"/>
      <c r="AR258" s="42"/>
      <c r="AS258" s="42"/>
      <c r="AT258" s="43"/>
      <c r="AU258" s="687">
        <f t="shared" si="30"/>
        <v>0</v>
      </c>
      <c r="AV258" s="42"/>
      <c r="AW258" s="42"/>
      <c r="AX258" s="42"/>
      <c r="AY258" s="43"/>
      <c r="AZ258" s="486"/>
      <c r="BA258" s="51"/>
      <c r="BB258" s="51"/>
      <c r="BC258" s="51"/>
      <c r="BD258" s="51"/>
      <c r="BE258" s="51"/>
      <c r="BF258" s="51"/>
      <c r="BG258" s="51"/>
      <c r="BH258" s="94"/>
      <c r="BI258" s="94"/>
      <c r="BJ258" s="94"/>
      <c r="BK258" s="94"/>
      <c r="BL258" s="94"/>
      <c r="BM258" s="483"/>
      <c r="BN258" s="94"/>
      <c r="BO258" s="94"/>
      <c r="BP258" s="94"/>
      <c r="BQ258" s="94"/>
      <c r="BR258" s="94"/>
      <c r="BS258" s="94"/>
      <c r="BT258" s="94"/>
      <c r="BU258" s="94"/>
      <c r="BV258" s="94"/>
      <c r="BW258" s="688">
        <f t="shared" si="26"/>
        <v>0</v>
      </c>
      <c r="BX258" s="51"/>
      <c r="BY258" s="51"/>
      <c r="BZ258" s="51"/>
      <c r="CA258" s="51"/>
      <c r="CB258" s="51"/>
      <c r="CC258" s="51"/>
      <c r="CD258" s="97"/>
      <c r="CE258" s="479"/>
      <c r="CF258" s="51"/>
      <c r="CG258" s="51"/>
      <c r="CH258" s="62"/>
      <c r="CI258" s="62"/>
      <c r="CJ258" s="51"/>
      <c r="CK258" s="51"/>
      <c r="CL258" s="95"/>
      <c r="CM258" s="93"/>
      <c r="CN258" s="51"/>
      <c r="CO258" s="51"/>
      <c r="CP258" s="51"/>
      <c r="CQ258" s="51"/>
      <c r="CR258" s="51"/>
      <c r="CS258" s="51"/>
      <c r="CT258" s="51"/>
      <c r="CU258" s="95"/>
      <c r="CV258" s="93"/>
      <c r="CW258" s="51"/>
      <c r="CX258" s="51"/>
      <c r="CY258" s="51"/>
      <c r="CZ258" s="51"/>
      <c r="DA258" s="51"/>
      <c r="DB258" s="51"/>
      <c r="DC258" s="51"/>
      <c r="DD258" s="95"/>
      <c r="DE258" s="93"/>
      <c r="DF258" s="51"/>
      <c r="DG258" s="51"/>
      <c r="DH258" s="51"/>
      <c r="DI258" s="51"/>
      <c r="DJ258" s="51"/>
      <c r="DK258" s="51"/>
      <c r="DL258" s="95"/>
      <c r="DM258" s="478"/>
      <c r="DN258" s="682">
        <f t="shared" si="31"/>
        <v>0</v>
      </c>
      <c r="DO258" s="683"/>
    </row>
    <row r="259" spans="1:119" ht="25.5" customHeight="1" thickTop="1" thickBot="1" x14ac:dyDescent="0.2">
      <c r="A259" s="676">
        <f t="shared" si="27"/>
        <v>244</v>
      </c>
      <c r="B259" s="1054"/>
      <c r="C259" s="1055"/>
      <c r="D259" s="83"/>
      <c r="E259" s="954"/>
      <c r="F259" s="52"/>
      <c r="G259" s="103"/>
      <c r="H259" s="1058"/>
      <c r="I259" s="684" t="str">
        <f t="shared" si="24"/>
        <v/>
      </c>
      <c r="J259" s="685">
        <f t="shared" si="25"/>
        <v>0</v>
      </c>
      <c r="K259" s="1258"/>
      <c r="L259" s="1251"/>
      <c r="M259" s="1257"/>
      <c r="N259" s="719" t="str">
        <f t="shared" si="28"/>
        <v/>
      </c>
      <c r="O259" s="720" t="str">
        <f>IF('Set up ~ Config'!$G$32=6,IF(OR($N259=7,$N259=8,$N259=9),1,IF(OR($N259=10,$N259=11,$N259=12),2,IF(OR($N259=1,$N259=2,$N259=3),3,IF(OR($N259=4,$N259=5,$N259=6),4,"")))),IF(OR($N259=9,$N259=10,$N259=11),1,IF(OR($N259=12,$N259=1,$N259=2),2,IF(OR($N259=3,$N259=4,$N259=5),3,IF(OR($N259=6,$N259=7,$N259=8),4,"")))))</f>
        <v/>
      </c>
      <c r="P259" s="99"/>
      <c r="Q259" s="62"/>
      <c r="R259" s="62"/>
      <c r="S259" s="51"/>
      <c r="T259" s="51"/>
      <c r="U259" s="51"/>
      <c r="V259" s="51"/>
      <c r="W259" s="51"/>
      <c r="X259" s="51"/>
      <c r="Y259" s="51"/>
      <c r="Z259" s="51"/>
      <c r="AA259" s="51"/>
      <c r="AB259" s="51"/>
      <c r="AC259" s="51"/>
      <c r="AD259" s="51"/>
      <c r="AE259" s="51"/>
      <c r="AF259" s="51"/>
      <c r="AG259" s="51"/>
      <c r="AH259" s="94"/>
      <c r="AI259" s="94"/>
      <c r="AJ259" s="94"/>
      <c r="AK259" s="94"/>
      <c r="AL259" s="94"/>
      <c r="AM259" s="94"/>
      <c r="AN259" s="94"/>
      <c r="AO259" s="95"/>
      <c r="AP259" s="686">
        <f t="shared" si="29"/>
        <v>0</v>
      </c>
      <c r="AQ259" s="42"/>
      <c r="AR259" s="42"/>
      <c r="AS259" s="42"/>
      <c r="AT259" s="43"/>
      <c r="AU259" s="687">
        <f t="shared" si="30"/>
        <v>0</v>
      </c>
      <c r="AV259" s="42"/>
      <c r="AW259" s="42"/>
      <c r="AX259" s="42"/>
      <c r="AY259" s="43"/>
      <c r="AZ259" s="486"/>
      <c r="BA259" s="51"/>
      <c r="BB259" s="51"/>
      <c r="BC259" s="51"/>
      <c r="BD259" s="51"/>
      <c r="BE259" s="51"/>
      <c r="BF259" s="51"/>
      <c r="BG259" s="51"/>
      <c r="BH259" s="94"/>
      <c r="BI259" s="94"/>
      <c r="BJ259" s="94"/>
      <c r="BK259" s="94"/>
      <c r="BL259" s="94"/>
      <c r="BM259" s="483"/>
      <c r="BN259" s="94"/>
      <c r="BO259" s="94"/>
      <c r="BP259" s="94"/>
      <c r="BQ259" s="94"/>
      <c r="BR259" s="94"/>
      <c r="BS259" s="94"/>
      <c r="BT259" s="94"/>
      <c r="BU259" s="94"/>
      <c r="BV259" s="94"/>
      <c r="BW259" s="688">
        <f t="shared" si="26"/>
        <v>0</v>
      </c>
      <c r="BX259" s="51"/>
      <c r="BY259" s="51"/>
      <c r="BZ259" s="51"/>
      <c r="CA259" s="51"/>
      <c r="CB259" s="51"/>
      <c r="CC259" s="51"/>
      <c r="CD259" s="97"/>
      <c r="CE259" s="479"/>
      <c r="CF259" s="51"/>
      <c r="CG259" s="51"/>
      <c r="CH259" s="62"/>
      <c r="CI259" s="62"/>
      <c r="CJ259" s="51"/>
      <c r="CK259" s="51"/>
      <c r="CL259" s="95"/>
      <c r="CM259" s="93"/>
      <c r="CN259" s="51"/>
      <c r="CO259" s="51"/>
      <c r="CP259" s="51"/>
      <c r="CQ259" s="51"/>
      <c r="CR259" s="51"/>
      <c r="CS259" s="51"/>
      <c r="CT259" s="51"/>
      <c r="CU259" s="95"/>
      <c r="CV259" s="93"/>
      <c r="CW259" s="51"/>
      <c r="CX259" s="51"/>
      <c r="CY259" s="51"/>
      <c r="CZ259" s="51"/>
      <c r="DA259" s="51"/>
      <c r="DB259" s="51"/>
      <c r="DC259" s="51"/>
      <c r="DD259" s="95"/>
      <c r="DE259" s="93"/>
      <c r="DF259" s="51"/>
      <c r="DG259" s="51"/>
      <c r="DH259" s="51"/>
      <c r="DI259" s="51"/>
      <c r="DJ259" s="51"/>
      <c r="DK259" s="51"/>
      <c r="DL259" s="95"/>
      <c r="DM259" s="478"/>
      <c r="DN259" s="682">
        <f t="shared" si="31"/>
        <v>0</v>
      </c>
      <c r="DO259" s="683"/>
    </row>
    <row r="260" spans="1:119" ht="25.5" customHeight="1" thickTop="1" thickBot="1" x14ac:dyDescent="0.2">
      <c r="A260" s="676">
        <f t="shared" si="27"/>
        <v>245</v>
      </c>
      <c r="B260" s="1054"/>
      <c r="C260" s="1055"/>
      <c r="D260" s="83"/>
      <c r="E260" s="954"/>
      <c r="F260" s="52"/>
      <c r="G260" s="103"/>
      <c r="H260" s="1058"/>
      <c r="I260" s="684" t="str">
        <f t="shared" si="24"/>
        <v/>
      </c>
      <c r="J260" s="685">
        <f t="shared" si="25"/>
        <v>0</v>
      </c>
      <c r="K260" s="1258"/>
      <c r="L260" s="1251"/>
      <c r="M260" s="1257"/>
      <c r="N260" s="719" t="str">
        <f t="shared" si="28"/>
        <v/>
      </c>
      <c r="O260" s="720" t="str">
        <f>IF('Set up ~ Config'!$G$32=6,IF(OR($N260=7,$N260=8,$N260=9),1,IF(OR($N260=10,$N260=11,$N260=12),2,IF(OR($N260=1,$N260=2,$N260=3),3,IF(OR($N260=4,$N260=5,$N260=6),4,"")))),IF(OR($N260=9,$N260=10,$N260=11),1,IF(OR($N260=12,$N260=1,$N260=2),2,IF(OR($N260=3,$N260=4,$N260=5),3,IF(OR($N260=6,$N260=7,$N260=8),4,"")))))</f>
        <v/>
      </c>
      <c r="P260" s="99"/>
      <c r="Q260" s="62"/>
      <c r="R260" s="62"/>
      <c r="S260" s="51"/>
      <c r="T260" s="51"/>
      <c r="U260" s="51"/>
      <c r="V260" s="51"/>
      <c r="W260" s="51"/>
      <c r="X260" s="51"/>
      <c r="Y260" s="51"/>
      <c r="Z260" s="51"/>
      <c r="AA260" s="51"/>
      <c r="AB260" s="51"/>
      <c r="AC260" s="51"/>
      <c r="AD260" s="51"/>
      <c r="AE260" s="51"/>
      <c r="AF260" s="51"/>
      <c r="AG260" s="51"/>
      <c r="AH260" s="94"/>
      <c r="AI260" s="94"/>
      <c r="AJ260" s="94"/>
      <c r="AK260" s="94"/>
      <c r="AL260" s="94"/>
      <c r="AM260" s="94"/>
      <c r="AN260" s="94"/>
      <c r="AO260" s="95"/>
      <c r="AP260" s="686">
        <f t="shared" si="29"/>
        <v>0</v>
      </c>
      <c r="AQ260" s="42"/>
      <c r="AR260" s="42"/>
      <c r="AS260" s="42"/>
      <c r="AT260" s="43"/>
      <c r="AU260" s="687">
        <f t="shared" si="30"/>
        <v>0</v>
      </c>
      <c r="AV260" s="42"/>
      <c r="AW260" s="42"/>
      <c r="AX260" s="42"/>
      <c r="AY260" s="43"/>
      <c r="AZ260" s="486"/>
      <c r="BA260" s="51"/>
      <c r="BB260" s="51"/>
      <c r="BC260" s="51"/>
      <c r="BD260" s="51"/>
      <c r="BE260" s="51"/>
      <c r="BF260" s="51"/>
      <c r="BG260" s="51"/>
      <c r="BH260" s="94"/>
      <c r="BI260" s="94"/>
      <c r="BJ260" s="94"/>
      <c r="BK260" s="94"/>
      <c r="BL260" s="94"/>
      <c r="BM260" s="483"/>
      <c r="BN260" s="94"/>
      <c r="BO260" s="94"/>
      <c r="BP260" s="94"/>
      <c r="BQ260" s="94"/>
      <c r="BR260" s="94"/>
      <c r="BS260" s="94"/>
      <c r="BT260" s="94"/>
      <c r="BU260" s="94"/>
      <c r="BV260" s="94"/>
      <c r="BW260" s="688">
        <f t="shared" si="26"/>
        <v>0</v>
      </c>
      <c r="BX260" s="51"/>
      <c r="BY260" s="51"/>
      <c r="BZ260" s="51"/>
      <c r="CA260" s="51"/>
      <c r="CB260" s="51"/>
      <c r="CC260" s="51"/>
      <c r="CD260" s="97"/>
      <c r="CE260" s="479"/>
      <c r="CF260" s="51"/>
      <c r="CG260" s="51"/>
      <c r="CH260" s="62"/>
      <c r="CI260" s="62"/>
      <c r="CJ260" s="51"/>
      <c r="CK260" s="51"/>
      <c r="CL260" s="95"/>
      <c r="CM260" s="93"/>
      <c r="CN260" s="51"/>
      <c r="CO260" s="51"/>
      <c r="CP260" s="51"/>
      <c r="CQ260" s="51"/>
      <c r="CR260" s="51"/>
      <c r="CS260" s="51"/>
      <c r="CT260" s="51"/>
      <c r="CU260" s="95"/>
      <c r="CV260" s="93"/>
      <c r="CW260" s="51"/>
      <c r="CX260" s="51"/>
      <c r="CY260" s="51"/>
      <c r="CZ260" s="51"/>
      <c r="DA260" s="51"/>
      <c r="DB260" s="51"/>
      <c r="DC260" s="51"/>
      <c r="DD260" s="95"/>
      <c r="DE260" s="93"/>
      <c r="DF260" s="51"/>
      <c r="DG260" s="51"/>
      <c r="DH260" s="51"/>
      <c r="DI260" s="51"/>
      <c r="DJ260" s="51"/>
      <c r="DK260" s="51"/>
      <c r="DL260" s="95"/>
      <c r="DM260" s="478"/>
      <c r="DN260" s="682">
        <f t="shared" si="31"/>
        <v>0</v>
      </c>
      <c r="DO260" s="683"/>
    </row>
    <row r="261" spans="1:119" ht="25.5" customHeight="1" thickTop="1" thickBot="1" x14ac:dyDescent="0.2">
      <c r="A261" s="676">
        <f t="shared" si="27"/>
        <v>246</v>
      </c>
      <c r="B261" s="1054"/>
      <c r="C261" s="1055"/>
      <c r="D261" s="83"/>
      <c r="E261" s="954"/>
      <c r="F261" s="52"/>
      <c r="G261" s="103"/>
      <c r="H261" s="1058"/>
      <c r="I261" s="684" t="str">
        <f t="shared" si="24"/>
        <v/>
      </c>
      <c r="J261" s="685">
        <f t="shared" si="25"/>
        <v>0</v>
      </c>
      <c r="K261" s="1258"/>
      <c r="L261" s="1251"/>
      <c r="M261" s="1257"/>
      <c r="N261" s="719" t="str">
        <f t="shared" si="28"/>
        <v/>
      </c>
      <c r="O261" s="720" t="str">
        <f>IF('Set up ~ Config'!$G$32=6,IF(OR($N261=7,$N261=8,$N261=9),1,IF(OR($N261=10,$N261=11,$N261=12),2,IF(OR($N261=1,$N261=2,$N261=3),3,IF(OR($N261=4,$N261=5,$N261=6),4,"")))),IF(OR($N261=9,$N261=10,$N261=11),1,IF(OR($N261=12,$N261=1,$N261=2),2,IF(OR($N261=3,$N261=4,$N261=5),3,IF(OR($N261=6,$N261=7,$N261=8),4,"")))))</f>
        <v/>
      </c>
      <c r="P261" s="99"/>
      <c r="Q261" s="62"/>
      <c r="R261" s="62"/>
      <c r="S261" s="51"/>
      <c r="T261" s="51"/>
      <c r="U261" s="51"/>
      <c r="V261" s="51"/>
      <c r="W261" s="51"/>
      <c r="X261" s="51"/>
      <c r="Y261" s="51"/>
      <c r="Z261" s="51"/>
      <c r="AA261" s="51"/>
      <c r="AB261" s="51"/>
      <c r="AC261" s="51"/>
      <c r="AD261" s="51"/>
      <c r="AE261" s="51"/>
      <c r="AF261" s="51"/>
      <c r="AG261" s="51"/>
      <c r="AH261" s="94"/>
      <c r="AI261" s="94"/>
      <c r="AJ261" s="94"/>
      <c r="AK261" s="94"/>
      <c r="AL261" s="94"/>
      <c r="AM261" s="94"/>
      <c r="AN261" s="94"/>
      <c r="AO261" s="95"/>
      <c r="AP261" s="686">
        <f t="shared" si="29"/>
        <v>0</v>
      </c>
      <c r="AQ261" s="42"/>
      <c r="AR261" s="42"/>
      <c r="AS261" s="42"/>
      <c r="AT261" s="43"/>
      <c r="AU261" s="687">
        <f t="shared" si="30"/>
        <v>0</v>
      </c>
      <c r="AV261" s="42"/>
      <c r="AW261" s="42"/>
      <c r="AX261" s="42"/>
      <c r="AY261" s="43"/>
      <c r="AZ261" s="486"/>
      <c r="BA261" s="51"/>
      <c r="BB261" s="51"/>
      <c r="BC261" s="51"/>
      <c r="BD261" s="51"/>
      <c r="BE261" s="51"/>
      <c r="BF261" s="51"/>
      <c r="BG261" s="51"/>
      <c r="BH261" s="94"/>
      <c r="BI261" s="94"/>
      <c r="BJ261" s="94"/>
      <c r="BK261" s="94"/>
      <c r="BL261" s="94"/>
      <c r="BM261" s="483"/>
      <c r="BN261" s="94"/>
      <c r="BO261" s="94"/>
      <c r="BP261" s="94"/>
      <c r="BQ261" s="94"/>
      <c r="BR261" s="94"/>
      <c r="BS261" s="94"/>
      <c r="BT261" s="94"/>
      <c r="BU261" s="94"/>
      <c r="BV261" s="94"/>
      <c r="BW261" s="688">
        <f t="shared" si="26"/>
        <v>0</v>
      </c>
      <c r="BX261" s="51"/>
      <c r="BY261" s="51"/>
      <c r="BZ261" s="51"/>
      <c r="CA261" s="51"/>
      <c r="CB261" s="51"/>
      <c r="CC261" s="51"/>
      <c r="CD261" s="97"/>
      <c r="CE261" s="479"/>
      <c r="CF261" s="51"/>
      <c r="CG261" s="51"/>
      <c r="CH261" s="62"/>
      <c r="CI261" s="62"/>
      <c r="CJ261" s="51"/>
      <c r="CK261" s="51"/>
      <c r="CL261" s="95"/>
      <c r="CM261" s="93"/>
      <c r="CN261" s="51"/>
      <c r="CO261" s="51"/>
      <c r="CP261" s="51"/>
      <c r="CQ261" s="51"/>
      <c r="CR261" s="51"/>
      <c r="CS261" s="51"/>
      <c r="CT261" s="51"/>
      <c r="CU261" s="95"/>
      <c r="CV261" s="93"/>
      <c r="CW261" s="51"/>
      <c r="CX261" s="51"/>
      <c r="CY261" s="51"/>
      <c r="CZ261" s="51"/>
      <c r="DA261" s="51"/>
      <c r="DB261" s="51"/>
      <c r="DC261" s="51"/>
      <c r="DD261" s="95"/>
      <c r="DE261" s="93"/>
      <c r="DF261" s="51"/>
      <c r="DG261" s="51"/>
      <c r="DH261" s="51"/>
      <c r="DI261" s="51"/>
      <c r="DJ261" s="51"/>
      <c r="DK261" s="51"/>
      <c r="DL261" s="95"/>
      <c r="DM261" s="478"/>
      <c r="DN261" s="682">
        <f t="shared" si="31"/>
        <v>0</v>
      </c>
      <c r="DO261" s="683"/>
    </row>
    <row r="262" spans="1:119" ht="25.5" customHeight="1" thickTop="1" thickBot="1" x14ac:dyDescent="0.2">
      <c r="A262" s="676">
        <f t="shared" si="27"/>
        <v>247</v>
      </c>
      <c r="B262" s="1054"/>
      <c r="C262" s="1055"/>
      <c r="D262" s="83"/>
      <c r="E262" s="954"/>
      <c r="F262" s="52"/>
      <c r="G262" s="103"/>
      <c r="H262" s="1058"/>
      <c r="I262" s="684" t="str">
        <f t="shared" si="24"/>
        <v/>
      </c>
      <c r="J262" s="685">
        <f t="shared" si="25"/>
        <v>0</v>
      </c>
      <c r="K262" s="1258"/>
      <c r="L262" s="1251"/>
      <c r="M262" s="1257"/>
      <c r="N262" s="719" t="str">
        <f t="shared" si="28"/>
        <v/>
      </c>
      <c r="O262" s="720" t="str">
        <f>IF('Set up ~ Config'!$G$32=6,IF(OR($N262=7,$N262=8,$N262=9),1,IF(OR($N262=10,$N262=11,$N262=12),2,IF(OR($N262=1,$N262=2,$N262=3),3,IF(OR($N262=4,$N262=5,$N262=6),4,"")))),IF(OR($N262=9,$N262=10,$N262=11),1,IF(OR($N262=12,$N262=1,$N262=2),2,IF(OR($N262=3,$N262=4,$N262=5),3,IF(OR($N262=6,$N262=7,$N262=8),4,"")))))</f>
        <v/>
      </c>
      <c r="P262" s="99"/>
      <c r="Q262" s="62"/>
      <c r="R262" s="62"/>
      <c r="S262" s="51"/>
      <c r="T262" s="51"/>
      <c r="U262" s="51"/>
      <c r="V262" s="51"/>
      <c r="W262" s="51"/>
      <c r="X262" s="51"/>
      <c r="Y262" s="51"/>
      <c r="Z262" s="51"/>
      <c r="AA262" s="51"/>
      <c r="AB262" s="51"/>
      <c r="AC262" s="51"/>
      <c r="AD262" s="51"/>
      <c r="AE262" s="51"/>
      <c r="AF262" s="51"/>
      <c r="AG262" s="51"/>
      <c r="AH262" s="94"/>
      <c r="AI262" s="94"/>
      <c r="AJ262" s="94"/>
      <c r="AK262" s="94"/>
      <c r="AL262" s="94"/>
      <c r="AM262" s="94"/>
      <c r="AN262" s="94"/>
      <c r="AO262" s="95"/>
      <c r="AP262" s="686">
        <f t="shared" si="29"/>
        <v>0</v>
      </c>
      <c r="AQ262" s="42"/>
      <c r="AR262" s="42"/>
      <c r="AS262" s="42"/>
      <c r="AT262" s="43"/>
      <c r="AU262" s="687">
        <f t="shared" si="30"/>
        <v>0</v>
      </c>
      <c r="AV262" s="42"/>
      <c r="AW262" s="42"/>
      <c r="AX262" s="42"/>
      <c r="AY262" s="43"/>
      <c r="AZ262" s="486"/>
      <c r="BA262" s="51"/>
      <c r="BB262" s="51"/>
      <c r="BC262" s="51"/>
      <c r="BD262" s="51"/>
      <c r="BE262" s="51"/>
      <c r="BF262" s="51"/>
      <c r="BG262" s="51"/>
      <c r="BH262" s="94"/>
      <c r="BI262" s="94"/>
      <c r="BJ262" s="94"/>
      <c r="BK262" s="94"/>
      <c r="BL262" s="94"/>
      <c r="BM262" s="483"/>
      <c r="BN262" s="94"/>
      <c r="BO262" s="94"/>
      <c r="BP262" s="94"/>
      <c r="BQ262" s="94"/>
      <c r="BR262" s="94"/>
      <c r="BS262" s="94"/>
      <c r="BT262" s="94"/>
      <c r="BU262" s="94"/>
      <c r="BV262" s="94"/>
      <c r="BW262" s="688">
        <f t="shared" si="26"/>
        <v>0</v>
      </c>
      <c r="BX262" s="51"/>
      <c r="BY262" s="51"/>
      <c r="BZ262" s="51"/>
      <c r="CA262" s="51"/>
      <c r="CB262" s="51"/>
      <c r="CC262" s="51"/>
      <c r="CD262" s="97"/>
      <c r="CE262" s="479"/>
      <c r="CF262" s="51"/>
      <c r="CG262" s="51"/>
      <c r="CH262" s="62"/>
      <c r="CI262" s="62"/>
      <c r="CJ262" s="51"/>
      <c r="CK262" s="51"/>
      <c r="CL262" s="95"/>
      <c r="CM262" s="93"/>
      <c r="CN262" s="51"/>
      <c r="CO262" s="51"/>
      <c r="CP262" s="51"/>
      <c r="CQ262" s="51"/>
      <c r="CR262" s="51"/>
      <c r="CS262" s="51"/>
      <c r="CT262" s="51"/>
      <c r="CU262" s="95"/>
      <c r="CV262" s="93"/>
      <c r="CW262" s="51"/>
      <c r="CX262" s="51"/>
      <c r="CY262" s="51"/>
      <c r="CZ262" s="51"/>
      <c r="DA262" s="51"/>
      <c r="DB262" s="51"/>
      <c r="DC262" s="51"/>
      <c r="DD262" s="95"/>
      <c r="DE262" s="93"/>
      <c r="DF262" s="51"/>
      <c r="DG262" s="51"/>
      <c r="DH262" s="51"/>
      <c r="DI262" s="51"/>
      <c r="DJ262" s="51"/>
      <c r="DK262" s="51"/>
      <c r="DL262" s="95"/>
      <c r="DM262" s="478"/>
      <c r="DN262" s="682">
        <f t="shared" si="31"/>
        <v>0</v>
      </c>
      <c r="DO262" s="683"/>
    </row>
    <row r="263" spans="1:119" ht="25.5" customHeight="1" thickTop="1" thickBot="1" x14ac:dyDescent="0.2">
      <c r="A263" s="676">
        <f t="shared" si="27"/>
        <v>248</v>
      </c>
      <c r="B263" s="1054"/>
      <c r="C263" s="1055"/>
      <c r="D263" s="83"/>
      <c r="E263" s="954"/>
      <c r="F263" s="52"/>
      <c r="G263" s="103"/>
      <c r="H263" s="1058"/>
      <c r="I263" s="684" t="str">
        <f t="shared" si="24"/>
        <v/>
      </c>
      <c r="J263" s="685">
        <f t="shared" si="25"/>
        <v>0</v>
      </c>
      <c r="K263" s="1258"/>
      <c r="L263" s="1251"/>
      <c r="M263" s="1257"/>
      <c r="N263" s="719" t="str">
        <f t="shared" si="28"/>
        <v/>
      </c>
      <c r="O263" s="720" t="str">
        <f>IF('Set up ~ Config'!$G$32=6,IF(OR($N263=7,$N263=8,$N263=9),1,IF(OR($N263=10,$N263=11,$N263=12),2,IF(OR($N263=1,$N263=2,$N263=3),3,IF(OR($N263=4,$N263=5,$N263=6),4,"")))),IF(OR($N263=9,$N263=10,$N263=11),1,IF(OR($N263=12,$N263=1,$N263=2),2,IF(OR($N263=3,$N263=4,$N263=5),3,IF(OR($N263=6,$N263=7,$N263=8),4,"")))))</f>
        <v/>
      </c>
      <c r="P263" s="99"/>
      <c r="Q263" s="62"/>
      <c r="R263" s="62"/>
      <c r="S263" s="51"/>
      <c r="T263" s="51"/>
      <c r="U263" s="51"/>
      <c r="V263" s="51"/>
      <c r="W263" s="51"/>
      <c r="X263" s="51"/>
      <c r="Y263" s="51"/>
      <c r="Z263" s="51"/>
      <c r="AA263" s="51"/>
      <c r="AB263" s="51"/>
      <c r="AC263" s="51"/>
      <c r="AD263" s="51"/>
      <c r="AE263" s="51"/>
      <c r="AF263" s="51"/>
      <c r="AG263" s="51"/>
      <c r="AH263" s="94"/>
      <c r="AI263" s="94"/>
      <c r="AJ263" s="94"/>
      <c r="AK263" s="94"/>
      <c r="AL263" s="94"/>
      <c r="AM263" s="94"/>
      <c r="AN263" s="94"/>
      <c r="AO263" s="95"/>
      <c r="AP263" s="686">
        <f t="shared" si="29"/>
        <v>0</v>
      </c>
      <c r="AQ263" s="42"/>
      <c r="AR263" s="42"/>
      <c r="AS263" s="42"/>
      <c r="AT263" s="43"/>
      <c r="AU263" s="687">
        <f t="shared" si="30"/>
        <v>0</v>
      </c>
      <c r="AV263" s="42"/>
      <c r="AW263" s="42"/>
      <c r="AX263" s="42"/>
      <c r="AY263" s="43"/>
      <c r="AZ263" s="486"/>
      <c r="BA263" s="51"/>
      <c r="BB263" s="51"/>
      <c r="BC263" s="51"/>
      <c r="BD263" s="51"/>
      <c r="BE263" s="51"/>
      <c r="BF263" s="51"/>
      <c r="BG263" s="51"/>
      <c r="BH263" s="94"/>
      <c r="BI263" s="94"/>
      <c r="BJ263" s="94"/>
      <c r="BK263" s="94"/>
      <c r="BL263" s="94"/>
      <c r="BM263" s="483"/>
      <c r="BN263" s="94"/>
      <c r="BO263" s="94"/>
      <c r="BP263" s="94"/>
      <c r="BQ263" s="94"/>
      <c r="BR263" s="94"/>
      <c r="BS263" s="94"/>
      <c r="BT263" s="94"/>
      <c r="BU263" s="94"/>
      <c r="BV263" s="94"/>
      <c r="BW263" s="688">
        <f t="shared" si="26"/>
        <v>0</v>
      </c>
      <c r="BX263" s="51"/>
      <c r="BY263" s="51"/>
      <c r="BZ263" s="51"/>
      <c r="CA263" s="51"/>
      <c r="CB263" s="51"/>
      <c r="CC263" s="51"/>
      <c r="CD263" s="97"/>
      <c r="CE263" s="479"/>
      <c r="CF263" s="51"/>
      <c r="CG263" s="51"/>
      <c r="CH263" s="62"/>
      <c r="CI263" s="62"/>
      <c r="CJ263" s="51"/>
      <c r="CK263" s="51"/>
      <c r="CL263" s="95"/>
      <c r="CM263" s="93"/>
      <c r="CN263" s="51"/>
      <c r="CO263" s="51"/>
      <c r="CP263" s="51"/>
      <c r="CQ263" s="51"/>
      <c r="CR263" s="51"/>
      <c r="CS263" s="51"/>
      <c r="CT263" s="51"/>
      <c r="CU263" s="95"/>
      <c r="CV263" s="93"/>
      <c r="CW263" s="51"/>
      <c r="CX263" s="51"/>
      <c r="CY263" s="51"/>
      <c r="CZ263" s="51"/>
      <c r="DA263" s="51"/>
      <c r="DB263" s="51"/>
      <c r="DC263" s="51"/>
      <c r="DD263" s="95"/>
      <c r="DE263" s="93"/>
      <c r="DF263" s="51"/>
      <c r="DG263" s="51"/>
      <c r="DH263" s="51"/>
      <c r="DI263" s="51"/>
      <c r="DJ263" s="51"/>
      <c r="DK263" s="51"/>
      <c r="DL263" s="95"/>
      <c r="DM263" s="478"/>
      <c r="DN263" s="682">
        <f t="shared" si="31"/>
        <v>0</v>
      </c>
      <c r="DO263" s="683"/>
    </row>
    <row r="264" spans="1:119" ht="25.5" customHeight="1" thickTop="1" thickBot="1" x14ac:dyDescent="0.2">
      <c r="A264" s="676">
        <f t="shared" si="27"/>
        <v>249</v>
      </c>
      <c r="B264" s="1054"/>
      <c r="C264" s="1055"/>
      <c r="D264" s="83"/>
      <c r="E264" s="954"/>
      <c r="F264" s="52"/>
      <c r="G264" s="103"/>
      <c r="H264" s="1058"/>
      <c r="I264" s="684" t="str">
        <f t="shared" si="24"/>
        <v/>
      </c>
      <c r="J264" s="685">
        <f t="shared" si="25"/>
        <v>0</v>
      </c>
      <c r="K264" s="1258"/>
      <c r="L264" s="1251"/>
      <c r="M264" s="1257"/>
      <c r="N264" s="719" t="str">
        <f t="shared" si="28"/>
        <v/>
      </c>
      <c r="O264" s="720" t="str">
        <f>IF('Set up ~ Config'!$G$32=6,IF(OR($N264=7,$N264=8,$N264=9),1,IF(OR($N264=10,$N264=11,$N264=12),2,IF(OR($N264=1,$N264=2,$N264=3),3,IF(OR($N264=4,$N264=5,$N264=6),4,"")))),IF(OR($N264=9,$N264=10,$N264=11),1,IF(OR($N264=12,$N264=1,$N264=2),2,IF(OR($N264=3,$N264=4,$N264=5),3,IF(OR($N264=6,$N264=7,$N264=8),4,"")))))</f>
        <v/>
      </c>
      <c r="P264" s="99"/>
      <c r="Q264" s="62"/>
      <c r="R264" s="62"/>
      <c r="S264" s="51"/>
      <c r="T264" s="51"/>
      <c r="U264" s="51"/>
      <c r="V264" s="51"/>
      <c r="W264" s="51"/>
      <c r="X264" s="51"/>
      <c r="Y264" s="51"/>
      <c r="Z264" s="51"/>
      <c r="AA264" s="51"/>
      <c r="AB264" s="51"/>
      <c r="AC264" s="51"/>
      <c r="AD264" s="51"/>
      <c r="AE264" s="51"/>
      <c r="AF264" s="51"/>
      <c r="AG264" s="51"/>
      <c r="AH264" s="94"/>
      <c r="AI264" s="94"/>
      <c r="AJ264" s="94"/>
      <c r="AK264" s="94"/>
      <c r="AL264" s="94"/>
      <c r="AM264" s="94"/>
      <c r="AN264" s="94"/>
      <c r="AO264" s="95"/>
      <c r="AP264" s="686">
        <f t="shared" si="29"/>
        <v>0</v>
      </c>
      <c r="AQ264" s="42"/>
      <c r="AR264" s="42"/>
      <c r="AS264" s="42"/>
      <c r="AT264" s="43"/>
      <c r="AU264" s="687">
        <f t="shared" si="30"/>
        <v>0</v>
      </c>
      <c r="AV264" s="42"/>
      <c r="AW264" s="42"/>
      <c r="AX264" s="42"/>
      <c r="AY264" s="43"/>
      <c r="AZ264" s="486"/>
      <c r="BA264" s="51"/>
      <c r="BB264" s="51"/>
      <c r="BC264" s="51"/>
      <c r="BD264" s="51"/>
      <c r="BE264" s="51"/>
      <c r="BF264" s="51"/>
      <c r="BG264" s="51"/>
      <c r="BH264" s="94"/>
      <c r="BI264" s="94"/>
      <c r="BJ264" s="94"/>
      <c r="BK264" s="94"/>
      <c r="BL264" s="94"/>
      <c r="BM264" s="483"/>
      <c r="BN264" s="94"/>
      <c r="BO264" s="94"/>
      <c r="BP264" s="94"/>
      <c r="BQ264" s="94"/>
      <c r="BR264" s="94"/>
      <c r="BS264" s="94"/>
      <c r="BT264" s="94"/>
      <c r="BU264" s="94"/>
      <c r="BV264" s="94"/>
      <c r="BW264" s="688">
        <f t="shared" si="26"/>
        <v>0</v>
      </c>
      <c r="BX264" s="51"/>
      <c r="BY264" s="51"/>
      <c r="BZ264" s="51"/>
      <c r="CA264" s="51"/>
      <c r="CB264" s="51"/>
      <c r="CC264" s="51"/>
      <c r="CD264" s="97"/>
      <c r="CE264" s="479"/>
      <c r="CF264" s="51"/>
      <c r="CG264" s="51"/>
      <c r="CH264" s="62"/>
      <c r="CI264" s="62"/>
      <c r="CJ264" s="51"/>
      <c r="CK264" s="51"/>
      <c r="CL264" s="95"/>
      <c r="CM264" s="93"/>
      <c r="CN264" s="51"/>
      <c r="CO264" s="51"/>
      <c r="CP264" s="51"/>
      <c r="CQ264" s="51"/>
      <c r="CR264" s="51"/>
      <c r="CS264" s="51"/>
      <c r="CT264" s="51"/>
      <c r="CU264" s="95"/>
      <c r="CV264" s="93"/>
      <c r="CW264" s="51"/>
      <c r="CX264" s="51"/>
      <c r="CY264" s="51"/>
      <c r="CZ264" s="51"/>
      <c r="DA264" s="51"/>
      <c r="DB264" s="51"/>
      <c r="DC264" s="51"/>
      <c r="DD264" s="95"/>
      <c r="DE264" s="93"/>
      <c r="DF264" s="51"/>
      <c r="DG264" s="51"/>
      <c r="DH264" s="51"/>
      <c r="DI264" s="51"/>
      <c r="DJ264" s="51"/>
      <c r="DK264" s="51"/>
      <c r="DL264" s="95"/>
      <c r="DM264" s="478"/>
      <c r="DN264" s="682">
        <f t="shared" si="31"/>
        <v>0</v>
      </c>
      <c r="DO264" s="683"/>
    </row>
    <row r="265" spans="1:119" ht="25.5" customHeight="1" thickTop="1" thickBot="1" x14ac:dyDescent="0.2">
      <c r="A265" s="676">
        <f t="shared" si="27"/>
        <v>250</v>
      </c>
      <c r="B265" s="1054"/>
      <c r="C265" s="1055"/>
      <c r="D265" s="83"/>
      <c r="E265" s="954"/>
      <c r="F265" s="52"/>
      <c r="G265" s="103"/>
      <c r="H265" s="1058"/>
      <c r="I265" s="684" t="str">
        <f t="shared" si="24"/>
        <v/>
      </c>
      <c r="J265" s="685">
        <f t="shared" si="25"/>
        <v>0</v>
      </c>
      <c r="K265" s="1258"/>
      <c r="L265" s="1251"/>
      <c r="M265" s="1257"/>
      <c r="N265" s="719" t="str">
        <f t="shared" si="28"/>
        <v/>
      </c>
      <c r="O265" s="720" t="str">
        <f>IF('Set up ~ Config'!$G$32=6,IF(OR($N265=7,$N265=8,$N265=9),1,IF(OR($N265=10,$N265=11,$N265=12),2,IF(OR($N265=1,$N265=2,$N265=3),3,IF(OR($N265=4,$N265=5,$N265=6),4,"")))),IF(OR($N265=9,$N265=10,$N265=11),1,IF(OR($N265=12,$N265=1,$N265=2),2,IF(OR($N265=3,$N265=4,$N265=5),3,IF(OR($N265=6,$N265=7,$N265=8),4,"")))))</f>
        <v/>
      </c>
      <c r="P265" s="99"/>
      <c r="Q265" s="62"/>
      <c r="R265" s="62"/>
      <c r="S265" s="51"/>
      <c r="T265" s="51"/>
      <c r="U265" s="51"/>
      <c r="V265" s="51"/>
      <c r="W265" s="51"/>
      <c r="X265" s="51"/>
      <c r="Y265" s="51"/>
      <c r="Z265" s="51"/>
      <c r="AA265" s="51"/>
      <c r="AB265" s="51"/>
      <c r="AC265" s="51"/>
      <c r="AD265" s="51"/>
      <c r="AE265" s="51"/>
      <c r="AF265" s="51"/>
      <c r="AG265" s="51"/>
      <c r="AH265" s="94"/>
      <c r="AI265" s="94"/>
      <c r="AJ265" s="94"/>
      <c r="AK265" s="94"/>
      <c r="AL265" s="94"/>
      <c r="AM265" s="94"/>
      <c r="AN265" s="94"/>
      <c r="AO265" s="95"/>
      <c r="AP265" s="686">
        <f t="shared" si="29"/>
        <v>0</v>
      </c>
      <c r="AQ265" s="42"/>
      <c r="AR265" s="42"/>
      <c r="AS265" s="42"/>
      <c r="AT265" s="43"/>
      <c r="AU265" s="687">
        <f t="shared" si="30"/>
        <v>0</v>
      </c>
      <c r="AV265" s="42"/>
      <c r="AW265" s="42"/>
      <c r="AX265" s="42"/>
      <c r="AY265" s="43"/>
      <c r="AZ265" s="486"/>
      <c r="BA265" s="51"/>
      <c r="BB265" s="51"/>
      <c r="BC265" s="51"/>
      <c r="BD265" s="51"/>
      <c r="BE265" s="51"/>
      <c r="BF265" s="51"/>
      <c r="BG265" s="51"/>
      <c r="BH265" s="94"/>
      <c r="BI265" s="94"/>
      <c r="BJ265" s="94"/>
      <c r="BK265" s="94"/>
      <c r="BL265" s="94"/>
      <c r="BM265" s="483"/>
      <c r="BN265" s="94"/>
      <c r="BO265" s="94"/>
      <c r="BP265" s="94"/>
      <c r="BQ265" s="94"/>
      <c r="BR265" s="94"/>
      <c r="BS265" s="94"/>
      <c r="BT265" s="94"/>
      <c r="BU265" s="94"/>
      <c r="BV265" s="94"/>
      <c r="BW265" s="688">
        <f t="shared" si="26"/>
        <v>0</v>
      </c>
      <c r="BX265" s="51"/>
      <c r="BY265" s="51"/>
      <c r="BZ265" s="51"/>
      <c r="CA265" s="51"/>
      <c r="CB265" s="51"/>
      <c r="CC265" s="51"/>
      <c r="CD265" s="97"/>
      <c r="CE265" s="479"/>
      <c r="CF265" s="51"/>
      <c r="CG265" s="51"/>
      <c r="CH265" s="62"/>
      <c r="CI265" s="62"/>
      <c r="CJ265" s="51"/>
      <c r="CK265" s="51"/>
      <c r="CL265" s="95"/>
      <c r="CM265" s="93"/>
      <c r="CN265" s="51"/>
      <c r="CO265" s="51"/>
      <c r="CP265" s="51"/>
      <c r="CQ265" s="51"/>
      <c r="CR265" s="51"/>
      <c r="CS265" s="51"/>
      <c r="CT265" s="51"/>
      <c r="CU265" s="95"/>
      <c r="CV265" s="93"/>
      <c r="CW265" s="51"/>
      <c r="CX265" s="51"/>
      <c r="CY265" s="51"/>
      <c r="CZ265" s="51"/>
      <c r="DA265" s="51"/>
      <c r="DB265" s="51"/>
      <c r="DC265" s="51"/>
      <c r="DD265" s="95"/>
      <c r="DE265" s="93"/>
      <c r="DF265" s="51"/>
      <c r="DG265" s="51"/>
      <c r="DH265" s="51"/>
      <c r="DI265" s="51"/>
      <c r="DJ265" s="51"/>
      <c r="DK265" s="51"/>
      <c r="DL265" s="95"/>
      <c r="DM265" s="478"/>
      <c r="DN265" s="682">
        <f t="shared" si="31"/>
        <v>0</v>
      </c>
      <c r="DO265" s="683"/>
    </row>
    <row r="266" spans="1:119" ht="25.5" customHeight="1" thickTop="1" thickBot="1" x14ac:dyDescent="0.2">
      <c r="A266" s="676">
        <f t="shared" si="27"/>
        <v>251</v>
      </c>
      <c r="B266" s="1054"/>
      <c r="C266" s="1055"/>
      <c r="D266" s="83"/>
      <c r="E266" s="954"/>
      <c r="F266" s="52"/>
      <c r="G266" s="103"/>
      <c r="H266" s="1058"/>
      <c r="I266" s="684" t="str">
        <f t="shared" si="24"/>
        <v/>
      </c>
      <c r="J266" s="685">
        <f t="shared" si="25"/>
        <v>0</v>
      </c>
      <c r="K266" s="1258"/>
      <c r="L266" s="1251"/>
      <c r="M266" s="1257"/>
      <c r="N266" s="719" t="str">
        <f t="shared" si="28"/>
        <v/>
      </c>
      <c r="O266" s="720" t="str">
        <f>IF('Set up ~ Config'!$G$32=6,IF(OR($N266=7,$N266=8,$N266=9),1,IF(OR($N266=10,$N266=11,$N266=12),2,IF(OR($N266=1,$N266=2,$N266=3),3,IF(OR($N266=4,$N266=5,$N266=6),4,"")))),IF(OR($N266=9,$N266=10,$N266=11),1,IF(OR($N266=12,$N266=1,$N266=2),2,IF(OR($N266=3,$N266=4,$N266=5),3,IF(OR($N266=6,$N266=7,$N266=8),4,"")))))</f>
        <v/>
      </c>
      <c r="P266" s="99"/>
      <c r="Q266" s="62"/>
      <c r="R266" s="62"/>
      <c r="S266" s="51"/>
      <c r="T266" s="51"/>
      <c r="U266" s="51"/>
      <c r="V266" s="51"/>
      <c r="W266" s="51"/>
      <c r="X266" s="51"/>
      <c r="Y266" s="51"/>
      <c r="Z266" s="51"/>
      <c r="AA266" s="51"/>
      <c r="AB266" s="51"/>
      <c r="AC266" s="51"/>
      <c r="AD266" s="51"/>
      <c r="AE266" s="51"/>
      <c r="AF266" s="51"/>
      <c r="AG266" s="51"/>
      <c r="AH266" s="94"/>
      <c r="AI266" s="94"/>
      <c r="AJ266" s="94"/>
      <c r="AK266" s="94"/>
      <c r="AL266" s="94"/>
      <c r="AM266" s="94"/>
      <c r="AN266" s="94"/>
      <c r="AO266" s="95"/>
      <c r="AP266" s="686">
        <f t="shared" si="29"/>
        <v>0</v>
      </c>
      <c r="AQ266" s="42"/>
      <c r="AR266" s="42"/>
      <c r="AS266" s="42"/>
      <c r="AT266" s="43"/>
      <c r="AU266" s="687">
        <f t="shared" si="30"/>
        <v>0</v>
      </c>
      <c r="AV266" s="42"/>
      <c r="AW266" s="42"/>
      <c r="AX266" s="42"/>
      <c r="AY266" s="43"/>
      <c r="AZ266" s="486"/>
      <c r="BA266" s="51"/>
      <c r="BB266" s="51"/>
      <c r="BC266" s="51"/>
      <c r="BD266" s="51"/>
      <c r="BE266" s="51"/>
      <c r="BF266" s="51"/>
      <c r="BG266" s="51"/>
      <c r="BH266" s="94"/>
      <c r="BI266" s="94"/>
      <c r="BJ266" s="94"/>
      <c r="BK266" s="94"/>
      <c r="BL266" s="94"/>
      <c r="BM266" s="483"/>
      <c r="BN266" s="94"/>
      <c r="BO266" s="94"/>
      <c r="BP266" s="94"/>
      <c r="BQ266" s="94"/>
      <c r="BR266" s="94"/>
      <c r="BS266" s="94"/>
      <c r="BT266" s="94"/>
      <c r="BU266" s="94"/>
      <c r="BV266" s="94"/>
      <c r="BW266" s="688">
        <f t="shared" si="26"/>
        <v>0</v>
      </c>
      <c r="BX266" s="51"/>
      <c r="BY266" s="51"/>
      <c r="BZ266" s="51"/>
      <c r="CA266" s="51"/>
      <c r="CB266" s="51"/>
      <c r="CC266" s="51"/>
      <c r="CD266" s="97"/>
      <c r="CE266" s="479"/>
      <c r="CF266" s="51"/>
      <c r="CG266" s="51"/>
      <c r="CH266" s="62"/>
      <c r="CI266" s="62"/>
      <c r="CJ266" s="51"/>
      <c r="CK266" s="51"/>
      <c r="CL266" s="95"/>
      <c r="CM266" s="93"/>
      <c r="CN266" s="51"/>
      <c r="CO266" s="51"/>
      <c r="CP266" s="51"/>
      <c r="CQ266" s="51"/>
      <c r="CR266" s="51"/>
      <c r="CS266" s="51"/>
      <c r="CT266" s="51"/>
      <c r="CU266" s="95"/>
      <c r="CV266" s="93"/>
      <c r="CW266" s="51"/>
      <c r="CX266" s="51"/>
      <c r="CY266" s="51"/>
      <c r="CZ266" s="51"/>
      <c r="DA266" s="51"/>
      <c r="DB266" s="51"/>
      <c r="DC266" s="51"/>
      <c r="DD266" s="95"/>
      <c r="DE266" s="93"/>
      <c r="DF266" s="51"/>
      <c r="DG266" s="51"/>
      <c r="DH266" s="51"/>
      <c r="DI266" s="51"/>
      <c r="DJ266" s="51"/>
      <c r="DK266" s="51"/>
      <c r="DL266" s="95"/>
      <c r="DM266" s="478"/>
      <c r="DN266" s="682">
        <f t="shared" si="31"/>
        <v>0</v>
      </c>
      <c r="DO266" s="683"/>
    </row>
    <row r="267" spans="1:119" ht="25.5" customHeight="1" thickTop="1" thickBot="1" x14ac:dyDescent="0.2">
      <c r="A267" s="676">
        <f t="shared" si="27"/>
        <v>252</v>
      </c>
      <c r="B267" s="1054"/>
      <c r="C267" s="1055"/>
      <c r="D267" s="83"/>
      <c r="E267" s="954"/>
      <c r="F267" s="52"/>
      <c r="G267" s="103"/>
      <c r="H267" s="1058"/>
      <c r="I267" s="684" t="str">
        <f t="shared" si="24"/>
        <v/>
      </c>
      <c r="J267" s="685">
        <f t="shared" si="25"/>
        <v>0</v>
      </c>
      <c r="K267" s="1258"/>
      <c r="L267" s="1251"/>
      <c r="M267" s="1257"/>
      <c r="N267" s="719" t="str">
        <f t="shared" si="28"/>
        <v/>
      </c>
      <c r="O267" s="720" t="str">
        <f>IF('Set up ~ Config'!$G$32=6,IF(OR($N267=7,$N267=8,$N267=9),1,IF(OR($N267=10,$N267=11,$N267=12),2,IF(OR($N267=1,$N267=2,$N267=3),3,IF(OR($N267=4,$N267=5,$N267=6),4,"")))),IF(OR($N267=9,$N267=10,$N267=11),1,IF(OR($N267=12,$N267=1,$N267=2),2,IF(OR($N267=3,$N267=4,$N267=5),3,IF(OR($N267=6,$N267=7,$N267=8),4,"")))))</f>
        <v/>
      </c>
      <c r="P267" s="99"/>
      <c r="Q267" s="62"/>
      <c r="R267" s="62"/>
      <c r="S267" s="51"/>
      <c r="T267" s="51"/>
      <c r="U267" s="51"/>
      <c r="V267" s="51"/>
      <c r="W267" s="51"/>
      <c r="X267" s="51"/>
      <c r="Y267" s="51"/>
      <c r="Z267" s="51"/>
      <c r="AA267" s="51"/>
      <c r="AB267" s="51"/>
      <c r="AC267" s="51"/>
      <c r="AD267" s="51"/>
      <c r="AE267" s="51"/>
      <c r="AF267" s="51"/>
      <c r="AG267" s="51"/>
      <c r="AH267" s="94"/>
      <c r="AI267" s="94"/>
      <c r="AJ267" s="94"/>
      <c r="AK267" s="94"/>
      <c r="AL267" s="94"/>
      <c r="AM267" s="94"/>
      <c r="AN267" s="94"/>
      <c r="AO267" s="95"/>
      <c r="AP267" s="686">
        <f t="shared" si="29"/>
        <v>0</v>
      </c>
      <c r="AQ267" s="42"/>
      <c r="AR267" s="42"/>
      <c r="AS267" s="42"/>
      <c r="AT267" s="43"/>
      <c r="AU267" s="687">
        <f t="shared" si="30"/>
        <v>0</v>
      </c>
      <c r="AV267" s="42"/>
      <c r="AW267" s="42"/>
      <c r="AX267" s="42"/>
      <c r="AY267" s="43"/>
      <c r="AZ267" s="486"/>
      <c r="BA267" s="51"/>
      <c r="BB267" s="51"/>
      <c r="BC267" s="51"/>
      <c r="BD267" s="51"/>
      <c r="BE267" s="51"/>
      <c r="BF267" s="51"/>
      <c r="BG267" s="51"/>
      <c r="BH267" s="94"/>
      <c r="BI267" s="94"/>
      <c r="BJ267" s="94"/>
      <c r="BK267" s="94"/>
      <c r="BL267" s="94"/>
      <c r="BM267" s="483"/>
      <c r="BN267" s="94"/>
      <c r="BO267" s="94"/>
      <c r="BP267" s="94"/>
      <c r="BQ267" s="94"/>
      <c r="BR267" s="94"/>
      <c r="BS267" s="94"/>
      <c r="BT267" s="94"/>
      <c r="BU267" s="94"/>
      <c r="BV267" s="94"/>
      <c r="BW267" s="688">
        <f t="shared" si="26"/>
        <v>0</v>
      </c>
      <c r="BX267" s="51"/>
      <c r="BY267" s="51"/>
      <c r="BZ267" s="51"/>
      <c r="CA267" s="51"/>
      <c r="CB267" s="51"/>
      <c r="CC267" s="51"/>
      <c r="CD267" s="97"/>
      <c r="CE267" s="479"/>
      <c r="CF267" s="51"/>
      <c r="CG267" s="51"/>
      <c r="CH267" s="62"/>
      <c r="CI267" s="62"/>
      <c r="CJ267" s="51"/>
      <c r="CK267" s="51"/>
      <c r="CL267" s="95"/>
      <c r="CM267" s="93"/>
      <c r="CN267" s="51"/>
      <c r="CO267" s="51"/>
      <c r="CP267" s="51"/>
      <c r="CQ267" s="51"/>
      <c r="CR267" s="51"/>
      <c r="CS267" s="51"/>
      <c r="CT267" s="51"/>
      <c r="CU267" s="95"/>
      <c r="CV267" s="93"/>
      <c r="CW267" s="51"/>
      <c r="CX267" s="51"/>
      <c r="CY267" s="51"/>
      <c r="CZ267" s="51"/>
      <c r="DA267" s="51"/>
      <c r="DB267" s="51"/>
      <c r="DC267" s="51"/>
      <c r="DD267" s="95"/>
      <c r="DE267" s="93"/>
      <c r="DF267" s="51"/>
      <c r="DG267" s="51"/>
      <c r="DH267" s="51"/>
      <c r="DI267" s="51"/>
      <c r="DJ267" s="51"/>
      <c r="DK267" s="51"/>
      <c r="DL267" s="95"/>
      <c r="DM267" s="478"/>
      <c r="DN267" s="682">
        <f t="shared" si="31"/>
        <v>0</v>
      </c>
      <c r="DO267" s="683"/>
    </row>
    <row r="268" spans="1:119" ht="25.5" customHeight="1" thickTop="1" thickBot="1" x14ac:dyDescent="0.2">
      <c r="A268" s="676">
        <f t="shared" si="27"/>
        <v>253</v>
      </c>
      <c r="B268" s="1054"/>
      <c r="C268" s="1055"/>
      <c r="D268" s="83"/>
      <c r="E268" s="954"/>
      <c r="F268" s="52"/>
      <c r="G268" s="103"/>
      <c r="H268" s="1058"/>
      <c r="I268" s="684" t="str">
        <f t="shared" si="24"/>
        <v/>
      </c>
      <c r="J268" s="685">
        <f t="shared" si="25"/>
        <v>0</v>
      </c>
      <c r="K268" s="1258"/>
      <c r="L268" s="1251"/>
      <c r="M268" s="1257"/>
      <c r="N268" s="719" t="str">
        <f t="shared" si="28"/>
        <v/>
      </c>
      <c r="O268" s="720" t="str">
        <f>IF('Set up ~ Config'!$G$32=6,IF(OR($N268=7,$N268=8,$N268=9),1,IF(OR($N268=10,$N268=11,$N268=12),2,IF(OR($N268=1,$N268=2,$N268=3),3,IF(OR($N268=4,$N268=5,$N268=6),4,"")))),IF(OR($N268=9,$N268=10,$N268=11),1,IF(OR($N268=12,$N268=1,$N268=2),2,IF(OR($N268=3,$N268=4,$N268=5),3,IF(OR($N268=6,$N268=7,$N268=8),4,"")))))</f>
        <v/>
      </c>
      <c r="P268" s="99"/>
      <c r="Q268" s="62"/>
      <c r="R268" s="62"/>
      <c r="S268" s="51"/>
      <c r="T268" s="51"/>
      <c r="U268" s="51"/>
      <c r="V268" s="51"/>
      <c r="W268" s="51"/>
      <c r="X268" s="51"/>
      <c r="Y268" s="51"/>
      <c r="Z268" s="51"/>
      <c r="AA268" s="51"/>
      <c r="AB268" s="51"/>
      <c r="AC268" s="51"/>
      <c r="AD268" s="51"/>
      <c r="AE268" s="51"/>
      <c r="AF268" s="51"/>
      <c r="AG268" s="51"/>
      <c r="AH268" s="94"/>
      <c r="AI268" s="94"/>
      <c r="AJ268" s="94"/>
      <c r="AK268" s="94"/>
      <c r="AL268" s="94"/>
      <c r="AM268" s="94"/>
      <c r="AN268" s="94"/>
      <c r="AO268" s="95"/>
      <c r="AP268" s="686">
        <f t="shared" si="29"/>
        <v>0</v>
      </c>
      <c r="AQ268" s="42"/>
      <c r="AR268" s="42"/>
      <c r="AS268" s="42"/>
      <c r="AT268" s="43"/>
      <c r="AU268" s="687">
        <f t="shared" si="30"/>
        <v>0</v>
      </c>
      <c r="AV268" s="42"/>
      <c r="AW268" s="42"/>
      <c r="AX268" s="42"/>
      <c r="AY268" s="43"/>
      <c r="AZ268" s="486"/>
      <c r="BA268" s="51"/>
      <c r="BB268" s="51"/>
      <c r="BC268" s="51"/>
      <c r="BD268" s="51"/>
      <c r="BE268" s="51"/>
      <c r="BF268" s="51"/>
      <c r="BG268" s="51"/>
      <c r="BH268" s="94"/>
      <c r="BI268" s="94"/>
      <c r="BJ268" s="94"/>
      <c r="BK268" s="94"/>
      <c r="BL268" s="94"/>
      <c r="BM268" s="483"/>
      <c r="BN268" s="94"/>
      <c r="BO268" s="94"/>
      <c r="BP268" s="94"/>
      <c r="BQ268" s="94"/>
      <c r="BR268" s="94"/>
      <c r="BS268" s="94"/>
      <c r="BT268" s="94"/>
      <c r="BU268" s="94"/>
      <c r="BV268" s="94"/>
      <c r="BW268" s="688">
        <f t="shared" si="26"/>
        <v>0</v>
      </c>
      <c r="BX268" s="51"/>
      <c r="BY268" s="51"/>
      <c r="BZ268" s="51"/>
      <c r="CA268" s="51"/>
      <c r="CB268" s="51"/>
      <c r="CC268" s="51"/>
      <c r="CD268" s="97"/>
      <c r="CE268" s="479"/>
      <c r="CF268" s="51"/>
      <c r="CG268" s="51"/>
      <c r="CH268" s="62"/>
      <c r="CI268" s="62"/>
      <c r="CJ268" s="51"/>
      <c r="CK268" s="51"/>
      <c r="CL268" s="95"/>
      <c r="CM268" s="93"/>
      <c r="CN268" s="51"/>
      <c r="CO268" s="51"/>
      <c r="CP268" s="51"/>
      <c r="CQ268" s="51"/>
      <c r="CR268" s="51"/>
      <c r="CS268" s="51"/>
      <c r="CT268" s="51"/>
      <c r="CU268" s="95"/>
      <c r="CV268" s="93"/>
      <c r="CW268" s="51"/>
      <c r="CX268" s="51"/>
      <c r="CY268" s="51"/>
      <c r="CZ268" s="51"/>
      <c r="DA268" s="51"/>
      <c r="DB268" s="51"/>
      <c r="DC268" s="51"/>
      <c r="DD268" s="95"/>
      <c r="DE268" s="93"/>
      <c r="DF268" s="51"/>
      <c r="DG268" s="51"/>
      <c r="DH268" s="51"/>
      <c r="DI268" s="51"/>
      <c r="DJ268" s="51"/>
      <c r="DK268" s="51"/>
      <c r="DL268" s="95"/>
      <c r="DM268" s="478"/>
      <c r="DN268" s="682">
        <f t="shared" si="31"/>
        <v>0</v>
      </c>
      <c r="DO268" s="683"/>
    </row>
    <row r="269" spans="1:119" ht="25.5" customHeight="1" thickTop="1" thickBot="1" x14ac:dyDescent="0.2">
      <c r="A269" s="676">
        <f t="shared" si="27"/>
        <v>254</v>
      </c>
      <c r="B269" s="1054"/>
      <c r="C269" s="1055"/>
      <c r="D269" s="83"/>
      <c r="E269" s="954"/>
      <c r="F269" s="52"/>
      <c r="G269" s="103"/>
      <c r="H269" s="1058"/>
      <c r="I269" s="684" t="str">
        <f t="shared" si="24"/>
        <v/>
      </c>
      <c r="J269" s="685">
        <f t="shared" si="25"/>
        <v>0</v>
      </c>
      <c r="K269" s="1258"/>
      <c r="L269" s="1251"/>
      <c r="M269" s="1257"/>
      <c r="N269" s="719" t="str">
        <f t="shared" si="28"/>
        <v/>
      </c>
      <c r="O269" s="720" t="str">
        <f>IF('Set up ~ Config'!$G$32=6,IF(OR($N269=7,$N269=8,$N269=9),1,IF(OR($N269=10,$N269=11,$N269=12),2,IF(OR($N269=1,$N269=2,$N269=3),3,IF(OR($N269=4,$N269=5,$N269=6),4,"")))),IF(OR($N269=9,$N269=10,$N269=11),1,IF(OR($N269=12,$N269=1,$N269=2),2,IF(OR($N269=3,$N269=4,$N269=5),3,IF(OR($N269=6,$N269=7,$N269=8),4,"")))))</f>
        <v/>
      </c>
      <c r="P269" s="99"/>
      <c r="Q269" s="62"/>
      <c r="R269" s="62"/>
      <c r="S269" s="51"/>
      <c r="T269" s="51"/>
      <c r="U269" s="51"/>
      <c r="V269" s="51"/>
      <c r="W269" s="51"/>
      <c r="X269" s="51"/>
      <c r="Y269" s="51"/>
      <c r="Z269" s="51"/>
      <c r="AA269" s="51"/>
      <c r="AB269" s="51"/>
      <c r="AC269" s="51"/>
      <c r="AD269" s="51"/>
      <c r="AE269" s="51"/>
      <c r="AF269" s="51"/>
      <c r="AG269" s="51"/>
      <c r="AH269" s="94"/>
      <c r="AI269" s="94"/>
      <c r="AJ269" s="94"/>
      <c r="AK269" s="94"/>
      <c r="AL269" s="94"/>
      <c r="AM269" s="94"/>
      <c r="AN269" s="94"/>
      <c r="AO269" s="95"/>
      <c r="AP269" s="686">
        <f t="shared" si="29"/>
        <v>0</v>
      </c>
      <c r="AQ269" s="42"/>
      <c r="AR269" s="42"/>
      <c r="AS269" s="42"/>
      <c r="AT269" s="43"/>
      <c r="AU269" s="687">
        <f t="shared" si="30"/>
        <v>0</v>
      </c>
      <c r="AV269" s="42"/>
      <c r="AW269" s="42"/>
      <c r="AX269" s="42"/>
      <c r="AY269" s="43"/>
      <c r="AZ269" s="486"/>
      <c r="BA269" s="51"/>
      <c r="BB269" s="51"/>
      <c r="BC269" s="51"/>
      <c r="BD269" s="51"/>
      <c r="BE269" s="51"/>
      <c r="BF269" s="51"/>
      <c r="BG269" s="51"/>
      <c r="BH269" s="94"/>
      <c r="BI269" s="94"/>
      <c r="BJ269" s="94"/>
      <c r="BK269" s="94"/>
      <c r="BL269" s="94"/>
      <c r="BM269" s="483"/>
      <c r="BN269" s="94"/>
      <c r="BO269" s="94"/>
      <c r="BP269" s="94"/>
      <c r="BQ269" s="94"/>
      <c r="BR269" s="94"/>
      <c r="BS269" s="94"/>
      <c r="BT269" s="94"/>
      <c r="BU269" s="94"/>
      <c r="BV269" s="94"/>
      <c r="BW269" s="688">
        <f t="shared" si="26"/>
        <v>0</v>
      </c>
      <c r="BX269" s="51"/>
      <c r="BY269" s="51"/>
      <c r="BZ269" s="51"/>
      <c r="CA269" s="51"/>
      <c r="CB269" s="51"/>
      <c r="CC269" s="51"/>
      <c r="CD269" s="97"/>
      <c r="CE269" s="479"/>
      <c r="CF269" s="51"/>
      <c r="CG269" s="51"/>
      <c r="CH269" s="62"/>
      <c r="CI269" s="62"/>
      <c r="CJ269" s="51"/>
      <c r="CK269" s="51"/>
      <c r="CL269" s="95"/>
      <c r="CM269" s="93"/>
      <c r="CN269" s="51"/>
      <c r="CO269" s="51"/>
      <c r="CP269" s="51"/>
      <c r="CQ269" s="51"/>
      <c r="CR269" s="51"/>
      <c r="CS269" s="51"/>
      <c r="CT269" s="51"/>
      <c r="CU269" s="95"/>
      <c r="CV269" s="93"/>
      <c r="CW269" s="51"/>
      <c r="CX269" s="51"/>
      <c r="CY269" s="51"/>
      <c r="CZ269" s="51"/>
      <c r="DA269" s="51"/>
      <c r="DB269" s="51"/>
      <c r="DC269" s="51"/>
      <c r="DD269" s="95"/>
      <c r="DE269" s="93"/>
      <c r="DF269" s="51"/>
      <c r="DG269" s="51"/>
      <c r="DH269" s="51"/>
      <c r="DI269" s="51"/>
      <c r="DJ269" s="51"/>
      <c r="DK269" s="51"/>
      <c r="DL269" s="95"/>
      <c r="DM269" s="478"/>
      <c r="DN269" s="682">
        <f t="shared" si="31"/>
        <v>0</v>
      </c>
      <c r="DO269" s="683"/>
    </row>
    <row r="270" spans="1:119" ht="25.5" customHeight="1" thickTop="1" thickBot="1" x14ac:dyDescent="0.2">
      <c r="A270" s="676">
        <f t="shared" si="27"/>
        <v>255</v>
      </c>
      <c r="B270" s="1054"/>
      <c r="C270" s="1055"/>
      <c r="D270" s="83"/>
      <c r="E270" s="954"/>
      <c r="F270" s="52"/>
      <c r="G270" s="103"/>
      <c r="H270" s="1058"/>
      <c r="I270" s="684" t="str">
        <f t="shared" si="24"/>
        <v/>
      </c>
      <c r="J270" s="685">
        <f t="shared" si="25"/>
        <v>0</v>
      </c>
      <c r="K270" s="1258"/>
      <c r="L270" s="1251"/>
      <c r="M270" s="1257"/>
      <c r="N270" s="719" t="str">
        <f t="shared" si="28"/>
        <v/>
      </c>
      <c r="O270" s="720" t="str">
        <f>IF('Set up ~ Config'!$G$32=6,IF(OR($N270=7,$N270=8,$N270=9),1,IF(OR($N270=10,$N270=11,$N270=12),2,IF(OR($N270=1,$N270=2,$N270=3),3,IF(OR($N270=4,$N270=5,$N270=6),4,"")))),IF(OR($N270=9,$N270=10,$N270=11),1,IF(OR($N270=12,$N270=1,$N270=2),2,IF(OR($N270=3,$N270=4,$N270=5),3,IF(OR($N270=6,$N270=7,$N270=8),4,"")))))</f>
        <v/>
      </c>
      <c r="P270" s="99"/>
      <c r="Q270" s="62"/>
      <c r="R270" s="62"/>
      <c r="S270" s="51"/>
      <c r="T270" s="51"/>
      <c r="U270" s="51"/>
      <c r="V270" s="51"/>
      <c r="W270" s="51"/>
      <c r="X270" s="51"/>
      <c r="Y270" s="51"/>
      <c r="Z270" s="51"/>
      <c r="AA270" s="51"/>
      <c r="AB270" s="51"/>
      <c r="AC270" s="51"/>
      <c r="AD270" s="51"/>
      <c r="AE270" s="51"/>
      <c r="AF270" s="51"/>
      <c r="AG270" s="51"/>
      <c r="AH270" s="94"/>
      <c r="AI270" s="94"/>
      <c r="AJ270" s="94"/>
      <c r="AK270" s="94"/>
      <c r="AL270" s="94"/>
      <c r="AM270" s="94"/>
      <c r="AN270" s="94"/>
      <c r="AO270" s="95"/>
      <c r="AP270" s="686">
        <f t="shared" si="29"/>
        <v>0</v>
      </c>
      <c r="AQ270" s="42"/>
      <c r="AR270" s="42"/>
      <c r="AS270" s="42"/>
      <c r="AT270" s="43"/>
      <c r="AU270" s="687">
        <f t="shared" si="30"/>
        <v>0</v>
      </c>
      <c r="AV270" s="42"/>
      <c r="AW270" s="42"/>
      <c r="AX270" s="42"/>
      <c r="AY270" s="43"/>
      <c r="AZ270" s="486"/>
      <c r="BA270" s="51"/>
      <c r="BB270" s="51"/>
      <c r="BC270" s="51"/>
      <c r="BD270" s="51"/>
      <c r="BE270" s="51"/>
      <c r="BF270" s="51"/>
      <c r="BG270" s="51"/>
      <c r="BH270" s="94"/>
      <c r="BI270" s="94"/>
      <c r="BJ270" s="94"/>
      <c r="BK270" s="94"/>
      <c r="BL270" s="94"/>
      <c r="BM270" s="483"/>
      <c r="BN270" s="94"/>
      <c r="BO270" s="94"/>
      <c r="BP270" s="94"/>
      <c r="BQ270" s="94"/>
      <c r="BR270" s="94"/>
      <c r="BS270" s="94"/>
      <c r="BT270" s="94"/>
      <c r="BU270" s="94"/>
      <c r="BV270" s="94"/>
      <c r="BW270" s="688">
        <f t="shared" si="26"/>
        <v>0</v>
      </c>
      <c r="BX270" s="51"/>
      <c r="BY270" s="51"/>
      <c r="BZ270" s="51"/>
      <c r="CA270" s="51"/>
      <c r="CB270" s="51"/>
      <c r="CC270" s="51"/>
      <c r="CD270" s="97"/>
      <c r="CE270" s="479"/>
      <c r="CF270" s="51"/>
      <c r="CG270" s="51"/>
      <c r="CH270" s="62"/>
      <c r="CI270" s="62"/>
      <c r="CJ270" s="51"/>
      <c r="CK270" s="51"/>
      <c r="CL270" s="95"/>
      <c r="CM270" s="93"/>
      <c r="CN270" s="51"/>
      <c r="CO270" s="51"/>
      <c r="CP270" s="51"/>
      <c r="CQ270" s="51"/>
      <c r="CR270" s="51"/>
      <c r="CS270" s="51"/>
      <c r="CT270" s="51"/>
      <c r="CU270" s="95"/>
      <c r="CV270" s="93"/>
      <c r="CW270" s="51"/>
      <c r="CX270" s="51"/>
      <c r="CY270" s="51"/>
      <c r="CZ270" s="51"/>
      <c r="DA270" s="51"/>
      <c r="DB270" s="51"/>
      <c r="DC270" s="51"/>
      <c r="DD270" s="95"/>
      <c r="DE270" s="93"/>
      <c r="DF270" s="51"/>
      <c r="DG270" s="51"/>
      <c r="DH270" s="51"/>
      <c r="DI270" s="51"/>
      <c r="DJ270" s="51"/>
      <c r="DK270" s="51"/>
      <c r="DL270" s="95"/>
      <c r="DM270" s="478"/>
      <c r="DN270" s="682">
        <f t="shared" si="31"/>
        <v>0</v>
      </c>
      <c r="DO270" s="683"/>
    </row>
    <row r="271" spans="1:119" ht="25.5" customHeight="1" thickTop="1" thickBot="1" x14ac:dyDescent="0.2">
      <c r="A271" s="676">
        <f t="shared" si="27"/>
        <v>256</v>
      </c>
      <c r="B271" s="1054"/>
      <c r="C271" s="1055"/>
      <c r="D271" s="83"/>
      <c r="E271" s="954"/>
      <c r="F271" s="52"/>
      <c r="G271" s="103"/>
      <c r="H271" s="1058"/>
      <c r="I271" s="684" t="str">
        <f t="shared" si="24"/>
        <v/>
      </c>
      <c r="J271" s="685">
        <f t="shared" si="25"/>
        <v>0</v>
      </c>
      <c r="K271" s="1258"/>
      <c r="L271" s="1251"/>
      <c r="M271" s="1257"/>
      <c r="N271" s="719" t="str">
        <f t="shared" si="28"/>
        <v/>
      </c>
      <c r="O271" s="720" t="str">
        <f>IF('Set up ~ Config'!$G$32=6,IF(OR($N271=7,$N271=8,$N271=9),1,IF(OR($N271=10,$N271=11,$N271=12),2,IF(OR($N271=1,$N271=2,$N271=3),3,IF(OR($N271=4,$N271=5,$N271=6),4,"")))),IF(OR($N271=9,$N271=10,$N271=11),1,IF(OR($N271=12,$N271=1,$N271=2),2,IF(OR($N271=3,$N271=4,$N271=5),3,IF(OR($N271=6,$N271=7,$N271=8),4,"")))))</f>
        <v/>
      </c>
      <c r="P271" s="99"/>
      <c r="Q271" s="62"/>
      <c r="R271" s="62"/>
      <c r="S271" s="51"/>
      <c r="T271" s="51"/>
      <c r="U271" s="51"/>
      <c r="V271" s="51"/>
      <c r="W271" s="51"/>
      <c r="X271" s="51"/>
      <c r="Y271" s="51"/>
      <c r="Z271" s="51"/>
      <c r="AA271" s="51"/>
      <c r="AB271" s="51"/>
      <c r="AC271" s="51"/>
      <c r="AD271" s="51"/>
      <c r="AE271" s="51"/>
      <c r="AF271" s="51"/>
      <c r="AG271" s="51"/>
      <c r="AH271" s="94"/>
      <c r="AI271" s="94"/>
      <c r="AJ271" s="94"/>
      <c r="AK271" s="94"/>
      <c r="AL271" s="94"/>
      <c r="AM271" s="94"/>
      <c r="AN271" s="94"/>
      <c r="AO271" s="95"/>
      <c r="AP271" s="686">
        <f t="shared" si="29"/>
        <v>0</v>
      </c>
      <c r="AQ271" s="42"/>
      <c r="AR271" s="42"/>
      <c r="AS271" s="42"/>
      <c r="AT271" s="43"/>
      <c r="AU271" s="687">
        <f t="shared" si="30"/>
        <v>0</v>
      </c>
      <c r="AV271" s="42"/>
      <c r="AW271" s="42"/>
      <c r="AX271" s="42"/>
      <c r="AY271" s="43"/>
      <c r="AZ271" s="486"/>
      <c r="BA271" s="51"/>
      <c r="BB271" s="51"/>
      <c r="BC271" s="51"/>
      <c r="BD271" s="51"/>
      <c r="BE271" s="51"/>
      <c r="BF271" s="51"/>
      <c r="BG271" s="51"/>
      <c r="BH271" s="94"/>
      <c r="BI271" s="94"/>
      <c r="BJ271" s="94"/>
      <c r="BK271" s="94"/>
      <c r="BL271" s="94"/>
      <c r="BM271" s="483"/>
      <c r="BN271" s="94"/>
      <c r="BO271" s="94"/>
      <c r="BP271" s="94"/>
      <c r="BQ271" s="94"/>
      <c r="BR271" s="94"/>
      <c r="BS271" s="94"/>
      <c r="BT271" s="94"/>
      <c r="BU271" s="94"/>
      <c r="BV271" s="94"/>
      <c r="BW271" s="688">
        <f t="shared" si="26"/>
        <v>0</v>
      </c>
      <c r="BX271" s="51"/>
      <c r="BY271" s="51"/>
      <c r="BZ271" s="51"/>
      <c r="CA271" s="51"/>
      <c r="CB271" s="51"/>
      <c r="CC271" s="51"/>
      <c r="CD271" s="97"/>
      <c r="CE271" s="479"/>
      <c r="CF271" s="51"/>
      <c r="CG271" s="51"/>
      <c r="CH271" s="62"/>
      <c r="CI271" s="62"/>
      <c r="CJ271" s="51"/>
      <c r="CK271" s="51"/>
      <c r="CL271" s="95"/>
      <c r="CM271" s="93"/>
      <c r="CN271" s="51"/>
      <c r="CO271" s="51"/>
      <c r="CP271" s="51"/>
      <c r="CQ271" s="51"/>
      <c r="CR271" s="51"/>
      <c r="CS271" s="51"/>
      <c r="CT271" s="51"/>
      <c r="CU271" s="95"/>
      <c r="CV271" s="93"/>
      <c r="CW271" s="51"/>
      <c r="CX271" s="51"/>
      <c r="CY271" s="51"/>
      <c r="CZ271" s="51"/>
      <c r="DA271" s="51"/>
      <c r="DB271" s="51"/>
      <c r="DC271" s="51"/>
      <c r="DD271" s="95"/>
      <c r="DE271" s="93"/>
      <c r="DF271" s="51"/>
      <c r="DG271" s="51"/>
      <c r="DH271" s="51"/>
      <c r="DI271" s="51"/>
      <c r="DJ271" s="51"/>
      <c r="DK271" s="51"/>
      <c r="DL271" s="95"/>
      <c r="DM271" s="478"/>
      <c r="DN271" s="682">
        <f t="shared" si="31"/>
        <v>0</v>
      </c>
      <c r="DO271" s="683"/>
    </row>
    <row r="272" spans="1:119" ht="25.5" customHeight="1" thickTop="1" thickBot="1" x14ac:dyDescent="0.2">
      <c r="A272" s="676">
        <f t="shared" si="27"/>
        <v>257</v>
      </c>
      <c r="B272" s="1054"/>
      <c r="C272" s="1055"/>
      <c r="D272" s="83"/>
      <c r="E272" s="954"/>
      <c r="F272" s="52"/>
      <c r="G272" s="103"/>
      <c r="H272" s="1058"/>
      <c r="I272" s="684" t="str">
        <f t="shared" ref="I272:I335" si="32">LEFT(H272,4)</f>
        <v/>
      </c>
      <c r="J272" s="685">
        <f t="shared" ref="J272:J335" si="33">G272-DN272</f>
        <v>0</v>
      </c>
      <c r="K272" s="1258"/>
      <c r="L272" s="1251"/>
      <c r="M272" s="1257"/>
      <c r="N272" s="719" t="str">
        <f t="shared" si="28"/>
        <v/>
      </c>
      <c r="O272" s="720" t="str">
        <f>IF('Set up ~ Config'!$G$32=6,IF(OR($N272=7,$N272=8,$N272=9),1,IF(OR($N272=10,$N272=11,$N272=12),2,IF(OR($N272=1,$N272=2,$N272=3),3,IF(OR($N272=4,$N272=5,$N272=6),4,"")))),IF(OR($N272=9,$N272=10,$N272=11),1,IF(OR($N272=12,$N272=1,$N272=2),2,IF(OR($N272=3,$N272=4,$N272=5),3,IF(OR($N272=6,$N272=7,$N272=8),4,"")))))</f>
        <v/>
      </c>
      <c r="P272" s="99"/>
      <c r="Q272" s="62"/>
      <c r="R272" s="62"/>
      <c r="S272" s="51"/>
      <c r="T272" s="51"/>
      <c r="U272" s="51"/>
      <c r="V272" s="51"/>
      <c r="W272" s="51"/>
      <c r="X272" s="51"/>
      <c r="Y272" s="51"/>
      <c r="Z272" s="51"/>
      <c r="AA272" s="51"/>
      <c r="AB272" s="51"/>
      <c r="AC272" s="51"/>
      <c r="AD272" s="51"/>
      <c r="AE272" s="51"/>
      <c r="AF272" s="51"/>
      <c r="AG272" s="51"/>
      <c r="AH272" s="94"/>
      <c r="AI272" s="94"/>
      <c r="AJ272" s="94"/>
      <c r="AK272" s="94"/>
      <c r="AL272" s="94"/>
      <c r="AM272" s="94"/>
      <c r="AN272" s="94"/>
      <c r="AO272" s="95"/>
      <c r="AP272" s="686">
        <f t="shared" si="29"/>
        <v>0</v>
      </c>
      <c r="AQ272" s="42"/>
      <c r="AR272" s="42"/>
      <c r="AS272" s="42"/>
      <c r="AT272" s="43"/>
      <c r="AU272" s="687">
        <f t="shared" si="30"/>
        <v>0</v>
      </c>
      <c r="AV272" s="42"/>
      <c r="AW272" s="42"/>
      <c r="AX272" s="42"/>
      <c r="AY272" s="43"/>
      <c r="AZ272" s="486"/>
      <c r="BA272" s="51"/>
      <c r="BB272" s="51"/>
      <c r="BC272" s="51"/>
      <c r="BD272" s="51"/>
      <c r="BE272" s="51"/>
      <c r="BF272" s="51"/>
      <c r="BG272" s="51"/>
      <c r="BH272" s="94"/>
      <c r="BI272" s="94"/>
      <c r="BJ272" s="94"/>
      <c r="BK272" s="94"/>
      <c r="BL272" s="94"/>
      <c r="BM272" s="483"/>
      <c r="BN272" s="94"/>
      <c r="BO272" s="94"/>
      <c r="BP272" s="94"/>
      <c r="BQ272" s="94"/>
      <c r="BR272" s="94"/>
      <c r="BS272" s="94"/>
      <c r="BT272" s="94"/>
      <c r="BU272" s="94"/>
      <c r="BV272" s="94"/>
      <c r="BW272" s="688">
        <f t="shared" ref="BW272:BW335" si="34">SUM(BX272:CD272)</f>
        <v>0</v>
      </c>
      <c r="BX272" s="51"/>
      <c r="BY272" s="51"/>
      <c r="BZ272" s="51"/>
      <c r="CA272" s="51"/>
      <c r="CB272" s="51"/>
      <c r="CC272" s="51"/>
      <c r="CD272" s="97"/>
      <c r="CE272" s="479"/>
      <c r="CF272" s="51"/>
      <c r="CG272" s="51"/>
      <c r="CH272" s="62"/>
      <c r="CI272" s="62"/>
      <c r="CJ272" s="51"/>
      <c r="CK272" s="51"/>
      <c r="CL272" s="95"/>
      <c r="CM272" s="93"/>
      <c r="CN272" s="51"/>
      <c r="CO272" s="51"/>
      <c r="CP272" s="51"/>
      <c r="CQ272" s="51"/>
      <c r="CR272" s="51"/>
      <c r="CS272" s="51"/>
      <c r="CT272" s="51"/>
      <c r="CU272" s="95"/>
      <c r="CV272" s="93"/>
      <c r="CW272" s="51"/>
      <c r="CX272" s="51"/>
      <c r="CY272" s="51"/>
      <c r="CZ272" s="51"/>
      <c r="DA272" s="51"/>
      <c r="DB272" s="51"/>
      <c r="DC272" s="51"/>
      <c r="DD272" s="95"/>
      <c r="DE272" s="93"/>
      <c r="DF272" s="51"/>
      <c r="DG272" s="51"/>
      <c r="DH272" s="51"/>
      <c r="DI272" s="51"/>
      <c r="DJ272" s="51"/>
      <c r="DK272" s="51"/>
      <c r="DL272" s="95"/>
      <c r="DM272" s="478"/>
      <c r="DN272" s="682">
        <f t="shared" si="31"/>
        <v>0</v>
      </c>
      <c r="DO272" s="683"/>
    </row>
    <row r="273" spans="1:119" ht="25.5" customHeight="1" thickTop="1" thickBot="1" x14ac:dyDescent="0.2">
      <c r="A273" s="676">
        <f t="shared" ref="A273:A336" si="35">$A272+1</f>
        <v>258</v>
      </c>
      <c r="B273" s="1054"/>
      <c r="C273" s="1055"/>
      <c r="D273" s="83"/>
      <c r="E273" s="954"/>
      <c r="F273" s="52"/>
      <c r="G273" s="103"/>
      <c r="H273" s="1058"/>
      <c r="I273" s="684" t="str">
        <f t="shared" si="32"/>
        <v/>
      </c>
      <c r="J273" s="685">
        <f t="shared" si="33"/>
        <v>0</v>
      </c>
      <c r="K273" s="1258"/>
      <c r="L273" s="1251"/>
      <c r="M273" s="1257"/>
      <c r="N273" s="719" t="str">
        <f t="shared" ref="N273:N336" si="36">IF($E273="","",MONTH($E273))</f>
        <v/>
      </c>
      <c r="O273" s="720" t="str">
        <f>IF('Set up ~ Config'!$G$32=6,IF(OR($N273=7,$N273=8,$N273=9),1,IF(OR($N273=10,$N273=11,$N273=12),2,IF(OR($N273=1,$N273=2,$N273=3),3,IF(OR($N273=4,$N273=5,$N273=6),4,"")))),IF(OR($N273=9,$N273=10,$N273=11),1,IF(OR($N273=12,$N273=1,$N273=2),2,IF(OR($N273=3,$N273=4,$N273=5),3,IF(OR($N273=6,$N273=7,$N273=8),4,"")))))</f>
        <v/>
      </c>
      <c r="P273" s="99"/>
      <c r="Q273" s="62"/>
      <c r="R273" s="62"/>
      <c r="S273" s="51"/>
      <c r="T273" s="51"/>
      <c r="U273" s="51"/>
      <c r="V273" s="51"/>
      <c r="W273" s="51"/>
      <c r="X273" s="51"/>
      <c r="Y273" s="51"/>
      <c r="Z273" s="51"/>
      <c r="AA273" s="51"/>
      <c r="AB273" s="51"/>
      <c r="AC273" s="51"/>
      <c r="AD273" s="51"/>
      <c r="AE273" s="51"/>
      <c r="AF273" s="51"/>
      <c r="AG273" s="51"/>
      <c r="AH273" s="94"/>
      <c r="AI273" s="94"/>
      <c r="AJ273" s="94"/>
      <c r="AK273" s="94"/>
      <c r="AL273" s="94"/>
      <c r="AM273" s="94"/>
      <c r="AN273" s="94"/>
      <c r="AO273" s="95"/>
      <c r="AP273" s="686">
        <f t="shared" ref="AP273:AP336" si="37">SUM(AQ273:AT273)</f>
        <v>0</v>
      </c>
      <c r="AQ273" s="42"/>
      <c r="AR273" s="42"/>
      <c r="AS273" s="42"/>
      <c r="AT273" s="43"/>
      <c r="AU273" s="687">
        <f t="shared" ref="AU273:AU336" si="38">SUM(AV273:AY273)</f>
        <v>0</v>
      </c>
      <c r="AV273" s="42"/>
      <c r="AW273" s="42"/>
      <c r="AX273" s="42"/>
      <c r="AY273" s="43"/>
      <c r="AZ273" s="486"/>
      <c r="BA273" s="51"/>
      <c r="BB273" s="51"/>
      <c r="BC273" s="51"/>
      <c r="BD273" s="51"/>
      <c r="BE273" s="51"/>
      <c r="BF273" s="51"/>
      <c r="BG273" s="51"/>
      <c r="BH273" s="94"/>
      <c r="BI273" s="94"/>
      <c r="BJ273" s="94"/>
      <c r="BK273" s="94"/>
      <c r="BL273" s="94"/>
      <c r="BM273" s="483"/>
      <c r="BN273" s="94"/>
      <c r="BO273" s="94"/>
      <c r="BP273" s="94"/>
      <c r="BQ273" s="94"/>
      <c r="BR273" s="94"/>
      <c r="BS273" s="94"/>
      <c r="BT273" s="94"/>
      <c r="BU273" s="94"/>
      <c r="BV273" s="94"/>
      <c r="BW273" s="688">
        <f t="shared" si="34"/>
        <v>0</v>
      </c>
      <c r="BX273" s="51"/>
      <c r="BY273" s="51"/>
      <c r="BZ273" s="51"/>
      <c r="CA273" s="51"/>
      <c r="CB273" s="51"/>
      <c r="CC273" s="51"/>
      <c r="CD273" s="97"/>
      <c r="CE273" s="479"/>
      <c r="CF273" s="51"/>
      <c r="CG273" s="51"/>
      <c r="CH273" s="62"/>
      <c r="CI273" s="62"/>
      <c r="CJ273" s="51"/>
      <c r="CK273" s="51"/>
      <c r="CL273" s="95"/>
      <c r="CM273" s="93"/>
      <c r="CN273" s="51"/>
      <c r="CO273" s="51"/>
      <c r="CP273" s="51"/>
      <c r="CQ273" s="51"/>
      <c r="CR273" s="51"/>
      <c r="CS273" s="51"/>
      <c r="CT273" s="51"/>
      <c r="CU273" s="95"/>
      <c r="CV273" s="93"/>
      <c r="CW273" s="51"/>
      <c r="CX273" s="51"/>
      <c r="CY273" s="51"/>
      <c r="CZ273" s="51"/>
      <c r="DA273" s="51"/>
      <c r="DB273" s="51"/>
      <c r="DC273" s="51"/>
      <c r="DD273" s="95"/>
      <c r="DE273" s="93"/>
      <c r="DF273" s="51"/>
      <c r="DG273" s="51"/>
      <c r="DH273" s="51"/>
      <c r="DI273" s="51"/>
      <c r="DJ273" s="51"/>
      <c r="DK273" s="51"/>
      <c r="DL273" s="95"/>
      <c r="DM273" s="478"/>
      <c r="DN273" s="682">
        <f t="shared" ref="DN273:DN336" si="39">SUM(P273:AP273,AU273,AZ273:BW273,CE273:DM273)</f>
        <v>0</v>
      </c>
      <c r="DO273" s="683"/>
    </row>
    <row r="274" spans="1:119" ht="25.5" customHeight="1" thickTop="1" thickBot="1" x14ac:dyDescent="0.2">
      <c r="A274" s="676">
        <f t="shared" si="35"/>
        <v>259</v>
      </c>
      <c r="B274" s="1054"/>
      <c r="C274" s="1055"/>
      <c r="D274" s="83"/>
      <c r="E274" s="954"/>
      <c r="F274" s="52"/>
      <c r="G274" s="103"/>
      <c r="H274" s="1058"/>
      <c r="I274" s="684" t="str">
        <f t="shared" si="32"/>
        <v/>
      </c>
      <c r="J274" s="685">
        <f t="shared" si="33"/>
        <v>0</v>
      </c>
      <c r="K274" s="1258"/>
      <c r="L274" s="1251"/>
      <c r="M274" s="1257"/>
      <c r="N274" s="719" t="str">
        <f t="shared" si="36"/>
        <v/>
      </c>
      <c r="O274" s="720" t="str">
        <f>IF('Set up ~ Config'!$G$32=6,IF(OR($N274=7,$N274=8,$N274=9),1,IF(OR($N274=10,$N274=11,$N274=12),2,IF(OR($N274=1,$N274=2,$N274=3),3,IF(OR($N274=4,$N274=5,$N274=6),4,"")))),IF(OR($N274=9,$N274=10,$N274=11),1,IF(OR($N274=12,$N274=1,$N274=2),2,IF(OR($N274=3,$N274=4,$N274=5),3,IF(OR($N274=6,$N274=7,$N274=8),4,"")))))</f>
        <v/>
      </c>
      <c r="P274" s="99"/>
      <c r="Q274" s="62"/>
      <c r="R274" s="62"/>
      <c r="S274" s="51"/>
      <c r="T274" s="51"/>
      <c r="U274" s="51"/>
      <c r="V274" s="51"/>
      <c r="W274" s="51"/>
      <c r="X274" s="51"/>
      <c r="Y274" s="51"/>
      <c r="Z274" s="51"/>
      <c r="AA274" s="51"/>
      <c r="AB274" s="51"/>
      <c r="AC274" s="51"/>
      <c r="AD274" s="51"/>
      <c r="AE274" s="51"/>
      <c r="AF274" s="51"/>
      <c r="AG274" s="51"/>
      <c r="AH274" s="94"/>
      <c r="AI274" s="94"/>
      <c r="AJ274" s="94"/>
      <c r="AK274" s="94"/>
      <c r="AL274" s="94"/>
      <c r="AM274" s="94"/>
      <c r="AN274" s="94"/>
      <c r="AO274" s="95"/>
      <c r="AP274" s="686">
        <f t="shared" si="37"/>
        <v>0</v>
      </c>
      <c r="AQ274" s="42"/>
      <c r="AR274" s="42"/>
      <c r="AS274" s="42"/>
      <c r="AT274" s="43"/>
      <c r="AU274" s="687">
        <f t="shared" si="38"/>
        <v>0</v>
      </c>
      <c r="AV274" s="42"/>
      <c r="AW274" s="42"/>
      <c r="AX274" s="42"/>
      <c r="AY274" s="43"/>
      <c r="AZ274" s="486"/>
      <c r="BA274" s="51"/>
      <c r="BB274" s="51"/>
      <c r="BC274" s="51"/>
      <c r="BD274" s="51"/>
      <c r="BE274" s="51"/>
      <c r="BF274" s="51"/>
      <c r="BG274" s="51"/>
      <c r="BH274" s="94"/>
      <c r="BI274" s="94"/>
      <c r="BJ274" s="94"/>
      <c r="BK274" s="94"/>
      <c r="BL274" s="94"/>
      <c r="BM274" s="483"/>
      <c r="BN274" s="94"/>
      <c r="BO274" s="94"/>
      <c r="BP274" s="94"/>
      <c r="BQ274" s="94"/>
      <c r="BR274" s="94"/>
      <c r="BS274" s="94"/>
      <c r="BT274" s="94"/>
      <c r="BU274" s="94"/>
      <c r="BV274" s="94"/>
      <c r="BW274" s="688">
        <f t="shared" si="34"/>
        <v>0</v>
      </c>
      <c r="BX274" s="51"/>
      <c r="BY274" s="51"/>
      <c r="BZ274" s="51"/>
      <c r="CA274" s="51"/>
      <c r="CB274" s="51"/>
      <c r="CC274" s="51"/>
      <c r="CD274" s="97"/>
      <c r="CE274" s="479"/>
      <c r="CF274" s="51"/>
      <c r="CG274" s="51"/>
      <c r="CH274" s="62"/>
      <c r="CI274" s="62"/>
      <c r="CJ274" s="51"/>
      <c r="CK274" s="51"/>
      <c r="CL274" s="95"/>
      <c r="CM274" s="93"/>
      <c r="CN274" s="51"/>
      <c r="CO274" s="51"/>
      <c r="CP274" s="51"/>
      <c r="CQ274" s="51"/>
      <c r="CR274" s="51"/>
      <c r="CS274" s="51"/>
      <c r="CT274" s="51"/>
      <c r="CU274" s="95"/>
      <c r="CV274" s="93"/>
      <c r="CW274" s="51"/>
      <c r="CX274" s="51"/>
      <c r="CY274" s="51"/>
      <c r="CZ274" s="51"/>
      <c r="DA274" s="51"/>
      <c r="DB274" s="51"/>
      <c r="DC274" s="51"/>
      <c r="DD274" s="95"/>
      <c r="DE274" s="93"/>
      <c r="DF274" s="51"/>
      <c r="DG274" s="51"/>
      <c r="DH274" s="51"/>
      <c r="DI274" s="51"/>
      <c r="DJ274" s="51"/>
      <c r="DK274" s="51"/>
      <c r="DL274" s="95"/>
      <c r="DM274" s="478"/>
      <c r="DN274" s="682">
        <f t="shared" si="39"/>
        <v>0</v>
      </c>
      <c r="DO274" s="683"/>
    </row>
    <row r="275" spans="1:119" ht="25.5" customHeight="1" thickTop="1" thickBot="1" x14ac:dyDescent="0.2">
      <c r="A275" s="676">
        <f t="shared" si="35"/>
        <v>260</v>
      </c>
      <c r="B275" s="1054"/>
      <c r="C275" s="1055"/>
      <c r="D275" s="83"/>
      <c r="E275" s="954"/>
      <c r="F275" s="52"/>
      <c r="G275" s="103"/>
      <c r="H275" s="1058"/>
      <c r="I275" s="684" t="str">
        <f t="shared" si="32"/>
        <v/>
      </c>
      <c r="J275" s="685">
        <f t="shared" si="33"/>
        <v>0</v>
      </c>
      <c r="K275" s="1258"/>
      <c r="L275" s="1251"/>
      <c r="M275" s="1257"/>
      <c r="N275" s="719" t="str">
        <f t="shared" si="36"/>
        <v/>
      </c>
      <c r="O275" s="720" t="str">
        <f>IF('Set up ~ Config'!$G$32=6,IF(OR($N275=7,$N275=8,$N275=9),1,IF(OR($N275=10,$N275=11,$N275=12),2,IF(OR($N275=1,$N275=2,$N275=3),3,IF(OR($N275=4,$N275=5,$N275=6),4,"")))),IF(OR($N275=9,$N275=10,$N275=11),1,IF(OR($N275=12,$N275=1,$N275=2),2,IF(OR($N275=3,$N275=4,$N275=5),3,IF(OR($N275=6,$N275=7,$N275=8),4,"")))))</f>
        <v/>
      </c>
      <c r="P275" s="99"/>
      <c r="Q275" s="62"/>
      <c r="R275" s="62"/>
      <c r="S275" s="51"/>
      <c r="T275" s="51"/>
      <c r="U275" s="51"/>
      <c r="V275" s="51"/>
      <c r="W275" s="51"/>
      <c r="X275" s="51"/>
      <c r="Y275" s="51"/>
      <c r="Z275" s="51"/>
      <c r="AA275" s="51"/>
      <c r="AB275" s="51"/>
      <c r="AC275" s="51"/>
      <c r="AD275" s="51"/>
      <c r="AE275" s="51"/>
      <c r="AF275" s="51"/>
      <c r="AG275" s="51"/>
      <c r="AH275" s="94"/>
      <c r="AI275" s="94"/>
      <c r="AJ275" s="94"/>
      <c r="AK275" s="94"/>
      <c r="AL275" s="94"/>
      <c r="AM275" s="94"/>
      <c r="AN275" s="94"/>
      <c r="AO275" s="95"/>
      <c r="AP275" s="686">
        <f t="shared" si="37"/>
        <v>0</v>
      </c>
      <c r="AQ275" s="42"/>
      <c r="AR275" s="42"/>
      <c r="AS275" s="42"/>
      <c r="AT275" s="43"/>
      <c r="AU275" s="687">
        <f t="shared" si="38"/>
        <v>0</v>
      </c>
      <c r="AV275" s="42"/>
      <c r="AW275" s="42"/>
      <c r="AX275" s="42"/>
      <c r="AY275" s="43"/>
      <c r="AZ275" s="486"/>
      <c r="BA275" s="51"/>
      <c r="BB275" s="51"/>
      <c r="BC275" s="51"/>
      <c r="BD275" s="51"/>
      <c r="BE275" s="51"/>
      <c r="BF275" s="51"/>
      <c r="BG275" s="51"/>
      <c r="BH275" s="94"/>
      <c r="BI275" s="94"/>
      <c r="BJ275" s="94"/>
      <c r="BK275" s="94"/>
      <c r="BL275" s="94"/>
      <c r="BM275" s="483"/>
      <c r="BN275" s="94"/>
      <c r="BO275" s="94"/>
      <c r="BP275" s="94"/>
      <c r="BQ275" s="94"/>
      <c r="BR275" s="94"/>
      <c r="BS275" s="94"/>
      <c r="BT275" s="94"/>
      <c r="BU275" s="94"/>
      <c r="BV275" s="94"/>
      <c r="BW275" s="688">
        <f t="shared" si="34"/>
        <v>0</v>
      </c>
      <c r="BX275" s="51"/>
      <c r="BY275" s="51"/>
      <c r="BZ275" s="51"/>
      <c r="CA275" s="51"/>
      <c r="CB275" s="51"/>
      <c r="CC275" s="51"/>
      <c r="CD275" s="97"/>
      <c r="CE275" s="479"/>
      <c r="CF275" s="51"/>
      <c r="CG275" s="51"/>
      <c r="CH275" s="62"/>
      <c r="CI275" s="62"/>
      <c r="CJ275" s="51"/>
      <c r="CK275" s="51"/>
      <c r="CL275" s="95"/>
      <c r="CM275" s="93"/>
      <c r="CN275" s="51"/>
      <c r="CO275" s="51"/>
      <c r="CP275" s="51"/>
      <c r="CQ275" s="51"/>
      <c r="CR275" s="51"/>
      <c r="CS275" s="51"/>
      <c r="CT275" s="51"/>
      <c r="CU275" s="95"/>
      <c r="CV275" s="93"/>
      <c r="CW275" s="51"/>
      <c r="CX275" s="51"/>
      <c r="CY275" s="51"/>
      <c r="CZ275" s="51"/>
      <c r="DA275" s="51"/>
      <c r="DB275" s="51"/>
      <c r="DC275" s="51"/>
      <c r="DD275" s="95"/>
      <c r="DE275" s="93"/>
      <c r="DF275" s="51"/>
      <c r="DG275" s="51"/>
      <c r="DH275" s="51"/>
      <c r="DI275" s="51"/>
      <c r="DJ275" s="51"/>
      <c r="DK275" s="51"/>
      <c r="DL275" s="95"/>
      <c r="DM275" s="478"/>
      <c r="DN275" s="682">
        <f t="shared" si="39"/>
        <v>0</v>
      </c>
      <c r="DO275" s="683"/>
    </row>
    <row r="276" spans="1:119" ht="25.5" customHeight="1" thickTop="1" thickBot="1" x14ac:dyDescent="0.2">
      <c r="A276" s="676">
        <f t="shared" si="35"/>
        <v>261</v>
      </c>
      <c r="B276" s="1054"/>
      <c r="C276" s="1055"/>
      <c r="D276" s="83"/>
      <c r="E276" s="954"/>
      <c r="F276" s="52"/>
      <c r="G276" s="103"/>
      <c r="H276" s="1058"/>
      <c r="I276" s="684" t="str">
        <f t="shared" si="32"/>
        <v/>
      </c>
      <c r="J276" s="685">
        <f t="shared" si="33"/>
        <v>0</v>
      </c>
      <c r="K276" s="1258"/>
      <c r="L276" s="1251"/>
      <c r="M276" s="1257"/>
      <c r="N276" s="719" t="str">
        <f t="shared" si="36"/>
        <v/>
      </c>
      <c r="O276" s="720" t="str">
        <f>IF('Set up ~ Config'!$G$32=6,IF(OR($N276=7,$N276=8,$N276=9),1,IF(OR($N276=10,$N276=11,$N276=12),2,IF(OR($N276=1,$N276=2,$N276=3),3,IF(OR($N276=4,$N276=5,$N276=6),4,"")))),IF(OR($N276=9,$N276=10,$N276=11),1,IF(OR($N276=12,$N276=1,$N276=2),2,IF(OR($N276=3,$N276=4,$N276=5),3,IF(OR($N276=6,$N276=7,$N276=8),4,"")))))</f>
        <v/>
      </c>
      <c r="P276" s="99"/>
      <c r="Q276" s="62"/>
      <c r="R276" s="62"/>
      <c r="S276" s="51"/>
      <c r="T276" s="51"/>
      <c r="U276" s="51"/>
      <c r="V276" s="51"/>
      <c r="W276" s="51"/>
      <c r="X276" s="51"/>
      <c r="Y276" s="51"/>
      <c r="Z276" s="51"/>
      <c r="AA276" s="51"/>
      <c r="AB276" s="51"/>
      <c r="AC276" s="51"/>
      <c r="AD276" s="51"/>
      <c r="AE276" s="51"/>
      <c r="AF276" s="51"/>
      <c r="AG276" s="51"/>
      <c r="AH276" s="94"/>
      <c r="AI276" s="94"/>
      <c r="AJ276" s="94"/>
      <c r="AK276" s="94"/>
      <c r="AL276" s="94"/>
      <c r="AM276" s="94"/>
      <c r="AN276" s="94"/>
      <c r="AO276" s="95"/>
      <c r="AP276" s="686">
        <f t="shared" si="37"/>
        <v>0</v>
      </c>
      <c r="AQ276" s="42"/>
      <c r="AR276" s="42"/>
      <c r="AS276" s="42"/>
      <c r="AT276" s="43"/>
      <c r="AU276" s="687">
        <f t="shared" si="38"/>
        <v>0</v>
      </c>
      <c r="AV276" s="42"/>
      <c r="AW276" s="42"/>
      <c r="AX276" s="42"/>
      <c r="AY276" s="43"/>
      <c r="AZ276" s="486"/>
      <c r="BA276" s="51"/>
      <c r="BB276" s="51"/>
      <c r="BC276" s="51"/>
      <c r="BD276" s="51"/>
      <c r="BE276" s="51"/>
      <c r="BF276" s="51"/>
      <c r="BG276" s="51"/>
      <c r="BH276" s="94"/>
      <c r="BI276" s="94"/>
      <c r="BJ276" s="94"/>
      <c r="BK276" s="94"/>
      <c r="BL276" s="94"/>
      <c r="BM276" s="483"/>
      <c r="BN276" s="94"/>
      <c r="BO276" s="94"/>
      <c r="BP276" s="94"/>
      <c r="BQ276" s="94"/>
      <c r="BR276" s="94"/>
      <c r="BS276" s="94"/>
      <c r="BT276" s="94"/>
      <c r="BU276" s="94"/>
      <c r="BV276" s="94"/>
      <c r="BW276" s="688">
        <f t="shared" si="34"/>
        <v>0</v>
      </c>
      <c r="BX276" s="51"/>
      <c r="BY276" s="51"/>
      <c r="BZ276" s="51"/>
      <c r="CA276" s="51"/>
      <c r="CB276" s="51"/>
      <c r="CC276" s="51"/>
      <c r="CD276" s="97"/>
      <c r="CE276" s="479"/>
      <c r="CF276" s="51"/>
      <c r="CG276" s="51"/>
      <c r="CH276" s="62"/>
      <c r="CI276" s="62"/>
      <c r="CJ276" s="51"/>
      <c r="CK276" s="51"/>
      <c r="CL276" s="95"/>
      <c r="CM276" s="93"/>
      <c r="CN276" s="51"/>
      <c r="CO276" s="51"/>
      <c r="CP276" s="51"/>
      <c r="CQ276" s="51"/>
      <c r="CR276" s="51"/>
      <c r="CS276" s="51"/>
      <c r="CT276" s="51"/>
      <c r="CU276" s="95"/>
      <c r="CV276" s="93"/>
      <c r="CW276" s="51"/>
      <c r="CX276" s="51"/>
      <c r="CY276" s="51"/>
      <c r="CZ276" s="51"/>
      <c r="DA276" s="51"/>
      <c r="DB276" s="51"/>
      <c r="DC276" s="51"/>
      <c r="DD276" s="95"/>
      <c r="DE276" s="93"/>
      <c r="DF276" s="51"/>
      <c r="DG276" s="51"/>
      <c r="DH276" s="51"/>
      <c r="DI276" s="51"/>
      <c r="DJ276" s="51"/>
      <c r="DK276" s="51"/>
      <c r="DL276" s="95"/>
      <c r="DM276" s="478"/>
      <c r="DN276" s="682">
        <f t="shared" si="39"/>
        <v>0</v>
      </c>
      <c r="DO276" s="683"/>
    </row>
    <row r="277" spans="1:119" ht="25.5" customHeight="1" thickTop="1" thickBot="1" x14ac:dyDescent="0.2">
      <c r="A277" s="676">
        <f t="shared" si="35"/>
        <v>262</v>
      </c>
      <c r="B277" s="1054"/>
      <c r="C277" s="1055"/>
      <c r="D277" s="83"/>
      <c r="E277" s="954"/>
      <c r="F277" s="52"/>
      <c r="G277" s="103"/>
      <c r="H277" s="1058"/>
      <c r="I277" s="684" t="str">
        <f t="shared" si="32"/>
        <v/>
      </c>
      <c r="J277" s="685">
        <f t="shared" si="33"/>
        <v>0</v>
      </c>
      <c r="K277" s="1258"/>
      <c r="L277" s="1251"/>
      <c r="M277" s="1257"/>
      <c r="N277" s="719" t="str">
        <f t="shared" si="36"/>
        <v/>
      </c>
      <c r="O277" s="720" t="str">
        <f>IF('Set up ~ Config'!$G$32=6,IF(OR($N277=7,$N277=8,$N277=9),1,IF(OR($N277=10,$N277=11,$N277=12),2,IF(OR($N277=1,$N277=2,$N277=3),3,IF(OR($N277=4,$N277=5,$N277=6),4,"")))),IF(OR($N277=9,$N277=10,$N277=11),1,IF(OR($N277=12,$N277=1,$N277=2),2,IF(OR($N277=3,$N277=4,$N277=5),3,IF(OR($N277=6,$N277=7,$N277=8),4,"")))))</f>
        <v/>
      </c>
      <c r="P277" s="99"/>
      <c r="Q277" s="62"/>
      <c r="R277" s="62"/>
      <c r="S277" s="51"/>
      <c r="T277" s="51"/>
      <c r="U277" s="51"/>
      <c r="V277" s="51"/>
      <c r="W277" s="51"/>
      <c r="X277" s="51"/>
      <c r="Y277" s="51"/>
      <c r="Z277" s="51"/>
      <c r="AA277" s="51"/>
      <c r="AB277" s="51"/>
      <c r="AC277" s="51"/>
      <c r="AD277" s="51"/>
      <c r="AE277" s="51"/>
      <c r="AF277" s="51"/>
      <c r="AG277" s="51"/>
      <c r="AH277" s="94"/>
      <c r="AI277" s="94"/>
      <c r="AJ277" s="94"/>
      <c r="AK277" s="94"/>
      <c r="AL277" s="94"/>
      <c r="AM277" s="94"/>
      <c r="AN277" s="94"/>
      <c r="AO277" s="95"/>
      <c r="AP277" s="686">
        <f t="shared" si="37"/>
        <v>0</v>
      </c>
      <c r="AQ277" s="42"/>
      <c r="AR277" s="42"/>
      <c r="AS277" s="42"/>
      <c r="AT277" s="43"/>
      <c r="AU277" s="687">
        <f t="shared" si="38"/>
        <v>0</v>
      </c>
      <c r="AV277" s="42"/>
      <c r="AW277" s="42"/>
      <c r="AX277" s="42"/>
      <c r="AY277" s="43"/>
      <c r="AZ277" s="486"/>
      <c r="BA277" s="51"/>
      <c r="BB277" s="51"/>
      <c r="BC277" s="51"/>
      <c r="BD277" s="51"/>
      <c r="BE277" s="51"/>
      <c r="BF277" s="51"/>
      <c r="BG277" s="51"/>
      <c r="BH277" s="94"/>
      <c r="BI277" s="94"/>
      <c r="BJ277" s="94"/>
      <c r="BK277" s="94"/>
      <c r="BL277" s="94"/>
      <c r="BM277" s="483"/>
      <c r="BN277" s="94"/>
      <c r="BO277" s="94"/>
      <c r="BP277" s="94"/>
      <c r="BQ277" s="94"/>
      <c r="BR277" s="94"/>
      <c r="BS277" s="94"/>
      <c r="BT277" s="94"/>
      <c r="BU277" s="94"/>
      <c r="BV277" s="94"/>
      <c r="BW277" s="688">
        <f t="shared" si="34"/>
        <v>0</v>
      </c>
      <c r="BX277" s="51"/>
      <c r="BY277" s="51"/>
      <c r="BZ277" s="51"/>
      <c r="CA277" s="51"/>
      <c r="CB277" s="51"/>
      <c r="CC277" s="51"/>
      <c r="CD277" s="97"/>
      <c r="CE277" s="479"/>
      <c r="CF277" s="51"/>
      <c r="CG277" s="51"/>
      <c r="CH277" s="62"/>
      <c r="CI277" s="62"/>
      <c r="CJ277" s="51"/>
      <c r="CK277" s="51"/>
      <c r="CL277" s="95"/>
      <c r="CM277" s="93"/>
      <c r="CN277" s="51"/>
      <c r="CO277" s="51"/>
      <c r="CP277" s="51"/>
      <c r="CQ277" s="51"/>
      <c r="CR277" s="51"/>
      <c r="CS277" s="51"/>
      <c r="CT277" s="51"/>
      <c r="CU277" s="95"/>
      <c r="CV277" s="93"/>
      <c r="CW277" s="51"/>
      <c r="CX277" s="51"/>
      <c r="CY277" s="51"/>
      <c r="CZ277" s="51"/>
      <c r="DA277" s="51"/>
      <c r="DB277" s="51"/>
      <c r="DC277" s="51"/>
      <c r="DD277" s="95"/>
      <c r="DE277" s="93"/>
      <c r="DF277" s="51"/>
      <c r="DG277" s="51"/>
      <c r="DH277" s="51"/>
      <c r="DI277" s="51"/>
      <c r="DJ277" s="51"/>
      <c r="DK277" s="51"/>
      <c r="DL277" s="95"/>
      <c r="DM277" s="478"/>
      <c r="DN277" s="682">
        <f t="shared" si="39"/>
        <v>0</v>
      </c>
      <c r="DO277" s="683"/>
    </row>
    <row r="278" spans="1:119" ht="25.5" customHeight="1" thickTop="1" thickBot="1" x14ac:dyDescent="0.2">
      <c r="A278" s="676">
        <f t="shared" si="35"/>
        <v>263</v>
      </c>
      <c r="B278" s="1054"/>
      <c r="C278" s="1055"/>
      <c r="D278" s="83"/>
      <c r="E278" s="954"/>
      <c r="F278" s="52"/>
      <c r="G278" s="103"/>
      <c r="H278" s="1058"/>
      <c r="I278" s="684" t="str">
        <f t="shared" si="32"/>
        <v/>
      </c>
      <c r="J278" s="685">
        <f t="shared" si="33"/>
        <v>0</v>
      </c>
      <c r="K278" s="1258"/>
      <c r="L278" s="1251"/>
      <c r="M278" s="1257"/>
      <c r="N278" s="719" t="str">
        <f t="shared" si="36"/>
        <v/>
      </c>
      <c r="O278" s="720" t="str">
        <f>IF('Set up ~ Config'!$G$32=6,IF(OR($N278=7,$N278=8,$N278=9),1,IF(OR($N278=10,$N278=11,$N278=12),2,IF(OR($N278=1,$N278=2,$N278=3),3,IF(OR($N278=4,$N278=5,$N278=6),4,"")))),IF(OR($N278=9,$N278=10,$N278=11),1,IF(OR($N278=12,$N278=1,$N278=2),2,IF(OR($N278=3,$N278=4,$N278=5),3,IF(OR($N278=6,$N278=7,$N278=8),4,"")))))</f>
        <v/>
      </c>
      <c r="P278" s="99"/>
      <c r="Q278" s="62"/>
      <c r="R278" s="62"/>
      <c r="S278" s="51"/>
      <c r="T278" s="51"/>
      <c r="U278" s="51"/>
      <c r="V278" s="51"/>
      <c r="W278" s="51"/>
      <c r="X278" s="51"/>
      <c r="Y278" s="51"/>
      <c r="Z278" s="51"/>
      <c r="AA278" s="51"/>
      <c r="AB278" s="51"/>
      <c r="AC278" s="51"/>
      <c r="AD278" s="51"/>
      <c r="AE278" s="51"/>
      <c r="AF278" s="51"/>
      <c r="AG278" s="51"/>
      <c r="AH278" s="94"/>
      <c r="AI278" s="94"/>
      <c r="AJ278" s="94"/>
      <c r="AK278" s="94"/>
      <c r="AL278" s="94"/>
      <c r="AM278" s="94"/>
      <c r="AN278" s="94"/>
      <c r="AO278" s="95"/>
      <c r="AP278" s="686">
        <f t="shared" si="37"/>
        <v>0</v>
      </c>
      <c r="AQ278" s="42"/>
      <c r="AR278" s="42"/>
      <c r="AS278" s="42"/>
      <c r="AT278" s="43"/>
      <c r="AU278" s="687">
        <f t="shared" si="38"/>
        <v>0</v>
      </c>
      <c r="AV278" s="42"/>
      <c r="AW278" s="42"/>
      <c r="AX278" s="42"/>
      <c r="AY278" s="43"/>
      <c r="AZ278" s="486"/>
      <c r="BA278" s="51"/>
      <c r="BB278" s="51"/>
      <c r="BC278" s="51"/>
      <c r="BD278" s="51"/>
      <c r="BE278" s="51"/>
      <c r="BF278" s="51"/>
      <c r="BG278" s="51"/>
      <c r="BH278" s="94"/>
      <c r="BI278" s="94"/>
      <c r="BJ278" s="94"/>
      <c r="BK278" s="94"/>
      <c r="BL278" s="94"/>
      <c r="BM278" s="483"/>
      <c r="BN278" s="94"/>
      <c r="BO278" s="94"/>
      <c r="BP278" s="94"/>
      <c r="BQ278" s="94"/>
      <c r="BR278" s="94"/>
      <c r="BS278" s="94"/>
      <c r="BT278" s="94"/>
      <c r="BU278" s="94"/>
      <c r="BV278" s="94"/>
      <c r="BW278" s="688">
        <f t="shared" si="34"/>
        <v>0</v>
      </c>
      <c r="BX278" s="51"/>
      <c r="BY278" s="51"/>
      <c r="BZ278" s="51"/>
      <c r="CA278" s="51"/>
      <c r="CB278" s="51"/>
      <c r="CC278" s="51"/>
      <c r="CD278" s="97"/>
      <c r="CE278" s="479"/>
      <c r="CF278" s="51"/>
      <c r="CG278" s="51"/>
      <c r="CH278" s="62"/>
      <c r="CI278" s="62"/>
      <c r="CJ278" s="51"/>
      <c r="CK278" s="51"/>
      <c r="CL278" s="95"/>
      <c r="CM278" s="93"/>
      <c r="CN278" s="51"/>
      <c r="CO278" s="51"/>
      <c r="CP278" s="51"/>
      <c r="CQ278" s="51"/>
      <c r="CR278" s="51"/>
      <c r="CS278" s="51"/>
      <c r="CT278" s="51"/>
      <c r="CU278" s="95"/>
      <c r="CV278" s="93"/>
      <c r="CW278" s="51"/>
      <c r="CX278" s="51"/>
      <c r="CY278" s="51"/>
      <c r="CZ278" s="51"/>
      <c r="DA278" s="51"/>
      <c r="DB278" s="51"/>
      <c r="DC278" s="51"/>
      <c r="DD278" s="95"/>
      <c r="DE278" s="93"/>
      <c r="DF278" s="51"/>
      <c r="DG278" s="51"/>
      <c r="DH278" s="51"/>
      <c r="DI278" s="51"/>
      <c r="DJ278" s="51"/>
      <c r="DK278" s="51"/>
      <c r="DL278" s="95"/>
      <c r="DM278" s="478"/>
      <c r="DN278" s="682">
        <f t="shared" si="39"/>
        <v>0</v>
      </c>
      <c r="DO278" s="683"/>
    </row>
    <row r="279" spans="1:119" ht="25.5" customHeight="1" thickTop="1" thickBot="1" x14ac:dyDescent="0.2">
      <c r="A279" s="676">
        <f t="shared" si="35"/>
        <v>264</v>
      </c>
      <c r="B279" s="1054"/>
      <c r="C279" s="1055"/>
      <c r="D279" s="83"/>
      <c r="E279" s="954"/>
      <c r="F279" s="52"/>
      <c r="G279" s="103"/>
      <c r="H279" s="1058"/>
      <c r="I279" s="684" t="str">
        <f t="shared" si="32"/>
        <v/>
      </c>
      <c r="J279" s="685">
        <f t="shared" si="33"/>
        <v>0</v>
      </c>
      <c r="K279" s="1258"/>
      <c r="L279" s="1251"/>
      <c r="M279" s="1257"/>
      <c r="N279" s="719" t="str">
        <f t="shared" si="36"/>
        <v/>
      </c>
      <c r="O279" s="720" t="str">
        <f>IF('Set up ~ Config'!$G$32=6,IF(OR($N279=7,$N279=8,$N279=9),1,IF(OR($N279=10,$N279=11,$N279=12),2,IF(OR($N279=1,$N279=2,$N279=3),3,IF(OR($N279=4,$N279=5,$N279=6),4,"")))),IF(OR($N279=9,$N279=10,$N279=11),1,IF(OR($N279=12,$N279=1,$N279=2),2,IF(OR($N279=3,$N279=4,$N279=5),3,IF(OR($N279=6,$N279=7,$N279=8),4,"")))))</f>
        <v/>
      </c>
      <c r="P279" s="99"/>
      <c r="Q279" s="62"/>
      <c r="R279" s="62"/>
      <c r="S279" s="51"/>
      <c r="T279" s="51"/>
      <c r="U279" s="51"/>
      <c r="V279" s="51"/>
      <c r="W279" s="51"/>
      <c r="X279" s="51"/>
      <c r="Y279" s="51"/>
      <c r="Z279" s="51"/>
      <c r="AA279" s="51"/>
      <c r="AB279" s="51"/>
      <c r="AC279" s="51"/>
      <c r="AD279" s="51"/>
      <c r="AE279" s="51"/>
      <c r="AF279" s="51"/>
      <c r="AG279" s="51"/>
      <c r="AH279" s="94"/>
      <c r="AI279" s="94"/>
      <c r="AJ279" s="94"/>
      <c r="AK279" s="94"/>
      <c r="AL279" s="94"/>
      <c r="AM279" s="94"/>
      <c r="AN279" s="94"/>
      <c r="AO279" s="95"/>
      <c r="AP279" s="686">
        <f t="shared" si="37"/>
        <v>0</v>
      </c>
      <c r="AQ279" s="42"/>
      <c r="AR279" s="42"/>
      <c r="AS279" s="42"/>
      <c r="AT279" s="43"/>
      <c r="AU279" s="687">
        <f t="shared" si="38"/>
        <v>0</v>
      </c>
      <c r="AV279" s="42"/>
      <c r="AW279" s="42"/>
      <c r="AX279" s="42"/>
      <c r="AY279" s="43"/>
      <c r="AZ279" s="486"/>
      <c r="BA279" s="51"/>
      <c r="BB279" s="51"/>
      <c r="BC279" s="51"/>
      <c r="BD279" s="51"/>
      <c r="BE279" s="51"/>
      <c r="BF279" s="51"/>
      <c r="BG279" s="51"/>
      <c r="BH279" s="94"/>
      <c r="BI279" s="94"/>
      <c r="BJ279" s="94"/>
      <c r="BK279" s="94"/>
      <c r="BL279" s="94"/>
      <c r="BM279" s="483"/>
      <c r="BN279" s="94"/>
      <c r="BO279" s="94"/>
      <c r="BP279" s="94"/>
      <c r="BQ279" s="94"/>
      <c r="BR279" s="94"/>
      <c r="BS279" s="94"/>
      <c r="BT279" s="94"/>
      <c r="BU279" s="94"/>
      <c r="BV279" s="94"/>
      <c r="BW279" s="688">
        <f t="shared" si="34"/>
        <v>0</v>
      </c>
      <c r="BX279" s="51"/>
      <c r="BY279" s="51"/>
      <c r="BZ279" s="51"/>
      <c r="CA279" s="51"/>
      <c r="CB279" s="51"/>
      <c r="CC279" s="51"/>
      <c r="CD279" s="97"/>
      <c r="CE279" s="479"/>
      <c r="CF279" s="51"/>
      <c r="CG279" s="51"/>
      <c r="CH279" s="62"/>
      <c r="CI279" s="62"/>
      <c r="CJ279" s="51"/>
      <c r="CK279" s="51"/>
      <c r="CL279" s="95"/>
      <c r="CM279" s="93"/>
      <c r="CN279" s="51"/>
      <c r="CO279" s="51"/>
      <c r="CP279" s="51"/>
      <c r="CQ279" s="51"/>
      <c r="CR279" s="51"/>
      <c r="CS279" s="51"/>
      <c r="CT279" s="51"/>
      <c r="CU279" s="95"/>
      <c r="CV279" s="93"/>
      <c r="CW279" s="51"/>
      <c r="CX279" s="51"/>
      <c r="CY279" s="51"/>
      <c r="CZ279" s="51"/>
      <c r="DA279" s="51"/>
      <c r="DB279" s="51"/>
      <c r="DC279" s="51"/>
      <c r="DD279" s="95"/>
      <c r="DE279" s="93"/>
      <c r="DF279" s="51"/>
      <c r="DG279" s="51"/>
      <c r="DH279" s="51"/>
      <c r="DI279" s="51"/>
      <c r="DJ279" s="51"/>
      <c r="DK279" s="51"/>
      <c r="DL279" s="95"/>
      <c r="DM279" s="478"/>
      <c r="DN279" s="682">
        <f t="shared" si="39"/>
        <v>0</v>
      </c>
      <c r="DO279" s="683"/>
    </row>
    <row r="280" spans="1:119" ht="25.5" customHeight="1" thickTop="1" thickBot="1" x14ac:dyDescent="0.2">
      <c r="A280" s="676">
        <f t="shared" si="35"/>
        <v>265</v>
      </c>
      <c r="B280" s="1054"/>
      <c r="C280" s="1055"/>
      <c r="D280" s="83"/>
      <c r="E280" s="954"/>
      <c r="F280" s="52"/>
      <c r="G280" s="103"/>
      <c r="H280" s="1058"/>
      <c r="I280" s="684" t="str">
        <f t="shared" si="32"/>
        <v/>
      </c>
      <c r="J280" s="685">
        <f t="shared" si="33"/>
        <v>0</v>
      </c>
      <c r="K280" s="1258"/>
      <c r="L280" s="1251"/>
      <c r="M280" s="1257"/>
      <c r="N280" s="719" t="str">
        <f t="shared" si="36"/>
        <v/>
      </c>
      <c r="O280" s="720" t="str">
        <f>IF('Set up ~ Config'!$G$32=6,IF(OR($N280=7,$N280=8,$N280=9),1,IF(OR($N280=10,$N280=11,$N280=12),2,IF(OR($N280=1,$N280=2,$N280=3),3,IF(OR($N280=4,$N280=5,$N280=6),4,"")))),IF(OR($N280=9,$N280=10,$N280=11),1,IF(OR($N280=12,$N280=1,$N280=2),2,IF(OR($N280=3,$N280=4,$N280=5),3,IF(OR($N280=6,$N280=7,$N280=8),4,"")))))</f>
        <v/>
      </c>
      <c r="P280" s="99"/>
      <c r="Q280" s="62"/>
      <c r="R280" s="62"/>
      <c r="S280" s="51"/>
      <c r="T280" s="51"/>
      <c r="U280" s="51"/>
      <c r="V280" s="51"/>
      <c r="W280" s="51"/>
      <c r="X280" s="51"/>
      <c r="Y280" s="51"/>
      <c r="Z280" s="51"/>
      <c r="AA280" s="51"/>
      <c r="AB280" s="51"/>
      <c r="AC280" s="51"/>
      <c r="AD280" s="51"/>
      <c r="AE280" s="51"/>
      <c r="AF280" s="51"/>
      <c r="AG280" s="51"/>
      <c r="AH280" s="94"/>
      <c r="AI280" s="94"/>
      <c r="AJ280" s="94"/>
      <c r="AK280" s="94"/>
      <c r="AL280" s="94"/>
      <c r="AM280" s="94"/>
      <c r="AN280" s="94"/>
      <c r="AO280" s="95"/>
      <c r="AP280" s="686">
        <f t="shared" si="37"/>
        <v>0</v>
      </c>
      <c r="AQ280" s="42"/>
      <c r="AR280" s="42"/>
      <c r="AS280" s="42"/>
      <c r="AT280" s="43"/>
      <c r="AU280" s="687">
        <f t="shared" si="38"/>
        <v>0</v>
      </c>
      <c r="AV280" s="42"/>
      <c r="AW280" s="42"/>
      <c r="AX280" s="42"/>
      <c r="AY280" s="43"/>
      <c r="AZ280" s="486"/>
      <c r="BA280" s="51"/>
      <c r="BB280" s="51"/>
      <c r="BC280" s="51"/>
      <c r="BD280" s="51"/>
      <c r="BE280" s="51"/>
      <c r="BF280" s="51"/>
      <c r="BG280" s="51"/>
      <c r="BH280" s="94"/>
      <c r="BI280" s="94"/>
      <c r="BJ280" s="94"/>
      <c r="BK280" s="94"/>
      <c r="BL280" s="94"/>
      <c r="BM280" s="483"/>
      <c r="BN280" s="94"/>
      <c r="BO280" s="94"/>
      <c r="BP280" s="94"/>
      <c r="BQ280" s="94"/>
      <c r="BR280" s="94"/>
      <c r="BS280" s="94"/>
      <c r="BT280" s="94"/>
      <c r="BU280" s="94"/>
      <c r="BV280" s="94"/>
      <c r="BW280" s="688">
        <f t="shared" si="34"/>
        <v>0</v>
      </c>
      <c r="BX280" s="51"/>
      <c r="BY280" s="51"/>
      <c r="BZ280" s="51"/>
      <c r="CA280" s="51"/>
      <c r="CB280" s="51"/>
      <c r="CC280" s="51"/>
      <c r="CD280" s="97"/>
      <c r="CE280" s="479"/>
      <c r="CF280" s="51"/>
      <c r="CG280" s="51"/>
      <c r="CH280" s="62"/>
      <c r="CI280" s="62"/>
      <c r="CJ280" s="51"/>
      <c r="CK280" s="51"/>
      <c r="CL280" s="95"/>
      <c r="CM280" s="93"/>
      <c r="CN280" s="51"/>
      <c r="CO280" s="51"/>
      <c r="CP280" s="51"/>
      <c r="CQ280" s="51"/>
      <c r="CR280" s="51"/>
      <c r="CS280" s="51"/>
      <c r="CT280" s="51"/>
      <c r="CU280" s="95"/>
      <c r="CV280" s="93"/>
      <c r="CW280" s="51"/>
      <c r="CX280" s="51"/>
      <c r="CY280" s="51"/>
      <c r="CZ280" s="51"/>
      <c r="DA280" s="51"/>
      <c r="DB280" s="51"/>
      <c r="DC280" s="51"/>
      <c r="DD280" s="95"/>
      <c r="DE280" s="93"/>
      <c r="DF280" s="51"/>
      <c r="DG280" s="51"/>
      <c r="DH280" s="51"/>
      <c r="DI280" s="51"/>
      <c r="DJ280" s="51"/>
      <c r="DK280" s="51"/>
      <c r="DL280" s="95"/>
      <c r="DM280" s="478"/>
      <c r="DN280" s="682">
        <f t="shared" si="39"/>
        <v>0</v>
      </c>
      <c r="DO280" s="683"/>
    </row>
    <row r="281" spans="1:119" ht="25.5" customHeight="1" thickTop="1" thickBot="1" x14ac:dyDescent="0.2">
      <c r="A281" s="676">
        <f t="shared" si="35"/>
        <v>266</v>
      </c>
      <c r="B281" s="1054"/>
      <c r="C281" s="1055"/>
      <c r="D281" s="83"/>
      <c r="E281" s="954"/>
      <c r="F281" s="52"/>
      <c r="G281" s="103"/>
      <c r="H281" s="1058"/>
      <c r="I281" s="684" t="str">
        <f t="shared" si="32"/>
        <v/>
      </c>
      <c r="J281" s="685">
        <f t="shared" si="33"/>
        <v>0</v>
      </c>
      <c r="K281" s="1258"/>
      <c r="L281" s="1251"/>
      <c r="M281" s="1257"/>
      <c r="N281" s="719" t="str">
        <f t="shared" si="36"/>
        <v/>
      </c>
      <c r="O281" s="720" t="str">
        <f>IF('Set up ~ Config'!$G$32=6,IF(OR($N281=7,$N281=8,$N281=9),1,IF(OR($N281=10,$N281=11,$N281=12),2,IF(OR($N281=1,$N281=2,$N281=3),3,IF(OR($N281=4,$N281=5,$N281=6),4,"")))),IF(OR($N281=9,$N281=10,$N281=11),1,IF(OR($N281=12,$N281=1,$N281=2),2,IF(OR($N281=3,$N281=4,$N281=5),3,IF(OR($N281=6,$N281=7,$N281=8),4,"")))))</f>
        <v/>
      </c>
      <c r="P281" s="99"/>
      <c r="Q281" s="62"/>
      <c r="R281" s="62"/>
      <c r="S281" s="51"/>
      <c r="T281" s="51"/>
      <c r="U281" s="51"/>
      <c r="V281" s="51"/>
      <c r="W281" s="51"/>
      <c r="X281" s="51"/>
      <c r="Y281" s="51"/>
      <c r="Z281" s="51"/>
      <c r="AA281" s="51"/>
      <c r="AB281" s="51"/>
      <c r="AC281" s="51"/>
      <c r="AD281" s="51"/>
      <c r="AE281" s="51"/>
      <c r="AF281" s="51"/>
      <c r="AG281" s="51"/>
      <c r="AH281" s="94"/>
      <c r="AI281" s="94"/>
      <c r="AJ281" s="94"/>
      <c r="AK281" s="94"/>
      <c r="AL281" s="94"/>
      <c r="AM281" s="94"/>
      <c r="AN281" s="94"/>
      <c r="AO281" s="95"/>
      <c r="AP281" s="686">
        <f t="shared" si="37"/>
        <v>0</v>
      </c>
      <c r="AQ281" s="42"/>
      <c r="AR281" s="42"/>
      <c r="AS281" s="42"/>
      <c r="AT281" s="43"/>
      <c r="AU281" s="687">
        <f t="shared" si="38"/>
        <v>0</v>
      </c>
      <c r="AV281" s="42"/>
      <c r="AW281" s="42"/>
      <c r="AX281" s="42"/>
      <c r="AY281" s="43"/>
      <c r="AZ281" s="486"/>
      <c r="BA281" s="51"/>
      <c r="BB281" s="51"/>
      <c r="BC281" s="51"/>
      <c r="BD281" s="51"/>
      <c r="BE281" s="51"/>
      <c r="BF281" s="51"/>
      <c r="BG281" s="51"/>
      <c r="BH281" s="94"/>
      <c r="BI281" s="94"/>
      <c r="BJ281" s="94"/>
      <c r="BK281" s="94"/>
      <c r="BL281" s="94"/>
      <c r="BM281" s="483"/>
      <c r="BN281" s="94"/>
      <c r="BO281" s="94"/>
      <c r="BP281" s="94"/>
      <c r="BQ281" s="94"/>
      <c r="BR281" s="94"/>
      <c r="BS281" s="94"/>
      <c r="BT281" s="94"/>
      <c r="BU281" s="94"/>
      <c r="BV281" s="94"/>
      <c r="BW281" s="688">
        <f t="shared" si="34"/>
        <v>0</v>
      </c>
      <c r="BX281" s="51"/>
      <c r="BY281" s="51"/>
      <c r="BZ281" s="51"/>
      <c r="CA281" s="51"/>
      <c r="CB281" s="51"/>
      <c r="CC281" s="51"/>
      <c r="CD281" s="97"/>
      <c r="CE281" s="479"/>
      <c r="CF281" s="51"/>
      <c r="CG281" s="51"/>
      <c r="CH281" s="62"/>
      <c r="CI281" s="62"/>
      <c r="CJ281" s="51"/>
      <c r="CK281" s="51"/>
      <c r="CL281" s="95"/>
      <c r="CM281" s="93"/>
      <c r="CN281" s="51"/>
      <c r="CO281" s="51"/>
      <c r="CP281" s="51"/>
      <c r="CQ281" s="51"/>
      <c r="CR281" s="51"/>
      <c r="CS281" s="51"/>
      <c r="CT281" s="51"/>
      <c r="CU281" s="95"/>
      <c r="CV281" s="93"/>
      <c r="CW281" s="51"/>
      <c r="CX281" s="51"/>
      <c r="CY281" s="51"/>
      <c r="CZ281" s="51"/>
      <c r="DA281" s="51"/>
      <c r="DB281" s="51"/>
      <c r="DC281" s="51"/>
      <c r="DD281" s="95"/>
      <c r="DE281" s="93"/>
      <c r="DF281" s="51"/>
      <c r="DG281" s="51"/>
      <c r="DH281" s="51"/>
      <c r="DI281" s="51"/>
      <c r="DJ281" s="51"/>
      <c r="DK281" s="51"/>
      <c r="DL281" s="95"/>
      <c r="DM281" s="478"/>
      <c r="DN281" s="682">
        <f t="shared" si="39"/>
        <v>0</v>
      </c>
      <c r="DO281" s="683"/>
    </row>
    <row r="282" spans="1:119" ht="25.5" customHeight="1" thickTop="1" thickBot="1" x14ac:dyDescent="0.2">
      <c r="A282" s="676">
        <f t="shared" si="35"/>
        <v>267</v>
      </c>
      <c r="B282" s="1054"/>
      <c r="C282" s="1055"/>
      <c r="D282" s="83"/>
      <c r="E282" s="954"/>
      <c r="F282" s="52"/>
      <c r="G282" s="103"/>
      <c r="H282" s="1058"/>
      <c r="I282" s="684" t="str">
        <f t="shared" si="32"/>
        <v/>
      </c>
      <c r="J282" s="685">
        <f t="shared" si="33"/>
        <v>0</v>
      </c>
      <c r="K282" s="1258"/>
      <c r="L282" s="1251"/>
      <c r="M282" s="1257"/>
      <c r="N282" s="719" t="str">
        <f t="shared" si="36"/>
        <v/>
      </c>
      <c r="O282" s="720" t="str">
        <f>IF('Set up ~ Config'!$G$32=6,IF(OR($N282=7,$N282=8,$N282=9),1,IF(OR($N282=10,$N282=11,$N282=12),2,IF(OR($N282=1,$N282=2,$N282=3),3,IF(OR($N282=4,$N282=5,$N282=6),4,"")))),IF(OR($N282=9,$N282=10,$N282=11),1,IF(OR($N282=12,$N282=1,$N282=2),2,IF(OR($N282=3,$N282=4,$N282=5),3,IF(OR($N282=6,$N282=7,$N282=8),4,"")))))</f>
        <v/>
      </c>
      <c r="P282" s="99"/>
      <c r="Q282" s="62"/>
      <c r="R282" s="62"/>
      <c r="S282" s="51"/>
      <c r="T282" s="51"/>
      <c r="U282" s="51"/>
      <c r="V282" s="51"/>
      <c r="W282" s="51"/>
      <c r="X282" s="51"/>
      <c r="Y282" s="51"/>
      <c r="Z282" s="51"/>
      <c r="AA282" s="51"/>
      <c r="AB282" s="51"/>
      <c r="AC282" s="51"/>
      <c r="AD282" s="51"/>
      <c r="AE282" s="51"/>
      <c r="AF282" s="51"/>
      <c r="AG282" s="51"/>
      <c r="AH282" s="94"/>
      <c r="AI282" s="94"/>
      <c r="AJ282" s="94"/>
      <c r="AK282" s="94"/>
      <c r="AL282" s="94"/>
      <c r="AM282" s="94"/>
      <c r="AN282" s="94"/>
      <c r="AO282" s="95"/>
      <c r="AP282" s="686">
        <f t="shared" si="37"/>
        <v>0</v>
      </c>
      <c r="AQ282" s="42"/>
      <c r="AR282" s="42"/>
      <c r="AS282" s="42"/>
      <c r="AT282" s="43"/>
      <c r="AU282" s="687">
        <f t="shared" si="38"/>
        <v>0</v>
      </c>
      <c r="AV282" s="42"/>
      <c r="AW282" s="42"/>
      <c r="AX282" s="42"/>
      <c r="AY282" s="43"/>
      <c r="AZ282" s="486"/>
      <c r="BA282" s="51"/>
      <c r="BB282" s="51"/>
      <c r="BC282" s="51"/>
      <c r="BD282" s="51"/>
      <c r="BE282" s="51"/>
      <c r="BF282" s="51"/>
      <c r="BG282" s="51"/>
      <c r="BH282" s="94"/>
      <c r="BI282" s="94"/>
      <c r="BJ282" s="94"/>
      <c r="BK282" s="94"/>
      <c r="BL282" s="94"/>
      <c r="BM282" s="483"/>
      <c r="BN282" s="94"/>
      <c r="BO282" s="94"/>
      <c r="BP282" s="94"/>
      <c r="BQ282" s="94"/>
      <c r="BR282" s="94"/>
      <c r="BS282" s="94"/>
      <c r="BT282" s="94"/>
      <c r="BU282" s="94"/>
      <c r="BV282" s="94"/>
      <c r="BW282" s="688">
        <f t="shared" si="34"/>
        <v>0</v>
      </c>
      <c r="BX282" s="51"/>
      <c r="BY282" s="51"/>
      <c r="BZ282" s="51"/>
      <c r="CA282" s="51"/>
      <c r="CB282" s="51"/>
      <c r="CC282" s="51"/>
      <c r="CD282" s="97"/>
      <c r="CE282" s="479"/>
      <c r="CF282" s="51"/>
      <c r="CG282" s="51"/>
      <c r="CH282" s="62"/>
      <c r="CI282" s="62"/>
      <c r="CJ282" s="51"/>
      <c r="CK282" s="51"/>
      <c r="CL282" s="95"/>
      <c r="CM282" s="93"/>
      <c r="CN282" s="51"/>
      <c r="CO282" s="51"/>
      <c r="CP282" s="51"/>
      <c r="CQ282" s="51"/>
      <c r="CR282" s="51"/>
      <c r="CS282" s="51"/>
      <c r="CT282" s="51"/>
      <c r="CU282" s="95"/>
      <c r="CV282" s="93"/>
      <c r="CW282" s="51"/>
      <c r="CX282" s="51"/>
      <c r="CY282" s="51"/>
      <c r="CZ282" s="51"/>
      <c r="DA282" s="51"/>
      <c r="DB282" s="51"/>
      <c r="DC282" s="51"/>
      <c r="DD282" s="95"/>
      <c r="DE282" s="93"/>
      <c r="DF282" s="51"/>
      <c r="DG282" s="51"/>
      <c r="DH282" s="51"/>
      <c r="DI282" s="51"/>
      <c r="DJ282" s="51"/>
      <c r="DK282" s="51"/>
      <c r="DL282" s="95"/>
      <c r="DM282" s="478"/>
      <c r="DN282" s="682">
        <f t="shared" si="39"/>
        <v>0</v>
      </c>
      <c r="DO282" s="683"/>
    </row>
    <row r="283" spans="1:119" ht="25.5" customHeight="1" thickTop="1" thickBot="1" x14ac:dyDescent="0.2">
      <c r="A283" s="676">
        <f t="shared" si="35"/>
        <v>268</v>
      </c>
      <c r="B283" s="1054"/>
      <c r="C283" s="1055"/>
      <c r="D283" s="83"/>
      <c r="E283" s="954"/>
      <c r="F283" s="52"/>
      <c r="G283" s="103"/>
      <c r="H283" s="1058"/>
      <c r="I283" s="684" t="str">
        <f t="shared" si="32"/>
        <v/>
      </c>
      <c r="J283" s="685">
        <f t="shared" si="33"/>
        <v>0</v>
      </c>
      <c r="K283" s="1258"/>
      <c r="L283" s="1251"/>
      <c r="M283" s="1257"/>
      <c r="N283" s="719" t="str">
        <f t="shared" si="36"/>
        <v/>
      </c>
      <c r="O283" s="720" t="str">
        <f>IF('Set up ~ Config'!$G$32=6,IF(OR($N283=7,$N283=8,$N283=9),1,IF(OR($N283=10,$N283=11,$N283=12),2,IF(OR($N283=1,$N283=2,$N283=3),3,IF(OR($N283=4,$N283=5,$N283=6),4,"")))),IF(OR($N283=9,$N283=10,$N283=11),1,IF(OR($N283=12,$N283=1,$N283=2),2,IF(OR($N283=3,$N283=4,$N283=5),3,IF(OR($N283=6,$N283=7,$N283=8),4,"")))))</f>
        <v/>
      </c>
      <c r="P283" s="99"/>
      <c r="Q283" s="62"/>
      <c r="R283" s="62"/>
      <c r="S283" s="51"/>
      <c r="T283" s="51"/>
      <c r="U283" s="51"/>
      <c r="V283" s="51"/>
      <c r="W283" s="51"/>
      <c r="X283" s="51"/>
      <c r="Y283" s="51"/>
      <c r="Z283" s="51"/>
      <c r="AA283" s="51"/>
      <c r="AB283" s="51"/>
      <c r="AC283" s="51"/>
      <c r="AD283" s="51"/>
      <c r="AE283" s="51"/>
      <c r="AF283" s="51"/>
      <c r="AG283" s="51"/>
      <c r="AH283" s="94"/>
      <c r="AI283" s="94"/>
      <c r="AJ283" s="94"/>
      <c r="AK283" s="94"/>
      <c r="AL283" s="94"/>
      <c r="AM283" s="94"/>
      <c r="AN283" s="94"/>
      <c r="AO283" s="95"/>
      <c r="AP283" s="686">
        <f t="shared" si="37"/>
        <v>0</v>
      </c>
      <c r="AQ283" s="42"/>
      <c r="AR283" s="42"/>
      <c r="AS283" s="42"/>
      <c r="AT283" s="43"/>
      <c r="AU283" s="687">
        <f t="shared" si="38"/>
        <v>0</v>
      </c>
      <c r="AV283" s="42"/>
      <c r="AW283" s="42"/>
      <c r="AX283" s="42"/>
      <c r="AY283" s="43"/>
      <c r="AZ283" s="486"/>
      <c r="BA283" s="51"/>
      <c r="BB283" s="51"/>
      <c r="BC283" s="51"/>
      <c r="BD283" s="51"/>
      <c r="BE283" s="51"/>
      <c r="BF283" s="51"/>
      <c r="BG283" s="51"/>
      <c r="BH283" s="94"/>
      <c r="BI283" s="94"/>
      <c r="BJ283" s="94"/>
      <c r="BK283" s="94"/>
      <c r="BL283" s="94"/>
      <c r="BM283" s="483"/>
      <c r="BN283" s="94"/>
      <c r="BO283" s="94"/>
      <c r="BP283" s="94"/>
      <c r="BQ283" s="94"/>
      <c r="BR283" s="94"/>
      <c r="BS283" s="94"/>
      <c r="BT283" s="94"/>
      <c r="BU283" s="94"/>
      <c r="BV283" s="94"/>
      <c r="BW283" s="688">
        <f t="shared" si="34"/>
        <v>0</v>
      </c>
      <c r="BX283" s="51"/>
      <c r="BY283" s="51"/>
      <c r="BZ283" s="51"/>
      <c r="CA283" s="51"/>
      <c r="CB283" s="51"/>
      <c r="CC283" s="51"/>
      <c r="CD283" s="97"/>
      <c r="CE283" s="479"/>
      <c r="CF283" s="51"/>
      <c r="CG283" s="51"/>
      <c r="CH283" s="62"/>
      <c r="CI283" s="62"/>
      <c r="CJ283" s="51"/>
      <c r="CK283" s="51"/>
      <c r="CL283" s="95"/>
      <c r="CM283" s="93"/>
      <c r="CN283" s="51"/>
      <c r="CO283" s="51"/>
      <c r="CP283" s="51"/>
      <c r="CQ283" s="51"/>
      <c r="CR283" s="51"/>
      <c r="CS283" s="51"/>
      <c r="CT283" s="51"/>
      <c r="CU283" s="95"/>
      <c r="CV283" s="93"/>
      <c r="CW283" s="51"/>
      <c r="CX283" s="51"/>
      <c r="CY283" s="51"/>
      <c r="CZ283" s="51"/>
      <c r="DA283" s="51"/>
      <c r="DB283" s="51"/>
      <c r="DC283" s="51"/>
      <c r="DD283" s="95"/>
      <c r="DE283" s="93"/>
      <c r="DF283" s="51"/>
      <c r="DG283" s="51"/>
      <c r="DH283" s="51"/>
      <c r="DI283" s="51"/>
      <c r="DJ283" s="51"/>
      <c r="DK283" s="51"/>
      <c r="DL283" s="95"/>
      <c r="DM283" s="478"/>
      <c r="DN283" s="682">
        <f t="shared" si="39"/>
        <v>0</v>
      </c>
      <c r="DO283" s="683"/>
    </row>
    <row r="284" spans="1:119" ht="25.5" customHeight="1" thickTop="1" thickBot="1" x14ac:dyDescent="0.2">
      <c r="A284" s="676">
        <f t="shared" si="35"/>
        <v>269</v>
      </c>
      <c r="B284" s="1054"/>
      <c r="C284" s="1055"/>
      <c r="D284" s="83"/>
      <c r="E284" s="954"/>
      <c r="F284" s="52"/>
      <c r="G284" s="103"/>
      <c r="H284" s="1058"/>
      <c r="I284" s="684" t="str">
        <f t="shared" si="32"/>
        <v/>
      </c>
      <c r="J284" s="685">
        <f t="shared" si="33"/>
        <v>0</v>
      </c>
      <c r="K284" s="1258"/>
      <c r="L284" s="1251"/>
      <c r="M284" s="1257"/>
      <c r="N284" s="719" t="str">
        <f t="shared" si="36"/>
        <v/>
      </c>
      <c r="O284" s="720" t="str">
        <f>IF('Set up ~ Config'!$G$32=6,IF(OR($N284=7,$N284=8,$N284=9),1,IF(OR($N284=10,$N284=11,$N284=12),2,IF(OR($N284=1,$N284=2,$N284=3),3,IF(OR($N284=4,$N284=5,$N284=6),4,"")))),IF(OR($N284=9,$N284=10,$N284=11),1,IF(OR($N284=12,$N284=1,$N284=2),2,IF(OR($N284=3,$N284=4,$N284=5),3,IF(OR($N284=6,$N284=7,$N284=8),4,"")))))</f>
        <v/>
      </c>
      <c r="P284" s="99"/>
      <c r="Q284" s="62"/>
      <c r="R284" s="62"/>
      <c r="S284" s="51"/>
      <c r="T284" s="51"/>
      <c r="U284" s="51"/>
      <c r="V284" s="51"/>
      <c r="W284" s="51"/>
      <c r="X284" s="51"/>
      <c r="Y284" s="51"/>
      <c r="Z284" s="51"/>
      <c r="AA284" s="51"/>
      <c r="AB284" s="51"/>
      <c r="AC284" s="51"/>
      <c r="AD284" s="51"/>
      <c r="AE284" s="51"/>
      <c r="AF284" s="51"/>
      <c r="AG284" s="51"/>
      <c r="AH284" s="94"/>
      <c r="AI284" s="94"/>
      <c r="AJ284" s="94"/>
      <c r="AK284" s="94"/>
      <c r="AL284" s="94"/>
      <c r="AM284" s="94"/>
      <c r="AN284" s="94"/>
      <c r="AO284" s="95"/>
      <c r="AP284" s="686">
        <f t="shared" si="37"/>
        <v>0</v>
      </c>
      <c r="AQ284" s="42"/>
      <c r="AR284" s="42"/>
      <c r="AS284" s="42"/>
      <c r="AT284" s="43"/>
      <c r="AU284" s="687">
        <f t="shared" si="38"/>
        <v>0</v>
      </c>
      <c r="AV284" s="42"/>
      <c r="AW284" s="42"/>
      <c r="AX284" s="42"/>
      <c r="AY284" s="43"/>
      <c r="AZ284" s="486"/>
      <c r="BA284" s="51"/>
      <c r="BB284" s="51"/>
      <c r="BC284" s="51"/>
      <c r="BD284" s="51"/>
      <c r="BE284" s="51"/>
      <c r="BF284" s="51"/>
      <c r="BG284" s="51"/>
      <c r="BH284" s="94"/>
      <c r="BI284" s="94"/>
      <c r="BJ284" s="94"/>
      <c r="BK284" s="94"/>
      <c r="BL284" s="94"/>
      <c r="BM284" s="483"/>
      <c r="BN284" s="94"/>
      <c r="BO284" s="94"/>
      <c r="BP284" s="94"/>
      <c r="BQ284" s="94"/>
      <c r="BR284" s="94"/>
      <c r="BS284" s="94"/>
      <c r="BT284" s="94"/>
      <c r="BU284" s="94"/>
      <c r="BV284" s="94"/>
      <c r="BW284" s="688">
        <f t="shared" si="34"/>
        <v>0</v>
      </c>
      <c r="BX284" s="51"/>
      <c r="BY284" s="51"/>
      <c r="BZ284" s="51"/>
      <c r="CA284" s="51"/>
      <c r="CB284" s="51"/>
      <c r="CC284" s="51"/>
      <c r="CD284" s="97"/>
      <c r="CE284" s="479"/>
      <c r="CF284" s="51"/>
      <c r="CG284" s="51"/>
      <c r="CH284" s="62"/>
      <c r="CI284" s="62"/>
      <c r="CJ284" s="51"/>
      <c r="CK284" s="51"/>
      <c r="CL284" s="95"/>
      <c r="CM284" s="93"/>
      <c r="CN284" s="51"/>
      <c r="CO284" s="51"/>
      <c r="CP284" s="51"/>
      <c r="CQ284" s="51"/>
      <c r="CR284" s="51"/>
      <c r="CS284" s="51"/>
      <c r="CT284" s="51"/>
      <c r="CU284" s="95"/>
      <c r="CV284" s="93"/>
      <c r="CW284" s="51"/>
      <c r="CX284" s="51"/>
      <c r="CY284" s="51"/>
      <c r="CZ284" s="51"/>
      <c r="DA284" s="51"/>
      <c r="DB284" s="51"/>
      <c r="DC284" s="51"/>
      <c r="DD284" s="95"/>
      <c r="DE284" s="93"/>
      <c r="DF284" s="51"/>
      <c r="DG284" s="51"/>
      <c r="DH284" s="51"/>
      <c r="DI284" s="51"/>
      <c r="DJ284" s="51"/>
      <c r="DK284" s="51"/>
      <c r="DL284" s="95"/>
      <c r="DM284" s="478"/>
      <c r="DN284" s="682">
        <f t="shared" si="39"/>
        <v>0</v>
      </c>
      <c r="DO284" s="683"/>
    </row>
    <row r="285" spans="1:119" ht="25.5" customHeight="1" thickTop="1" thickBot="1" x14ac:dyDescent="0.2">
      <c r="A285" s="676">
        <f t="shared" si="35"/>
        <v>270</v>
      </c>
      <c r="B285" s="1054"/>
      <c r="C285" s="1055"/>
      <c r="D285" s="83"/>
      <c r="E285" s="954"/>
      <c r="F285" s="52"/>
      <c r="G285" s="103"/>
      <c r="H285" s="1058"/>
      <c r="I285" s="684" t="str">
        <f t="shared" si="32"/>
        <v/>
      </c>
      <c r="J285" s="685">
        <f t="shared" si="33"/>
        <v>0</v>
      </c>
      <c r="K285" s="1258"/>
      <c r="L285" s="1251"/>
      <c r="M285" s="1257"/>
      <c r="N285" s="719" t="str">
        <f t="shared" si="36"/>
        <v/>
      </c>
      <c r="O285" s="720" t="str">
        <f>IF('Set up ~ Config'!$G$32=6,IF(OR($N285=7,$N285=8,$N285=9),1,IF(OR($N285=10,$N285=11,$N285=12),2,IF(OR($N285=1,$N285=2,$N285=3),3,IF(OR($N285=4,$N285=5,$N285=6),4,"")))),IF(OR($N285=9,$N285=10,$N285=11),1,IF(OR($N285=12,$N285=1,$N285=2),2,IF(OR($N285=3,$N285=4,$N285=5),3,IF(OR($N285=6,$N285=7,$N285=8),4,"")))))</f>
        <v/>
      </c>
      <c r="P285" s="99"/>
      <c r="Q285" s="62"/>
      <c r="R285" s="62"/>
      <c r="S285" s="51"/>
      <c r="T285" s="51"/>
      <c r="U285" s="51"/>
      <c r="V285" s="51"/>
      <c r="W285" s="51"/>
      <c r="X285" s="51"/>
      <c r="Y285" s="51"/>
      <c r="Z285" s="51"/>
      <c r="AA285" s="51"/>
      <c r="AB285" s="51"/>
      <c r="AC285" s="51"/>
      <c r="AD285" s="51"/>
      <c r="AE285" s="51"/>
      <c r="AF285" s="51"/>
      <c r="AG285" s="51"/>
      <c r="AH285" s="94"/>
      <c r="AI285" s="94"/>
      <c r="AJ285" s="94"/>
      <c r="AK285" s="94"/>
      <c r="AL285" s="94"/>
      <c r="AM285" s="94"/>
      <c r="AN285" s="94"/>
      <c r="AO285" s="95"/>
      <c r="AP285" s="686">
        <f t="shared" si="37"/>
        <v>0</v>
      </c>
      <c r="AQ285" s="42"/>
      <c r="AR285" s="42"/>
      <c r="AS285" s="42"/>
      <c r="AT285" s="43"/>
      <c r="AU285" s="687">
        <f t="shared" si="38"/>
        <v>0</v>
      </c>
      <c r="AV285" s="42"/>
      <c r="AW285" s="42"/>
      <c r="AX285" s="42"/>
      <c r="AY285" s="43"/>
      <c r="AZ285" s="486"/>
      <c r="BA285" s="51"/>
      <c r="BB285" s="51"/>
      <c r="BC285" s="51"/>
      <c r="BD285" s="51"/>
      <c r="BE285" s="51"/>
      <c r="BF285" s="51"/>
      <c r="BG285" s="51"/>
      <c r="BH285" s="94"/>
      <c r="BI285" s="94"/>
      <c r="BJ285" s="94"/>
      <c r="BK285" s="94"/>
      <c r="BL285" s="94"/>
      <c r="BM285" s="483"/>
      <c r="BN285" s="94"/>
      <c r="BO285" s="94"/>
      <c r="BP285" s="94"/>
      <c r="BQ285" s="94"/>
      <c r="BR285" s="94"/>
      <c r="BS285" s="94"/>
      <c r="BT285" s="94"/>
      <c r="BU285" s="94"/>
      <c r="BV285" s="94"/>
      <c r="BW285" s="688">
        <f t="shared" si="34"/>
        <v>0</v>
      </c>
      <c r="BX285" s="51"/>
      <c r="BY285" s="51"/>
      <c r="BZ285" s="51"/>
      <c r="CA285" s="51"/>
      <c r="CB285" s="51"/>
      <c r="CC285" s="51"/>
      <c r="CD285" s="97"/>
      <c r="CE285" s="479"/>
      <c r="CF285" s="51"/>
      <c r="CG285" s="51"/>
      <c r="CH285" s="62"/>
      <c r="CI285" s="62"/>
      <c r="CJ285" s="51"/>
      <c r="CK285" s="51"/>
      <c r="CL285" s="95"/>
      <c r="CM285" s="93"/>
      <c r="CN285" s="51"/>
      <c r="CO285" s="51"/>
      <c r="CP285" s="51"/>
      <c r="CQ285" s="51"/>
      <c r="CR285" s="51"/>
      <c r="CS285" s="51"/>
      <c r="CT285" s="51"/>
      <c r="CU285" s="95"/>
      <c r="CV285" s="93"/>
      <c r="CW285" s="51"/>
      <c r="CX285" s="51"/>
      <c r="CY285" s="51"/>
      <c r="CZ285" s="51"/>
      <c r="DA285" s="51"/>
      <c r="DB285" s="51"/>
      <c r="DC285" s="51"/>
      <c r="DD285" s="95"/>
      <c r="DE285" s="93"/>
      <c r="DF285" s="51"/>
      <c r="DG285" s="51"/>
      <c r="DH285" s="51"/>
      <c r="DI285" s="51"/>
      <c r="DJ285" s="51"/>
      <c r="DK285" s="51"/>
      <c r="DL285" s="95"/>
      <c r="DM285" s="478"/>
      <c r="DN285" s="682">
        <f t="shared" si="39"/>
        <v>0</v>
      </c>
      <c r="DO285" s="683"/>
    </row>
    <row r="286" spans="1:119" ht="25.5" customHeight="1" thickTop="1" thickBot="1" x14ac:dyDescent="0.2">
      <c r="A286" s="676">
        <f t="shared" si="35"/>
        <v>271</v>
      </c>
      <c r="B286" s="1054"/>
      <c r="C286" s="1055"/>
      <c r="D286" s="83"/>
      <c r="E286" s="954"/>
      <c r="F286" s="52"/>
      <c r="G286" s="103"/>
      <c r="H286" s="1058"/>
      <c r="I286" s="684" t="str">
        <f t="shared" si="32"/>
        <v/>
      </c>
      <c r="J286" s="685">
        <f t="shared" si="33"/>
        <v>0</v>
      </c>
      <c r="K286" s="1258"/>
      <c r="L286" s="1251"/>
      <c r="M286" s="1257"/>
      <c r="N286" s="719" t="str">
        <f t="shared" si="36"/>
        <v/>
      </c>
      <c r="O286" s="720" t="str">
        <f>IF('Set up ~ Config'!$G$32=6,IF(OR($N286=7,$N286=8,$N286=9),1,IF(OR($N286=10,$N286=11,$N286=12),2,IF(OR($N286=1,$N286=2,$N286=3),3,IF(OR($N286=4,$N286=5,$N286=6),4,"")))),IF(OR($N286=9,$N286=10,$N286=11),1,IF(OR($N286=12,$N286=1,$N286=2),2,IF(OR($N286=3,$N286=4,$N286=5),3,IF(OR($N286=6,$N286=7,$N286=8),4,"")))))</f>
        <v/>
      </c>
      <c r="P286" s="99"/>
      <c r="Q286" s="62"/>
      <c r="R286" s="62"/>
      <c r="S286" s="51"/>
      <c r="T286" s="51"/>
      <c r="U286" s="51"/>
      <c r="V286" s="51"/>
      <c r="W286" s="51"/>
      <c r="X286" s="51"/>
      <c r="Y286" s="51"/>
      <c r="Z286" s="51"/>
      <c r="AA286" s="51"/>
      <c r="AB286" s="51"/>
      <c r="AC286" s="51"/>
      <c r="AD286" s="51"/>
      <c r="AE286" s="51"/>
      <c r="AF286" s="51"/>
      <c r="AG286" s="51"/>
      <c r="AH286" s="94"/>
      <c r="AI286" s="94"/>
      <c r="AJ286" s="94"/>
      <c r="AK286" s="94"/>
      <c r="AL286" s="94"/>
      <c r="AM286" s="94"/>
      <c r="AN286" s="94"/>
      <c r="AO286" s="95"/>
      <c r="AP286" s="686">
        <f t="shared" si="37"/>
        <v>0</v>
      </c>
      <c r="AQ286" s="42"/>
      <c r="AR286" s="42"/>
      <c r="AS286" s="42"/>
      <c r="AT286" s="43"/>
      <c r="AU286" s="687">
        <f t="shared" si="38"/>
        <v>0</v>
      </c>
      <c r="AV286" s="42"/>
      <c r="AW286" s="42"/>
      <c r="AX286" s="42"/>
      <c r="AY286" s="43"/>
      <c r="AZ286" s="486"/>
      <c r="BA286" s="51"/>
      <c r="BB286" s="51"/>
      <c r="BC286" s="51"/>
      <c r="BD286" s="51"/>
      <c r="BE286" s="51"/>
      <c r="BF286" s="51"/>
      <c r="BG286" s="51"/>
      <c r="BH286" s="94"/>
      <c r="BI286" s="94"/>
      <c r="BJ286" s="94"/>
      <c r="BK286" s="94"/>
      <c r="BL286" s="94"/>
      <c r="BM286" s="483"/>
      <c r="BN286" s="94"/>
      <c r="BO286" s="94"/>
      <c r="BP286" s="94"/>
      <c r="BQ286" s="94"/>
      <c r="BR286" s="94"/>
      <c r="BS286" s="94"/>
      <c r="BT286" s="94"/>
      <c r="BU286" s="94"/>
      <c r="BV286" s="94"/>
      <c r="BW286" s="688">
        <f t="shared" si="34"/>
        <v>0</v>
      </c>
      <c r="BX286" s="51"/>
      <c r="BY286" s="51"/>
      <c r="BZ286" s="51"/>
      <c r="CA286" s="51"/>
      <c r="CB286" s="51"/>
      <c r="CC286" s="51"/>
      <c r="CD286" s="97"/>
      <c r="CE286" s="479"/>
      <c r="CF286" s="51"/>
      <c r="CG286" s="51"/>
      <c r="CH286" s="62"/>
      <c r="CI286" s="62"/>
      <c r="CJ286" s="51"/>
      <c r="CK286" s="51"/>
      <c r="CL286" s="95"/>
      <c r="CM286" s="93"/>
      <c r="CN286" s="51"/>
      <c r="CO286" s="51"/>
      <c r="CP286" s="51"/>
      <c r="CQ286" s="51"/>
      <c r="CR286" s="51"/>
      <c r="CS286" s="51"/>
      <c r="CT286" s="51"/>
      <c r="CU286" s="95"/>
      <c r="CV286" s="93"/>
      <c r="CW286" s="51"/>
      <c r="CX286" s="51"/>
      <c r="CY286" s="51"/>
      <c r="CZ286" s="51"/>
      <c r="DA286" s="51"/>
      <c r="DB286" s="51"/>
      <c r="DC286" s="51"/>
      <c r="DD286" s="95"/>
      <c r="DE286" s="93"/>
      <c r="DF286" s="51"/>
      <c r="DG286" s="51"/>
      <c r="DH286" s="51"/>
      <c r="DI286" s="51"/>
      <c r="DJ286" s="51"/>
      <c r="DK286" s="51"/>
      <c r="DL286" s="95"/>
      <c r="DM286" s="478"/>
      <c r="DN286" s="682">
        <f t="shared" si="39"/>
        <v>0</v>
      </c>
      <c r="DO286" s="683"/>
    </row>
    <row r="287" spans="1:119" ht="25.5" customHeight="1" thickTop="1" thickBot="1" x14ac:dyDescent="0.2">
      <c r="A287" s="676">
        <f t="shared" si="35"/>
        <v>272</v>
      </c>
      <c r="B287" s="1054"/>
      <c r="C287" s="1055"/>
      <c r="D287" s="83"/>
      <c r="E287" s="954"/>
      <c r="F287" s="52"/>
      <c r="G287" s="103"/>
      <c r="H287" s="1058"/>
      <c r="I287" s="684" t="str">
        <f t="shared" si="32"/>
        <v/>
      </c>
      <c r="J287" s="685">
        <f t="shared" si="33"/>
        <v>0</v>
      </c>
      <c r="K287" s="1258"/>
      <c r="L287" s="1251"/>
      <c r="M287" s="1257"/>
      <c r="N287" s="719" t="str">
        <f t="shared" si="36"/>
        <v/>
      </c>
      <c r="O287" s="720" t="str">
        <f>IF('Set up ~ Config'!$G$32=6,IF(OR($N287=7,$N287=8,$N287=9),1,IF(OR($N287=10,$N287=11,$N287=12),2,IF(OR($N287=1,$N287=2,$N287=3),3,IF(OR($N287=4,$N287=5,$N287=6),4,"")))),IF(OR($N287=9,$N287=10,$N287=11),1,IF(OR($N287=12,$N287=1,$N287=2),2,IF(OR($N287=3,$N287=4,$N287=5),3,IF(OR($N287=6,$N287=7,$N287=8),4,"")))))</f>
        <v/>
      </c>
      <c r="P287" s="99"/>
      <c r="Q287" s="62"/>
      <c r="R287" s="62"/>
      <c r="S287" s="51"/>
      <c r="T287" s="51"/>
      <c r="U287" s="51"/>
      <c r="V287" s="51"/>
      <c r="W287" s="51"/>
      <c r="X287" s="51"/>
      <c r="Y287" s="51"/>
      <c r="Z287" s="51"/>
      <c r="AA287" s="51"/>
      <c r="AB287" s="51"/>
      <c r="AC287" s="51"/>
      <c r="AD287" s="51"/>
      <c r="AE287" s="51"/>
      <c r="AF287" s="51"/>
      <c r="AG287" s="51"/>
      <c r="AH287" s="94"/>
      <c r="AI287" s="94"/>
      <c r="AJ287" s="94"/>
      <c r="AK287" s="94"/>
      <c r="AL287" s="94"/>
      <c r="AM287" s="94"/>
      <c r="AN287" s="94"/>
      <c r="AO287" s="95"/>
      <c r="AP287" s="686">
        <f t="shared" si="37"/>
        <v>0</v>
      </c>
      <c r="AQ287" s="42"/>
      <c r="AR287" s="42"/>
      <c r="AS287" s="42"/>
      <c r="AT287" s="43"/>
      <c r="AU287" s="687">
        <f t="shared" si="38"/>
        <v>0</v>
      </c>
      <c r="AV287" s="42"/>
      <c r="AW287" s="42"/>
      <c r="AX287" s="42"/>
      <c r="AY287" s="43"/>
      <c r="AZ287" s="486"/>
      <c r="BA287" s="51"/>
      <c r="BB287" s="51"/>
      <c r="BC287" s="51"/>
      <c r="BD287" s="51"/>
      <c r="BE287" s="51"/>
      <c r="BF287" s="51"/>
      <c r="BG287" s="51"/>
      <c r="BH287" s="94"/>
      <c r="BI287" s="94"/>
      <c r="BJ287" s="94"/>
      <c r="BK287" s="94"/>
      <c r="BL287" s="94"/>
      <c r="BM287" s="483"/>
      <c r="BN287" s="94"/>
      <c r="BO287" s="94"/>
      <c r="BP287" s="94"/>
      <c r="BQ287" s="94"/>
      <c r="BR287" s="94"/>
      <c r="BS287" s="94"/>
      <c r="BT287" s="94"/>
      <c r="BU287" s="94"/>
      <c r="BV287" s="94"/>
      <c r="BW287" s="688">
        <f t="shared" si="34"/>
        <v>0</v>
      </c>
      <c r="BX287" s="51"/>
      <c r="BY287" s="51"/>
      <c r="BZ287" s="51"/>
      <c r="CA287" s="51"/>
      <c r="CB287" s="51"/>
      <c r="CC287" s="51"/>
      <c r="CD287" s="97"/>
      <c r="CE287" s="479"/>
      <c r="CF287" s="51"/>
      <c r="CG287" s="51"/>
      <c r="CH287" s="62"/>
      <c r="CI287" s="62"/>
      <c r="CJ287" s="51"/>
      <c r="CK287" s="51"/>
      <c r="CL287" s="95"/>
      <c r="CM287" s="93"/>
      <c r="CN287" s="51"/>
      <c r="CO287" s="51"/>
      <c r="CP287" s="51"/>
      <c r="CQ287" s="51"/>
      <c r="CR287" s="51"/>
      <c r="CS287" s="51"/>
      <c r="CT287" s="51"/>
      <c r="CU287" s="95"/>
      <c r="CV287" s="93"/>
      <c r="CW287" s="51"/>
      <c r="CX287" s="51"/>
      <c r="CY287" s="51"/>
      <c r="CZ287" s="51"/>
      <c r="DA287" s="51"/>
      <c r="DB287" s="51"/>
      <c r="DC287" s="51"/>
      <c r="DD287" s="95"/>
      <c r="DE287" s="93"/>
      <c r="DF287" s="51"/>
      <c r="DG287" s="51"/>
      <c r="DH287" s="51"/>
      <c r="DI287" s="51"/>
      <c r="DJ287" s="51"/>
      <c r="DK287" s="51"/>
      <c r="DL287" s="95"/>
      <c r="DM287" s="478"/>
      <c r="DN287" s="682">
        <f t="shared" si="39"/>
        <v>0</v>
      </c>
      <c r="DO287" s="683"/>
    </row>
    <row r="288" spans="1:119" ht="25.5" customHeight="1" thickTop="1" thickBot="1" x14ac:dyDescent="0.2">
      <c r="A288" s="676">
        <f t="shared" si="35"/>
        <v>273</v>
      </c>
      <c r="B288" s="1054"/>
      <c r="C288" s="1055"/>
      <c r="D288" s="83"/>
      <c r="E288" s="954"/>
      <c r="F288" s="52"/>
      <c r="G288" s="103"/>
      <c r="H288" s="1058"/>
      <c r="I288" s="684" t="str">
        <f t="shared" si="32"/>
        <v/>
      </c>
      <c r="J288" s="685">
        <f t="shared" si="33"/>
        <v>0</v>
      </c>
      <c r="K288" s="1258"/>
      <c r="L288" s="1251"/>
      <c r="M288" s="1257"/>
      <c r="N288" s="719" t="str">
        <f t="shared" si="36"/>
        <v/>
      </c>
      <c r="O288" s="720" t="str">
        <f>IF('Set up ~ Config'!$G$32=6,IF(OR($N288=7,$N288=8,$N288=9),1,IF(OR($N288=10,$N288=11,$N288=12),2,IF(OR($N288=1,$N288=2,$N288=3),3,IF(OR($N288=4,$N288=5,$N288=6),4,"")))),IF(OR($N288=9,$N288=10,$N288=11),1,IF(OR($N288=12,$N288=1,$N288=2),2,IF(OR($N288=3,$N288=4,$N288=5),3,IF(OR($N288=6,$N288=7,$N288=8),4,"")))))</f>
        <v/>
      </c>
      <c r="P288" s="99"/>
      <c r="Q288" s="62"/>
      <c r="R288" s="62"/>
      <c r="S288" s="51"/>
      <c r="T288" s="51"/>
      <c r="U288" s="51"/>
      <c r="V288" s="51"/>
      <c r="W288" s="51"/>
      <c r="X288" s="51"/>
      <c r="Y288" s="51"/>
      <c r="Z288" s="51"/>
      <c r="AA288" s="51"/>
      <c r="AB288" s="51"/>
      <c r="AC288" s="51"/>
      <c r="AD288" s="51"/>
      <c r="AE288" s="51"/>
      <c r="AF288" s="51"/>
      <c r="AG288" s="51"/>
      <c r="AH288" s="94"/>
      <c r="AI288" s="94"/>
      <c r="AJ288" s="94"/>
      <c r="AK288" s="94"/>
      <c r="AL288" s="94"/>
      <c r="AM288" s="94"/>
      <c r="AN288" s="94"/>
      <c r="AO288" s="95"/>
      <c r="AP288" s="686">
        <f t="shared" si="37"/>
        <v>0</v>
      </c>
      <c r="AQ288" s="42"/>
      <c r="AR288" s="42"/>
      <c r="AS288" s="42"/>
      <c r="AT288" s="43"/>
      <c r="AU288" s="687">
        <f t="shared" si="38"/>
        <v>0</v>
      </c>
      <c r="AV288" s="42"/>
      <c r="AW288" s="42"/>
      <c r="AX288" s="42"/>
      <c r="AY288" s="43"/>
      <c r="AZ288" s="486"/>
      <c r="BA288" s="51"/>
      <c r="BB288" s="51"/>
      <c r="BC288" s="51"/>
      <c r="BD288" s="51"/>
      <c r="BE288" s="51"/>
      <c r="BF288" s="51"/>
      <c r="BG288" s="51"/>
      <c r="BH288" s="94"/>
      <c r="BI288" s="94"/>
      <c r="BJ288" s="94"/>
      <c r="BK288" s="94"/>
      <c r="BL288" s="94"/>
      <c r="BM288" s="483"/>
      <c r="BN288" s="94"/>
      <c r="BO288" s="94"/>
      <c r="BP288" s="94"/>
      <c r="BQ288" s="94"/>
      <c r="BR288" s="94"/>
      <c r="BS288" s="94"/>
      <c r="BT288" s="94"/>
      <c r="BU288" s="94"/>
      <c r="BV288" s="94"/>
      <c r="BW288" s="688">
        <f t="shared" si="34"/>
        <v>0</v>
      </c>
      <c r="BX288" s="51"/>
      <c r="BY288" s="51"/>
      <c r="BZ288" s="51"/>
      <c r="CA288" s="51"/>
      <c r="CB288" s="51"/>
      <c r="CC288" s="51"/>
      <c r="CD288" s="97"/>
      <c r="CE288" s="479"/>
      <c r="CF288" s="51"/>
      <c r="CG288" s="51"/>
      <c r="CH288" s="62"/>
      <c r="CI288" s="62"/>
      <c r="CJ288" s="51"/>
      <c r="CK288" s="51"/>
      <c r="CL288" s="95"/>
      <c r="CM288" s="93"/>
      <c r="CN288" s="51"/>
      <c r="CO288" s="51"/>
      <c r="CP288" s="51"/>
      <c r="CQ288" s="51"/>
      <c r="CR288" s="51"/>
      <c r="CS288" s="51"/>
      <c r="CT288" s="51"/>
      <c r="CU288" s="95"/>
      <c r="CV288" s="93"/>
      <c r="CW288" s="51"/>
      <c r="CX288" s="51"/>
      <c r="CY288" s="51"/>
      <c r="CZ288" s="51"/>
      <c r="DA288" s="51"/>
      <c r="DB288" s="51"/>
      <c r="DC288" s="51"/>
      <c r="DD288" s="95"/>
      <c r="DE288" s="93"/>
      <c r="DF288" s="51"/>
      <c r="DG288" s="51"/>
      <c r="DH288" s="51"/>
      <c r="DI288" s="51"/>
      <c r="DJ288" s="51"/>
      <c r="DK288" s="51"/>
      <c r="DL288" s="95"/>
      <c r="DM288" s="478"/>
      <c r="DN288" s="682">
        <f t="shared" si="39"/>
        <v>0</v>
      </c>
      <c r="DO288" s="683"/>
    </row>
    <row r="289" spans="1:119" ht="25.5" customHeight="1" thickTop="1" thickBot="1" x14ac:dyDescent="0.2">
      <c r="A289" s="676">
        <f t="shared" si="35"/>
        <v>274</v>
      </c>
      <c r="B289" s="1054"/>
      <c r="C289" s="1055"/>
      <c r="D289" s="83"/>
      <c r="E289" s="954"/>
      <c r="F289" s="52"/>
      <c r="G289" s="103"/>
      <c r="H289" s="1058"/>
      <c r="I289" s="684" t="str">
        <f t="shared" si="32"/>
        <v/>
      </c>
      <c r="J289" s="685">
        <f t="shared" si="33"/>
        <v>0</v>
      </c>
      <c r="K289" s="1258"/>
      <c r="L289" s="1251"/>
      <c r="M289" s="1257"/>
      <c r="N289" s="719" t="str">
        <f t="shared" si="36"/>
        <v/>
      </c>
      <c r="O289" s="720" t="str">
        <f>IF('Set up ~ Config'!$G$32=6,IF(OR($N289=7,$N289=8,$N289=9),1,IF(OR($N289=10,$N289=11,$N289=12),2,IF(OR($N289=1,$N289=2,$N289=3),3,IF(OR($N289=4,$N289=5,$N289=6),4,"")))),IF(OR($N289=9,$N289=10,$N289=11),1,IF(OR($N289=12,$N289=1,$N289=2),2,IF(OR($N289=3,$N289=4,$N289=5),3,IF(OR($N289=6,$N289=7,$N289=8),4,"")))))</f>
        <v/>
      </c>
      <c r="P289" s="99"/>
      <c r="Q289" s="62"/>
      <c r="R289" s="62"/>
      <c r="S289" s="51"/>
      <c r="T289" s="51"/>
      <c r="U289" s="51"/>
      <c r="V289" s="51"/>
      <c r="W289" s="51"/>
      <c r="X289" s="51"/>
      <c r="Y289" s="51"/>
      <c r="Z289" s="51"/>
      <c r="AA289" s="51"/>
      <c r="AB289" s="51"/>
      <c r="AC289" s="51"/>
      <c r="AD289" s="51"/>
      <c r="AE289" s="51"/>
      <c r="AF289" s="51"/>
      <c r="AG289" s="51"/>
      <c r="AH289" s="94"/>
      <c r="AI289" s="94"/>
      <c r="AJ289" s="94"/>
      <c r="AK289" s="94"/>
      <c r="AL289" s="94"/>
      <c r="AM289" s="94"/>
      <c r="AN289" s="94"/>
      <c r="AO289" s="95"/>
      <c r="AP289" s="686">
        <f t="shared" si="37"/>
        <v>0</v>
      </c>
      <c r="AQ289" s="42"/>
      <c r="AR289" s="42"/>
      <c r="AS289" s="42"/>
      <c r="AT289" s="43"/>
      <c r="AU289" s="687">
        <f t="shared" si="38"/>
        <v>0</v>
      </c>
      <c r="AV289" s="42"/>
      <c r="AW289" s="42"/>
      <c r="AX289" s="42"/>
      <c r="AY289" s="43"/>
      <c r="AZ289" s="486"/>
      <c r="BA289" s="51"/>
      <c r="BB289" s="51"/>
      <c r="BC289" s="51"/>
      <c r="BD289" s="51"/>
      <c r="BE289" s="51"/>
      <c r="BF289" s="51"/>
      <c r="BG289" s="51"/>
      <c r="BH289" s="94"/>
      <c r="BI289" s="94"/>
      <c r="BJ289" s="94"/>
      <c r="BK289" s="94"/>
      <c r="BL289" s="94"/>
      <c r="BM289" s="483"/>
      <c r="BN289" s="94"/>
      <c r="BO289" s="94"/>
      <c r="BP289" s="94"/>
      <c r="BQ289" s="94"/>
      <c r="BR289" s="94"/>
      <c r="BS289" s="94"/>
      <c r="BT289" s="94"/>
      <c r="BU289" s="94"/>
      <c r="BV289" s="94"/>
      <c r="BW289" s="688">
        <f t="shared" si="34"/>
        <v>0</v>
      </c>
      <c r="BX289" s="51"/>
      <c r="BY289" s="51"/>
      <c r="BZ289" s="51"/>
      <c r="CA289" s="51"/>
      <c r="CB289" s="51"/>
      <c r="CC289" s="51"/>
      <c r="CD289" s="97"/>
      <c r="CE289" s="479"/>
      <c r="CF289" s="51"/>
      <c r="CG289" s="51"/>
      <c r="CH289" s="62"/>
      <c r="CI289" s="62"/>
      <c r="CJ289" s="51"/>
      <c r="CK289" s="51"/>
      <c r="CL289" s="95"/>
      <c r="CM289" s="93"/>
      <c r="CN289" s="51"/>
      <c r="CO289" s="51"/>
      <c r="CP289" s="51"/>
      <c r="CQ289" s="51"/>
      <c r="CR289" s="51"/>
      <c r="CS289" s="51"/>
      <c r="CT289" s="51"/>
      <c r="CU289" s="95"/>
      <c r="CV289" s="93"/>
      <c r="CW289" s="51"/>
      <c r="CX289" s="51"/>
      <c r="CY289" s="51"/>
      <c r="CZ289" s="51"/>
      <c r="DA289" s="51"/>
      <c r="DB289" s="51"/>
      <c r="DC289" s="51"/>
      <c r="DD289" s="95"/>
      <c r="DE289" s="93"/>
      <c r="DF289" s="51"/>
      <c r="DG289" s="51"/>
      <c r="DH289" s="51"/>
      <c r="DI289" s="51"/>
      <c r="DJ289" s="51"/>
      <c r="DK289" s="51"/>
      <c r="DL289" s="95"/>
      <c r="DM289" s="478"/>
      <c r="DN289" s="682">
        <f t="shared" si="39"/>
        <v>0</v>
      </c>
      <c r="DO289" s="683"/>
    </row>
    <row r="290" spans="1:119" ht="25.5" customHeight="1" thickTop="1" thickBot="1" x14ac:dyDescent="0.2">
      <c r="A290" s="676">
        <f t="shared" si="35"/>
        <v>275</v>
      </c>
      <c r="B290" s="1054"/>
      <c r="C290" s="1055"/>
      <c r="D290" s="83"/>
      <c r="E290" s="954"/>
      <c r="F290" s="52"/>
      <c r="G290" s="103"/>
      <c r="H290" s="1058"/>
      <c r="I290" s="684" t="str">
        <f t="shared" si="32"/>
        <v/>
      </c>
      <c r="J290" s="685">
        <f t="shared" si="33"/>
        <v>0</v>
      </c>
      <c r="K290" s="1258"/>
      <c r="L290" s="1251"/>
      <c r="M290" s="1257"/>
      <c r="N290" s="719" t="str">
        <f t="shared" si="36"/>
        <v/>
      </c>
      <c r="O290" s="720" t="str">
        <f>IF('Set up ~ Config'!$G$32=6,IF(OR($N290=7,$N290=8,$N290=9),1,IF(OR($N290=10,$N290=11,$N290=12),2,IF(OR($N290=1,$N290=2,$N290=3),3,IF(OR($N290=4,$N290=5,$N290=6),4,"")))),IF(OR($N290=9,$N290=10,$N290=11),1,IF(OR($N290=12,$N290=1,$N290=2),2,IF(OR($N290=3,$N290=4,$N290=5),3,IF(OR($N290=6,$N290=7,$N290=8),4,"")))))</f>
        <v/>
      </c>
      <c r="P290" s="99"/>
      <c r="Q290" s="62"/>
      <c r="R290" s="62"/>
      <c r="S290" s="51"/>
      <c r="T290" s="51"/>
      <c r="U290" s="51"/>
      <c r="V290" s="51"/>
      <c r="W290" s="51"/>
      <c r="X290" s="51"/>
      <c r="Y290" s="51"/>
      <c r="Z290" s="51"/>
      <c r="AA290" s="51"/>
      <c r="AB290" s="51"/>
      <c r="AC290" s="51"/>
      <c r="AD290" s="51"/>
      <c r="AE290" s="51"/>
      <c r="AF290" s="51"/>
      <c r="AG290" s="51"/>
      <c r="AH290" s="94"/>
      <c r="AI290" s="94"/>
      <c r="AJ290" s="94"/>
      <c r="AK290" s="94"/>
      <c r="AL290" s="94"/>
      <c r="AM290" s="94"/>
      <c r="AN290" s="94"/>
      <c r="AO290" s="95"/>
      <c r="AP290" s="686">
        <f t="shared" si="37"/>
        <v>0</v>
      </c>
      <c r="AQ290" s="42"/>
      <c r="AR290" s="42"/>
      <c r="AS290" s="42"/>
      <c r="AT290" s="43"/>
      <c r="AU290" s="687">
        <f t="shared" si="38"/>
        <v>0</v>
      </c>
      <c r="AV290" s="42"/>
      <c r="AW290" s="42"/>
      <c r="AX290" s="42"/>
      <c r="AY290" s="43"/>
      <c r="AZ290" s="486"/>
      <c r="BA290" s="51"/>
      <c r="BB290" s="51"/>
      <c r="BC290" s="51"/>
      <c r="BD290" s="51"/>
      <c r="BE290" s="51"/>
      <c r="BF290" s="51"/>
      <c r="BG290" s="51"/>
      <c r="BH290" s="94"/>
      <c r="BI290" s="94"/>
      <c r="BJ290" s="94"/>
      <c r="BK290" s="94"/>
      <c r="BL290" s="94"/>
      <c r="BM290" s="483"/>
      <c r="BN290" s="94"/>
      <c r="BO290" s="94"/>
      <c r="BP290" s="94"/>
      <c r="BQ290" s="94"/>
      <c r="BR290" s="94"/>
      <c r="BS290" s="94"/>
      <c r="BT290" s="94"/>
      <c r="BU290" s="94"/>
      <c r="BV290" s="94"/>
      <c r="BW290" s="688">
        <f t="shared" si="34"/>
        <v>0</v>
      </c>
      <c r="BX290" s="51"/>
      <c r="BY290" s="51"/>
      <c r="BZ290" s="51"/>
      <c r="CA290" s="51"/>
      <c r="CB290" s="51"/>
      <c r="CC290" s="51"/>
      <c r="CD290" s="97"/>
      <c r="CE290" s="479"/>
      <c r="CF290" s="51"/>
      <c r="CG290" s="51"/>
      <c r="CH290" s="62"/>
      <c r="CI290" s="62"/>
      <c r="CJ290" s="51"/>
      <c r="CK290" s="51"/>
      <c r="CL290" s="95"/>
      <c r="CM290" s="93"/>
      <c r="CN290" s="51"/>
      <c r="CO290" s="51"/>
      <c r="CP290" s="51"/>
      <c r="CQ290" s="51"/>
      <c r="CR290" s="51"/>
      <c r="CS290" s="51"/>
      <c r="CT290" s="51"/>
      <c r="CU290" s="95"/>
      <c r="CV290" s="93"/>
      <c r="CW290" s="51"/>
      <c r="CX290" s="51"/>
      <c r="CY290" s="51"/>
      <c r="CZ290" s="51"/>
      <c r="DA290" s="51"/>
      <c r="DB290" s="51"/>
      <c r="DC290" s="51"/>
      <c r="DD290" s="95"/>
      <c r="DE290" s="93"/>
      <c r="DF290" s="51"/>
      <c r="DG290" s="51"/>
      <c r="DH290" s="51"/>
      <c r="DI290" s="51"/>
      <c r="DJ290" s="51"/>
      <c r="DK290" s="51"/>
      <c r="DL290" s="95"/>
      <c r="DM290" s="478"/>
      <c r="DN290" s="682">
        <f t="shared" si="39"/>
        <v>0</v>
      </c>
      <c r="DO290" s="683"/>
    </row>
    <row r="291" spans="1:119" ht="25.5" customHeight="1" thickTop="1" thickBot="1" x14ac:dyDescent="0.2">
      <c r="A291" s="676">
        <f t="shared" si="35"/>
        <v>276</v>
      </c>
      <c r="B291" s="1054"/>
      <c r="C291" s="1055"/>
      <c r="D291" s="83"/>
      <c r="E291" s="954"/>
      <c r="F291" s="52"/>
      <c r="G291" s="103"/>
      <c r="H291" s="1058"/>
      <c r="I291" s="684" t="str">
        <f t="shared" si="32"/>
        <v/>
      </c>
      <c r="J291" s="685">
        <f t="shared" si="33"/>
        <v>0</v>
      </c>
      <c r="K291" s="1258"/>
      <c r="L291" s="1251"/>
      <c r="M291" s="1257"/>
      <c r="N291" s="719" t="str">
        <f t="shared" si="36"/>
        <v/>
      </c>
      <c r="O291" s="720" t="str">
        <f>IF('Set up ~ Config'!$G$32=6,IF(OR($N291=7,$N291=8,$N291=9),1,IF(OR($N291=10,$N291=11,$N291=12),2,IF(OR($N291=1,$N291=2,$N291=3),3,IF(OR($N291=4,$N291=5,$N291=6),4,"")))),IF(OR($N291=9,$N291=10,$N291=11),1,IF(OR($N291=12,$N291=1,$N291=2),2,IF(OR($N291=3,$N291=4,$N291=5),3,IF(OR($N291=6,$N291=7,$N291=8),4,"")))))</f>
        <v/>
      </c>
      <c r="P291" s="99"/>
      <c r="Q291" s="62"/>
      <c r="R291" s="62"/>
      <c r="S291" s="51"/>
      <c r="T291" s="51"/>
      <c r="U291" s="51"/>
      <c r="V291" s="51"/>
      <c r="W291" s="51"/>
      <c r="X291" s="51"/>
      <c r="Y291" s="51"/>
      <c r="Z291" s="51"/>
      <c r="AA291" s="51"/>
      <c r="AB291" s="51"/>
      <c r="AC291" s="51"/>
      <c r="AD291" s="51"/>
      <c r="AE291" s="51"/>
      <c r="AF291" s="51"/>
      <c r="AG291" s="51"/>
      <c r="AH291" s="94"/>
      <c r="AI291" s="94"/>
      <c r="AJ291" s="94"/>
      <c r="AK291" s="94"/>
      <c r="AL291" s="94"/>
      <c r="AM291" s="94"/>
      <c r="AN291" s="94"/>
      <c r="AO291" s="95"/>
      <c r="AP291" s="686">
        <f t="shared" si="37"/>
        <v>0</v>
      </c>
      <c r="AQ291" s="42"/>
      <c r="AR291" s="42"/>
      <c r="AS291" s="42"/>
      <c r="AT291" s="43"/>
      <c r="AU291" s="687">
        <f t="shared" si="38"/>
        <v>0</v>
      </c>
      <c r="AV291" s="42"/>
      <c r="AW291" s="42"/>
      <c r="AX291" s="42"/>
      <c r="AY291" s="43"/>
      <c r="AZ291" s="486"/>
      <c r="BA291" s="51"/>
      <c r="BB291" s="51"/>
      <c r="BC291" s="51"/>
      <c r="BD291" s="51"/>
      <c r="BE291" s="51"/>
      <c r="BF291" s="51"/>
      <c r="BG291" s="51"/>
      <c r="BH291" s="94"/>
      <c r="BI291" s="94"/>
      <c r="BJ291" s="94"/>
      <c r="BK291" s="94"/>
      <c r="BL291" s="94"/>
      <c r="BM291" s="483"/>
      <c r="BN291" s="94"/>
      <c r="BO291" s="94"/>
      <c r="BP291" s="94"/>
      <c r="BQ291" s="94"/>
      <c r="BR291" s="94"/>
      <c r="BS291" s="94"/>
      <c r="BT291" s="94"/>
      <c r="BU291" s="94"/>
      <c r="BV291" s="94"/>
      <c r="BW291" s="688">
        <f t="shared" si="34"/>
        <v>0</v>
      </c>
      <c r="BX291" s="51"/>
      <c r="BY291" s="51"/>
      <c r="BZ291" s="51"/>
      <c r="CA291" s="51"/>
      <c r="CB291" s="51"/>
      <c r="CC291" s="51"/>
      <c r="CD291" s="97"/>
      <c r="CE291" s="479"/>
      <c r="CF291" s="51"/>
      <c r="CG291" s="51"/>
      <c r="CH291" s="62"/>
      <c r="CI291" s="62"/>
      <c r="CJ291" s="51"/>
      <c r="CK291" s="51"/>
      <c r="CL291" s="95"/>
      <c r="CM291" s="93"/>
      <c r="CN291" s="51"/>
      <c r="CO291" s="51"/>
      <c r="CP291" s="51"/>
      <c r="CQ291" s="51"/>
      <c r="CR291" s="51"/>
      <c r="CS291" s="51"/>
      <c r="CT291" s="51"/>
      <c r="CU291" s="95"/>
      <c r="CV291" s="93"/>
      <c r="CW291" s="51"/>
      <c r="CX291" s="51"/>
      <c r="CY291" s="51"/>
      <c r="CZ291" s="51"/>
      <c r="DA291" s="51"/>
      <c r="DB291" s="51"/>
      <c r="DC291" s="51"/>
      <c r="DD291" s="95"/>
      <c r="DE291" s="93"/>
      <c r="DF291" s="51"/>
      <c r="DG291" s="51"/>
      <c r="DH291" s="51"/>
      <c r="DI291" s="51"/>
      <c r="DJ291" s="51"/>
      <c r="DK291" s="51"/>
      <c r="DL291" s="95"/>
      <c r="DM291" s="478"/>
      <c r="DN291" s="682">
        <f t="shared" si="39"/>
        <v>0</v>
      </c>
      <c r="DO291" s="683"/>
    </row>
    <row r="292" spans="1:119" ht="25.5" customHeight="1" thickTop="1" thickBot="1" x14ac:dyDescent="0.2">
      <c r="A292" s="676">
        <f t="shared" si="35"/>
        <v>277</v>
      </c>
      <c r="B292" s="1054"/>
      <c r="C292" s="1055"/>
      <c r="D292" s="83"/>
      <c r="E292" s="954"/>
      <c r="F292" s="52"/>
      <c r="G292" s="103"/>
      <c r="H292" s="1058"/>
      <c r="I292" s="684" t="str">
        <f t="shared" si="32"/>
        <v/>
      </c>
      <c r="J292" s="685">
        <f t="shared" si="33"/>
        <v>0</v>
      </c>
      <c r="K292" s="1258"/>
      <c r="L292" s="1251"/>
      <c r="M292" s="1257"/>
      <c r="N292" s="719" t="str">
        <f t="shared" si="36"/>
        <v/>
      </c>
      <c r="O292" s="720" t="str">
        <f>IF('Set up ~ Config'!$G$32=6,IF(OR($N292=7,$N292=8,$N292=9),1,IF(OR($N292=10,$N292=11,$N292=12),2,IF(OR($N292=1,$N292=2,$N292=3),3,IF(OR($N292=4,$N292=5,$N292=6),4,"")))),IF(OR($N292=9,$N292=10,$N292=11),1,IF(OR($N292=12,$N292=1,$N292=2),2,IF(OR($N292=3,$N292=4,$N292=5),3,IF(OR($N292=6,$N292=7,$N292=8),4,"")))))</f>
        <v/>
      </c>
      <c r="P292" s="99"/>
      <c r="Q292" s="62"/>
      <c r="R292" s="62"/>
      <c r="S292" s="51"/>
      <c r="T292" s="51"/>
      <c r="U292" s="51"/>
      <c r="V292" s="51"/>
      <c r="W292" s="51"/>
      <c r="X292" s="51"/>
      <c r="Y292" s="51"/>
      <c r="Z292" s="51"/>
      <c r="AA292" s="51"/>
      <c r="AB292" s="51"/>
      <c r="AC292" s="51"/>
      <c r="AD292" s="51"/>
      <c r="AE292" s="51"/>
      <c r="AF292" s="51"/>
      <c r="AG292" s="51"/>
      <c r="AH292" s="94"/>
      <c r="AI292" s="94"/>
      <c r="AJ292" s="94"/>
      <c r="AK292" s="94"/>
      <c r="AL292" s="94"/>
      <c r="AM292" s="94"/>
      <c r="AN292" s="94"/>
      <c r="AO292" s="95"/>
      <c r="AP292" s="686">
        <f t="shared" si="37"/>
        <v>0</v>
      </c>
      <c r="AQ292" s="42"/>
      <c r="AR292" s="42"/>
      <c r="AS292" s="42"/>
      <c r="AT292" s="43"/>
      <c r="AU292" s="687">
        <f t="shared" si="38"/>
        <v>0</v>
      </c>
      <c r="AV292" s="42"/>
      <c r="AW292" s="42"/>
      <c r="AX292" s="42"/>
      <c r="AY292" s="43"/>
      <c r="AZ292" s="486"/>
      <c r="BA292" s="51"/>
      <c r="BB292" s="51"/>
      <c r="BC292" s="51"/>
      <c r="BD292" s="51"/>
      <c r="BE292" s="51"/>
      <c r="BF292" s="51"/>
      <c r="BG292" s="51"/>
      <c r="BH292" s="94"/>
      <c r="BI292" s="94"/>
      <c r="BJ292" s="94"/>
      <c r="BK292" s="94"/>
      <c r="BL292" s="94"/>
      <c r="BM292" s="483"/>
      <c r="BN292" s="94"/>
      <c r="BO292" s="94"/>
      <c r="BP292" s="94"/>
      <c r="BQ292" s="94"/>
      <c r="BR292" s="94"/>
      <c r="BS292" s="94"/>
      <c r="BT292" s="94"/>
      <c r="BU292" s="94"/>
      <c r="BV292" s="94"/>
      <c r="BW292" s="688">
        <f t="shared" si="34"/>
        <v>0</v>
      </c>
      <c r="BX292" s="51"/>
      <c r="BY292" s="51"/>
      <c r="BZ292" s="51"/>
      <c r="CA292" s="51"/>
      <c r="CB292" s="51"/>
      <c r="CC292" s="51"/>
      <c r="CD292" s="97"/>
      <c r="CE292" s="479"/>
      <c r="CF292" s="51"/>
      <c r="CG292" s="51"/>
      <c r="CH292" s="62"/>
      <c r="CI292" s="62"/>
      <c r="CJ292" s="51"/>
      <c r="CK292" s="51"/>
      <c r="CL292" s="95"/>
      <c r="CM292" s="93"/>
      <c r="CN292" s="51"/>
      <c r="CO292" s="51"/>
      <c r="CP292" s="51"/>
      <c r="CQ292" s="51"/>
      <c r="CR292" s="51"/>
      <c r="CS292" s="51"/>
      <c r="CT292" s="51"/>
      <c r="CU292" s="95"/>
      <c r="CV292" s="93"/>
      <c r="CW292" s="51"/>
      <c r="CX292" s="51"/>
      <c r="CY292" s="51"/>
      <c r="CZ292" s="51"/>
      <c r="DA292" s="51"/>
      <c r="DB292" s="51"/>
      <c r="DC292" s="51"/>
      <c r="DD292" s="95"/>
      <c r="DE292" s="93"/>
      <c r="DF292" s="51"/>
      <c r="DG292" s="51"/>
      <c r="DH292" s="51"/>
      <c r="DI292" s="51"/>
      <c r="DJ292" s="51"/>
      <c r="DK292" s="51"/>
      <c r="DL292" s="95"/>
      <c r="DM292" s="478"/>
      <c r="DN292" s="682">
        <f t="shared" si="39"/>
        <v>0</v>
      </c>
      <c r="DO292" s="683"/>
    </row>
    <row r="293" spans="1:119" ht="25.5" customHeight="1" thickTop="1" thickBot="1" x14ac:dyDescent="0.2">
      <c r="A293" s="676">
        <f t="shared" si="35"/>
        <v>278</v>
      </c>
      <c r="B293" s="1054"/>
      <c r="C293" s="1055"/>
      <c r="D293" s="83"/>
      <c r="E293" s="954"/>
      <c r="F293" s="52"/>
      <c r="G293" s="103"/>
      <c r="H293" s="1058"/>
      <c r="I293" s="684" t="str">
        <f t="shared" si="32"/>
        <v/>
      </c>
      <c r="J293" s="685">
        <f t="shared" si="33"/>
        <v>0</v>
      </c>
      <c r="K293" s="1258"/>
      <c r="L293" s="1251"/>
      <c r="M293" s="1257"/>
      <c r="N293" s="719" t="str">
        <f t="shared" si="36"/>
        <v/>
      </c>
      <c r="O293" s="720" t="str">
        <f>IF('Set up ~ Config'!$G$32=6,IF(OR($N293=7,$N293=8,$N293=9),1,IF(OR($N293=10,$N293=11,$N293=12),2,IF(OR($N293=1,$N293=2,$N293=3),3,IF(OR($N293=4,$N293=5,$N293=6),4,"")))),IF(OR($N293=9,$N293=10,$N293=11),1,IF(OR($N293=12,$N293=1,$N293=2),2,IF(OR($N293=3,$N293=4,$N293=5),3,IF(OR($N293=6,$N293=7,$N293=8),4,"")))))</f>
        <v/>
      </c>
      <c r="P293" s="99"/>
      <c r="Q293" s="62"/>
      <c r="R293" s="62"/>
      <c r="S293" s="51"/>
      <c r="T293" s="51"/>
      <c r="U293" s="51"/>
      <c r="V293" s="51"/>
      <c r="W293" s="51"/>
      <c r="X293" s="51"/>
      <c r="Y293" s="51"/>
      <c r="Z293" s="51"/>
      <c r="AA293" s="51"/>
      <c r="AB293" s="51"/>
      <c r="AC293" s="51"/>
      <c r="AD293" s="51"/>
      <c r="AE293" s="51"/>
      <c r="AF293" s="51"/>
      <c r="AG293" s="51"/>
      <c r="AH293" s="94"/>
      <c r="AI293" s="94"/>
      <c r="AJ293" s="94"/>
      <c r="AK293" s="94"/>
      <c r="AL293" s="94"/>
      <c r="AM293" s="94"/>
      <c r="AN293" s="94"/>
      <c r="AO293" s="95"/>
      <c r="AP293" s="686">
        <f t="shared" si="37"/>
        <v>0</v>
      </c>
      <c r="AQ293" s="42"/>
      <c r="AR293" s="42"/>
      <c r="AS293" s="42"/>
      <c r="AT293" s="43"/>
      <c r="AU293" s="687">
        <f t="shared" si="38"/>
        <v>0</v>
      </c>
      <c r="AV293" s="42"/>
      <c r="AW293" s="42"/>
      <c r="AX293" s="42"/>
      <c r="AY293" s="43"/>
      <c r="AZ293" s="486"/>
      <c r="BA293" s="51"/>
      <c r="BB293" s="51"/>
      <c r="BC293" s="51"/>
      <c r="BD293" s="51"/>
      <c r="BE293" s="51"/>
      <c r="BF293" s="51"/>
      <c r="BG293" s="51"/>
      <c r="BH293" s="94"/>
      <c r="BI293" s="94"/>
      <c r="BJ293" s="94"/>
      <c r="BK293" s="94"/>
      <c r="BL293" s="94"/>
      <c r="BM293" s="483"/>
      <c r="BN293" s="94"/>
      <c r="BO293" s="94"/>
      <c r="BP293" s="94"/>
      <c r="BQ293" s="94"/>
      <c r="BR293" s="94"/>
      <c r="BS293" s="94"/>
      <c r="BT293" s="94"/>
      <c r="BU293" s="94"/>
      <c r="BV293" s="94"/>
      <c r="BW293" s="688">
        <f t="shared" si="34"/>
        <v>0</v>
      </c>
      <c r="BX293" s="51"/>
      <c r="BY293" s="51"/>
      <c r="BZ293" s="51"/>
      <c r="CA293" s="51"/>
      <c r="CB293" s="51"/>
      <c r="CC293" s="51"/>
      <c r="CD293" s="97"/>
      <c r="CE293" s="479"/>
      <c r="CF293" s="51"/>
      <c r="CG293" s="51"/>
      <c r="CH293" s="62"/>
      <c r="CI293" s="62"/>
      <c r="CJ293" s="51"/>
      <c r="CK293" s="51"/>
      <c r="CL293" s="95"/>
      <c r="CM293" s="93"/>
      <c r="CN293" s="51"/>
      <c r="CO293" s="51"/>
      <c r="CP293" s="51"/>
      <c r="CQ293" s="51"/>
      <c r="CR293" s="51"/>
      <c r="CS293" s="51"/>
      <c r="CT293" s="51"/>
      <c r="CU293" s="95"/>
      <c r="CV293" s="93"/>
      <c r="CW293" s="51"/>
      <c r="CX293" s="51"/>
      <c r="CY293" s="51"/>
      <c r="CZ293" s="51"/>
      <c r="DA293" s="51"/>
      <c r="DB293" s="51"/>
      <c r="DC293" s="51"/>
      <c r="DD293" s="95"/>
      <c r="DE293" s="93"/>
      <c r="DF293" s="51"/>
      <c r="DG293" s="51"/>
      <c r="DH293" s="51"/>
      <c r="DI293" s="51"/>
      <c r="DJ293" s="51"/>
      <c r="DK293" s="51"/>
      <c r="DL293" s="95"/>
      <c r="DM293" s="478"/>
      <c r="DN293" s="682">
        <f t="shared" si="39"/>
        <v>0</v>
      </c>
      <c r="DO293" s="683"/>
    </row>
    <row r="294" spans="1:119" ht="25.5" customHeight="1" thickTop="1" thickBot="1" x14ac:dyDescent="0.2">
      <c r="A294" s="676">
        <f t="shared" si="35"/>
        <v>279</v>
      </c>
      <c r="B294" s="1054"/>
      <c r="C294" s="1055"/>
      <c r="D294" s="83"/>
      <c r="E294" s="954"/>
      <c r="F294" s="52"/>
      <c r="G294" s="103"/>
      <c r="H294" s="1058"/>
      <c r="I294" s="684" t="str">
        <f t="shared" si="32"/>
        <v/>
      </c>
      <c r="J294" s="685">
        <f t="shared" si="33"/>
        <v>0</v>
      </c>
      <c r="K294" s="1258"/>
      <c r="L294" s="1251"/>
      <c r="M294" s="1257"/>
      <c r="N294" s="719" t="str">
        <f t="shared" si="36"/>
        <v/>
      </c>
      <c r="O294" s="720" t="str">
        <f>IF('Set up ~ Config'!$G$32=6,IF(OR($N294=7,$N294=8,$N294=9),1,IF(OR($N294=10,$N294=11,$N294=12),2,IF(OR($N294=1,$N294=2,$N294=3),3,IF(OR($N294=4,$N294=5,$N294=6),4,"")))),IF(OR($N294=9,$N294=10,$N294=11),1,IF(OR($N294=12,$N294=1,$N294=2),2,IF(OR($N294=3,$N294=4,$N294=5),3,IF(OR($N294=6,$N294=7,$N294=8),4,"")))))</f>
        <v/>
      </c>
      <c r="P294" s="99"/>
      <c r="Q294" s="62"/>
      <c r="R294" s="62"/>
      <c r="S294" s="51"/>
      <c r="T294" s="51"/>
      <c r="U294" s="51"/>
      <c r="V294" s="51"/>
      <c r="W294" s="51"/>
      <c r="X294" s="51"/>
      <c r="Y294" s="51"/>
      <c r="Z294" s="51"/>
      <c r="AA294" s="51"/>
      <c r="AB294" s="51"/>
      <c r="AC294" s="51"/>
      <c r="AD294" s="51"/>
      <c r="AE294" s="51"/>
      <c r="AF294" s="51"/>
      <c r="AG294" s="51"/>
      <c r="AH294" s="94"/>
      <c r="AI294" s="94"/>
      <c r="AJ294" s="94"/>
      <c r="AK294" s="94"/>
      <c r="AL294" s="94"/>
      <c r="AM294" s="94"/>
      <c r="AN294" s="94"/>
      <c r="AO294" s="95"/>
      <c r="AP294" s="686">
        <f t="shared" si="37"/>
        <v>0</v>
      </c>
      <c r="AQ294" s="42"/>
      <c r="AR294" s="42"/>
      <c r="AS294" s="42"/>
      <c r="AT294" s="43"/>
      <c r="AU294" s="687">
        <f t="shared" si="38"/>
        <v>0</v>
      </c>
      <c r="AV294" s="42"/>
      <c r="AW294" s="42"/>
      <c r="AX294" s="42"/>
      <c r="AY294" s="43"/>
      <c r="AZ294" s="486"/>
      <c r="BA294" s="51"/>
      <c r="BB294" s="51"/>
      <c r="BC294" s="51"/>
      <c r="BD294" s="51"/>
      <c r="BE294" s="51"/>
      <c r="BF294" s="51"/>
      <c r="BG294" s="51"/>
      <c r="BH294" s="94"/>
      <c r="BI294" s="94"/>
      <c r="BJ294" s="94"/>
      <c r="BK294" s="94"/>
      <c r="BL294" s="94"/>
      <c r="BM294" s="483"/>
      <c r="BN294" s="94"/>
      <c r="BO294" s="94"/>
      <c r="BP294" s="94"/>
      <c r="BQ294" s="94"/>
      <c r="BR294" s="94"/>
      <c r="BS294" s="94"/>
      <c r="BT294" s="94"/>
      <c r="BU294" s="94"/>
      <c r="BV294" s="94"/>
      <c r="BW294" s="688">
        <f t="shared" si="34"/>
        <v>0</v>
      </c>
      <c r="BX294" s="51"/>
      <c r="BY294" s="51"/>
      <c r="BZ294" s="51"/>
      <c r="CA294" s="51"/>
      <c r="CB294" s="51"/>
      <c r="CC294" s="51"/>
      <c r="CD294" s="97"/>
      <c r="CE294" s="479"/>
      <c r="CF294" s="51"/>
      <c r="CG294" s="51"/>
      <c r="CH294" s="62"/>
      <c r="CI294" s="62"/>
      <c r="CJ294" s="51"/>
      <c r="CK294" s="51"/>
      <c r="CL294" s="95"/>
      <c r="CM294" s="93"/>
      <c r="CN294" s="51"/>
      <c r="CO294" s="51"/>
      <c r="CP294" s="51"/>
      <c r="CQ294" s="51"/>
      <c r="CR294" s="51"/>
      <c r="CS294" s="51"/>
      <c r="CT294" s="51"/>
      <c r="CU294" s="95"/>
      <c r="CV294" s="93"/>
      <c r="CW294" s="51"/>
      <c r="CX294" s="51"/>
      <c r="CY294" s="51"/>
      <c r="CZ294" s="51"/>
      <c r="DA294" s="51"/>
      <c r="DB294" s="51"/>
      <c r="DC294" s="51"/>
      <c r="DD294" s="95"/>
      <c r="DE294" s="93"/>
      <c r="DF294" s="51"/>
      <c r="DG294" s="51"/>
      <c r="DH294" s="51"/>
      <c r="DI294" s="51"/>
      <c r="DJ294" s="51"/>
      <c r="DK294" s="51"/>
      <c r="DL294" s="95"/>
      <c r="DM294" s="478"/>
      <c r="DN294" s="682">
        <f t="shared" si="39"/>
        <v>0</v>
      </c>
      <c r="DO294" s="683"/>
    </row>
    <row r="295" spans="1:119" ht="25.5" customHeight="1" thickTop="1" thickBot="1" x14ac:dyDescent="0.2">
      <c r="A295" s="676">
        <f t="shared" si="35"/>
        <v>280</v>
      </c>
      <c r="B295" s="1054"/>
      <c r="C295" s="1055"/>
      <c r="D295" s="83"/>
      <c r="E295" s="954"/>
      <c r="F295" s="52"/>
      <c r="G295" s="103"/>
      <c r="H295" s="1058"/>
      <c r="I295" s="684" t="str">
        <f t="shared" si="32"/>
        <v/>
      </c>
      <c r="J295" s="685">
        <f t="shared" si="33"/>
        <v>0</v>
      </c>
      <c r="K295" s="1258"/>
      <c r="L295" s="1251"/>
      <c r="M295" s="1257"/>
      <c r="N295" s="719" t="str">
        <f t="shared" si="36"/>
        <v/>
      </c>
      <c r="O295" s="720" t="str">
        <f>IF('Set up ~ Config'!$G$32=6,IF(OR($N295=7,$N295=8,$N295=9),1,IF(OR($N295=10,$N295=11,$N295=12),2,IF(OR($N295=1,$N295=2,$N295=3),3,IF(OR($N295=4,$N295=5,$N295=6),4,"")))),IF(OR($N295=9,$N295=10,$N295=11),1,IF(OR($N295=12,$N295=1,$N295=2),2,IF(OR($N295=3,$N295=4,$N295=5),3,IF(OR($N295=6,$N295=7,$N295=8),4,"")))))</f>
        <v/>
      </c>
      <c r="P295" s="99"/>
      <c r="Q295" s="62"/>
      <c r="R295" s="62"/>
      <c r="S295" s="51"/>
      <c r="T295" s="51"/>
      <c r="U295" s="51"/>
      <c r="V295" s="51"/>
      <c r="W295" s="51"/>
      <c r="X295" s="51"/>
      <c r="Y295" s="51"/>
      <c r="Z295" s="51"/>
      <c r="AA295" s="51"/>
      <c r="AB295" s="51"/>
      <c r="AC295" s="51"/>
      <c r="AD295" s="51"/>
      <c r="AE295" s="51"/>
      <c r="AF295" s="51"/>
      <c r="AG295" s="51"/>
      <c r="AH295" s="94"/>
      <c r="AI295" s="94"/>
      <c r="AJ295" s="94"/>
      <c r="AK295" s="94"/>
      <c r="AL295" s="94"/>
      <c r="AM295" s="94"/>
      <c r="AN295" s="94"/>
      <c r="AO295" s="95"/>
      <c r="AP295" s="686">
        <f t="shared" si="37"/>
        <v>0</v>
      </c>
      <c r="AQ295" s="42"/>
      <c r="AR295" s="42"/>
      <c r="AS295" s="42"/>
      <c r="AT295" s="43"/>
      <c r="AU295" s="687">
        <f t="shared" si="38"/>
        <v>0</v>
      </c>
      <c r="AV295" s="42"/>
      <c r="AW295" s="42"/>
      <c r="AX295" s="42"/>
      <c r="AY295" s="43"/>
      <c r="AZ295" s="486"/>
      <c r="BA295" s="51"/>
      <c r="BB295" s="51"/>
      <c r="BC295" s="51"/>
      <c r="BD295" s="51"/>
      <c r="BE295" s="51"/>
      <c r="BF295" s="51"/>
      <c r="BG295" s="51"/>
      <c r="BH295" s="94"/>
      <c r="BI295" s="94"/>
      <c r="BJ295" s="94"/>
      <c r="BK295" s="94"/>
      <c r="BL295" s="94"/>
      <c r="BM295" s="483"/>
      <c r="BN295" s="94"/>
      <c r="BO295" s="94"/>
      <c r="BP295" s="94"/>
      <c r="BQ295" s="94"/>
      <c r="BR295" s="94"/>
      <c r="BS295" s="94"/>
      <c r="BT295" s="94"/>
      <c r="BU295" s="94"/>
      <c r="BV295" s="94"/>
      <c r="BW295" s="688">
        <f t="shared" si="34"/>
        <v>0</v>
      </c>
      <c r="BX295" s="51"/>
      <c r="BY295" s="51"/>
      <c r="BZ295" s="51"/>
      <c r="CA295" s="51"/>
      <c r="CB295" s="51"/>
      <c r="CC295" s="51"/>
      <c r="CD295" s="97"/>
      <c r="CE295" s="479"/>
      <c r="CF295" s="51"/>
      <c r="CG295" s="51"/>
      <c r="CH295" s="62"/>
      <c r="CI295" s="62"/>
      <c r="CJ295" s="51"/>
      <c r="CK295" s="51"/>
      <c r="CL295" s="95"/>
      <c r="CM295" s="93"/>
      <c r="CN295" s="51"/>
      <c r="CO295" s="51"/>
      <c r="CP295" s="51"/>
      <c r="CQ295" s="51"/>
      <c r="CR295" s="51"/>
      <c r="CS295" s="51"/>
      <c r="CT295" s="51"/>
      <c r="CU295" s="95"/>
      <c r="CV295" s="93"/>
      <c r="CW295" s="51"/>
      <c r="CX295" s="51"/>
      <c r="CY295" s="51"/>
      <c r="CZ295" s="51"/>
      <c r="DA295" s="51"/>
      <c r="DB295" s="51"/>
      <c r="DC295" s="51"/>
      <c r="DD295" s="95"/>
      <c r="DE295" s="93"/>
      <c r="DF295" s="51"/>
      <c r="DG295" s="51"/>
      <c r="DH295" s="51"/>
      <c r="DI295" s="51"/>
      <c r="DJ295" s="51"/>
      <c r="DK295" s="51"/>
      <c r="DL295" s="95"/>
      <c r="DM295" s="478"/>
      <c r="DN295" s="682">
        <f t="shared" si="39"/>
        <v>0</v>
      </c>
      <c r="DO295" s="683"/>
    </row>
    <row r="296" spans="1:119" ht="25.5" customHeight="1" thickTop="1" thickBot="1" x14ac:dyDescent="0.2">
      <c r="A296" s="676">
        <f t="shared" si="35"/>
        <v>281</v>
      </c>
      <c r="B296" s="1054"/>
      <c r="C296" s="1055"/>
      <c r="D296" s="83"/>
      <c r="E296" s="954"/>
      <c r="F296" s="52"/>
      <c r="G296" s="103"/>
      <c r="H296" s="1058"/>
      <c r="I296" s="684" t="str">
        <f t="shared" si="32"/>
        <v/>
      </c>
      <c r="J296" s="685">
        <f t="shared" si="33"/>
        <v>0</v>
      </c>
      <c r="K296" s="1258"/>
      <c r="L296" s="1251"/>
      <c r="M296" s="1257"/>
      <c r="N296" s="719" t="str">
        <f t="shared" si="36"/>
        <v/>
      </c>
      <c r="O296" s="720" t="str">
        <f>IF('Set up ~ Config'!$G$32=6,IF(OR($N296=7,$N296=8,$N296=9),1,IF(OR($N296=10,$N296=11,$N296=12),2,IF(OR($N296=1,$N296=2,$N296=3),3,IF(OR($N296=4,$N296=5,$N296=6),4,"")))),IF(OR($N296=9,$N296=10,$N296=11),1,IF(OR($N296=12,$N296=1,$N296=2),2,IF(OR($N296=3,$N296=4,$N296=5),3,IF(OR($N296=6,$N296=7,$N296=8),4,"")))))</f>
        <v/>
      </c>
      <c r="P296" s="99"/>
      <c r="Q296" s="62"/>
      <c r="R296" s="62"/>
      <c r="S296" s="51"/>
      <c r="T296" s="51"/>
      <c r="U296" s="51"/>
      <c r="V296" s="51"/>
      <c r="W296" s="51"/>
      <c r="X296" s="51"/>
      <c r="Y296" s="51"/>
      <c r="Z296" s="51"/>
      <c r="AA296" s="51"/>
      <c r="AB296" s="51"/>
      <c r="AC296" s="51"/>
      <c r="AD296" s="51"/>
      <c r="AE296" s="51"/>
      <c r="AF296" s="51"/>
      <c r="AG296" s="51"/>
      <c r="AH296" s="94"/>
      <c r="AI296" s="94"/>
      <c r="AJ296" s="94"/>
      <c r="AK296" s="94"/>
      <c r="AL296" s="94"/>
      <c r="AM296" s="94"/>
      <c r="AN296" s="94"/>
      <c r="AO296" s="95"/>
      <c r="AP296" s="686">
        <f t="shared" si="37"/>
        <v>0</v>
      </c>
      <c r="AQ296" s="42"/>
      <c r="AR296" s="42"/>
      <c r="AS296" s="42"/>
      <c r="AT296" s="43"/>
      <c r="AU296" s="687">
        <f t="shared" si="38"/>
        <v>0</v>
      </c>
      <c r="AV296" s="42"/>
      <c r="AW296" s="42"/>
      <c r="AX296" s="42"/>
      <c r="AY296" s="43"/>
      <c r="AZ296" s="486"/>
      <c r="BA296" s="51"/>
      <c r="BB296" s="51"/>
      <c r="BC296" s="51"/>
      <c r="BD296" s="51"/>
      <c r="BE296" s="51"/>
      <c r="BF296" s="51"/>
      <c r="BG296" s="51"/>
      <c r="BH296" s="94"/>
      <c r="BI296" s="94"/>
      <c r="BJ296" s="94"/>
      <c r="BK296" s="94"/>
      <c r="BL296" s="94"/>
      <c r="BM296" s="483"/>
      <c r="BN296" s="94"/>
      <c r="BO296" s="94"/>
      <c r="BP296" s="94"/>
      <c r="BQ296" s="94"/>
      <c r="BR296" s="94"/>
      <c r="BS296" s="94"/>
      <c r="BT296" s="94"/>
      <c r="BU296" s="94"/>
      <c r="BV296" s="94"/>
      <c r="BW296" s="688">
        <f t="shared" si="34"/>
        <v>0</v>
      </c>
      <c r="BX296" s="51"/>
      <c r="BY296" s="51"/>
      <c r="BZ296" s="51"/>
      <c r="CA296" s="51"/>
      <c r="CB296" s="51"/>
      <c r="CC296" s="51"/>
      <c r="CD296" s="97"/>
      <c r="CE296" s="479"/>
      <c r="CF296" s="51"/>
      <c r="CG296" s="51"/>
      <c r="CH296" s="62"/>
      <c r="CI296" s="62"/>
      <c r="CJ296" s="51"/>
      <c r="CK296" s="51"/>
      <c r="CL296" s="95"/>
      <c r="CM296" s="93"/>
      <c r="CN296" s="51"/>
      <c r="CO296" s="51"/>
      <c r="CP296" s="51"/>
      <c r="CQ296" s="51"/>
      <c r="CR296" s="51"/>
      <c r="CS296" s="51"/>
      <c r="CT296" s="51"/>
      <c r="CU296" s="95"/>
      <c r="CV296" s="93"/>
      <c r="CW296" s="51"/>
      <c r="CX296" s="51"/>
      <c r="CY296" s="51"/>
      <c r="CZ296" s="51"/>
      <c r="DA296" s="51"/>
      <c r="DB296" s="51"/>
      <c r="DC296" s="51"/>
      <c r="DD296" s="95"/>
      <c r="DE296" s="93"/>
      <c r="DF296" s="51"/>
      <c r="DG296" s="51"/>
      <c r="DH296" s="51"/>
      <c r="DI296" s="51"/>
      <c r="DJ296" s="51"/>
      <c r="DK296" s="51"/>
      <c r="DL296" s="95"/>
      <c r="DM296" s="478"/>
      <c r="DN296" s="682">
        <f t="shared" si="39"/>
        <v>0</v>
      </c>
      <c r="DO296" s="683"/>
    </row>
    <row r="297" spans="1:119" ht="25.5" customHeight="1" thickTop="1" thickBot="1" x14ac:dyDescent="0.2">
      <c r="A297" s="676">
        <f t="shared" si="35"/>
        <v>282</v>
      </c>
      <c r="B297" s="1054"/>
      <c r="C297" s="1055"/>
      <c r="D297" s="83"/>
      <c r="E297" s="954"/>
      <c r="F297" s="52"/>
      <c r="G297" s="103"/>
      <c r="H297" s="1058"/>
      <c r="I297" s="684" t="str">
        <f t="shared" si="32"/>
        <v/>
      </c>
      <c r="J297" s="685">
        <f t="shared" si="33"/>
        <v>0</v>
      </c>
      <c r="K297" s="1258"/>
      <c r="L297" s="1251"/>
      <c r="M297" s="1257"/>
      <c r="N297" s="719" t="str">
        <f t="shared" si="36"/>
        <v/>
      </c>
      <c r="O297" s="720" t="str">
        <f>IF('Set up ~ Config'!$G$32=6,IF(OR($N297=7,$N297=8,$N297=9),1,IF(OR($N297=10,$N297=11,$N297=12),2,IF(OR($N297=1,$N297=2,$N297=3),3,IF(OR($N297=4,$N297=5,$N297=6),4,"")))),IF(OR($N297=9,$N297=10,$N297=11),1,IF(OR($N297=12,$N297=1,$N297=2),2,IF(OR($N297=3,$N297=4,$N297=5),3,IF(OR($N297=6,$N297=7,$N297=8),4,"")))))</f>
        <v/>
      </c>
      <c r="P297" s="99"/>
      <c r="Q297" s="62"/>
      <c r="R297" s="62"/>
      <c r="S297" s="51"/>
      <c r="T297" s="51"/>
      <c r="U297" s="51"/>
      <c r="V297" s="51"/>
      <c r="W297" s="51"/>
      <c r="X297" s="51"/>
      <c r="Y297" s="51"/>
      <c r="Z297" s="51"/>
      <c r="AA297" s="51"/>
      <c r="AB297" s="51"/>
      <c r="AC297" s="51"/>
      <c r="AD297" s="51"/>
      <c r="AE297" s="51"/>
      <c r="AF297" s="51"/>
      <c r="AG297" s="51"/>
      <c r="AH297" s="94"/>
      <c r="AI297" s="94"/>
      <c r="AJ297" s="94"/>
      <c r="AK297" s="94"/>
      <c r="AL297" s="94"/>
      <c r="AM297" s="94"/>
      <c r="AN297" s="94"/>
      <c r="AO297" s="95"/>
      <c r="AP297" s="686">
        <f t="shared" si="37"/>
        <v>0</v>
      </c>
      <c r="AQ297" s="42"/>
      <c r="AR297" s="42"/>
      <c r="AS297" s="42"/>
      <c r="AT297" s="43"/>
      <c r="AU297" s="687">
        <f t="shared" si="38"/>
        <v>0</v>
      </c>
      <c r="AV297" s="42"/>
      <c r="AW297" s="42"/>
      <c r="AX297" s="42"/>
      <c r="AY297" s="43"/>
      <c r="AZ297" s="486"/>
      <c r="BA297" s="51"/>
      <c r="BB297" s="51"/>
      <c r="BC297" s="51"/>
      <c r="BD297" s="51"/>
      <c r="BE297" s="51"/>
      <c r="BF297" s="51"/>
      <c r="BG297" s="51"/>
      <c r="BH297" s="94"/>
      <c r="BI297" s="94"/>
      <c r="BJ297" s="94"/>
      <c r="BK297" s="94"/>
      <c r="BL297" s="94"/>
      <c r="BM297" s="483"/>
      <c r="BN297" s="94"/>
      <c r="BO297" s="94"/>
      <c r="BP297" s="94"/>
      <c r="BQ297" s="94"/>
      <c r="BR297" s="94"/>
      <c r="BS297" s="94"/>
      <c r="BT297" s="94"/>
      <c r="BU297" s="94"/>
      <c r="BV297" s="94"/>
      <c r="BW297" s="688">
        <f t="shared" si="34"/>
        <v>0</v>
      </c>
      <c r="BX297" s="51"/>
      <c r="BY297" s="51"/>
      <c r="BZ297" s="51"/>
      <c r="CA297" s="51"/>
      <c r="CB297" s="51"/>
      <c r="CC297" s="51"/>
      <c r="CD297" s="97"/>
      <c r="CE297" s="479"/>
      <c r="CF297" s="51"/>
      <c r="CG297" s="51"/>
      <c r="CH297" s="62"/>
      <c r="CI297" s="62"/>
      <c r="CJ297" s="51"/>
      <c r="CK297" s="51"/>
      <c r="CL297" s="95"/>
      <c r="CM297" s="93"/>
      <c r="CN297" s="51"/>
      <c r="CO297" s="51"/>
      <c r="CP297" s="51"/>
      <c r="CQ297" s="51"/>
      <c r="CR297" s="51"/>
      <c r="CS297" s="51"/>
      <c r="CT297" s="51"/>
      <c r="CU297" s="95"/>
      <c r="CV297" s="93"/>
      <c r="CW297" s="51"/>
      <c r="CX297" s="51"/>
      <c r="CY297" s="51"/>
      <c r="CZ297" s="51"/>
      <c r="DA297" s="51"/>
      <c r="DB297" s="51"/>
      <c r="DC297" s="51"/>
      <c r="DD297" s="95"/>
      <c r="DE297" s="93"/>
      <c r="DF297" s="51"/>
      <c r="DG297" s="51"/>
      <c r="DH297" s="51"/>
      <c r="DI297" s="51"/>
      <c r="DJ297" s="51"/>
      <c r="DK297" s="51"/>
      <c r="DL297" s="95"/>
      <c r="DM297" s="478"/>
      <c r="DN297" s="682">
        <f t="shared" si="39"/>
        <v>0</v>
      </c>
      <c r="DO297" s="683"/>
    </row>
    <row r="298" spans="1:119" ht="25.5" customHeight="1" thickTop="1" thickBot="1" x14ac:dyDescent="0.2">
      <c r="A298" s="676">
        <f t="shared" si="35"/>
        <v>283</v>
      </c>
      <c r="B298" s="1054"/>
      <c r="C298" s="1055"/>
      <c r="D298" s="83"/>
      <c r="E298" s="954"/>
      <c r="F298" s="52"/>
      <c r="G298" s="103"/>
      <c r="H298" s="1058"/>
      <c r="I298" s="684" t="str">
        <f t="shared" si="32"/>
        <v/>
      </c>
      <c r="J298" s="685">
        <f t="shared" si="33"/>
        <v>0</v>
      </c>
      <c r="K298" s="1258"/>
      <c r="L298" s="1251"/>
      <c r="M298" s="1257"/>
      <c r="N298" s="719" t="str">
        <f t="shared" si="36"/>
        <v/>
      </c>
      <c r="O298" s="720" t="str">
        <f>IF('Set up ~ Config'!$G$32=6,IF(OR($N298=7,$N298=8,$N298=9),1,IF(OR($N298=10,$N298=11,$N298=12),2,IF(OR($N298=1,$N298=2,$N298=3),3,IF(OR($N298=4,$N298=5,$N298=6),4,"")))),IF(OR($N298=9,$N298=10,$N298=11),1,IF(OR($N298=12,$N298=1,$N298=2),2,IF(OR($N298=3,$N298=4,$N298=5),3,IF(OR($N298=6,$N298=7,$N298=8),4,"")))))</f>
        <v/>
      </c>
      <c r="P298" s="99"/>
      <c r="Q298" s="62"/>
      <c r="R298" s="62"/>
      <c r="S298" s="51"/>
      <c r="T298" s="51"/>
      <c r="U298" s="51"/>
      <c r="V298" s="51"/>
      <c r="W298" s="51"/>
      <c r="X298" s="51"/>
      <c r="Y298" s="51"/>
      <c r="Z298" s="51"/>
      <c r="AA298" s="51"/>
      <c r="AB298" s="51"/>
      <c r="AC298" s="51"/>
      <c r="AD298" s="51"/>
      <c r="AE298" s="51"/>
      <c r="AF298" s="51"/>
      <c r="AG298" s="51"/>
      <c r="AH298" s="94"/>
      <c r="AI298" s="94"/>
      <c r="AJ298" s="94"/>
      <c r="AK298" s="94"/>
      <c r="AL298" s="94"/>
      <c r="AM298" s="94"/>
      <c r="AN298" s="94"/>
      <c r="AO298" s="95"/>
      <c r="AP298" s="686">
        <f t="shared" si="37"/>
        <v>0</v>
      </c>
      <c r="AQ298" s="42"/>
      <c r="AR298" s="42"/>
      <c r="AS298" s="42"/>
      <c r="AT298" s="43"/>
      <c r="AU298" s="687">
        <f t="shared" si="38"/>
        <v>0</v>
      </c>
      <c r="AV298" s="42"/>
      <c r="AW298" s="42"/>
      <c r="AX298" s="42"/>
      <c r="AY298" s="43"/>
      <c r="AZ298" s="486"/>
      <c r="BA298" s="51"/>
      <c r="BB298" s="51"/>
      <c r="BC298" s="51"/>
      <c r="BD298" s="51"/>
      <c r="BE298" s="51"/>
      <c r="BF298" s="51"/>
      <c r="BG298" s="51"/>
      <c r="BH298" s="94"/>
      <c r="BI298" s="94"/>
      <c r="BJ298" s="94"/>
      <c r="BK298" s="94"/>
      <c r="BL298" s="94"/>
      <c r="BM298" s="483"/>
      <c r="BN298" s="94"/>
      <c r="BO298" s="94"/>
      <c r="BP298" s="94"/>
      <c r="BQ298" s="94"/>
      <c r="BR298" s="94"/>
      <c r="BS298" s="94"/>
      <c r="BT298" s="94"/>
      <c r="BU298" s="94"/>
      <c r="BV298" s="94"/>
      <c r="BW298" s="688">
        <f t="shared" si="34"/>
        <v>0</v>
      </c>
      <c r="BX298" s="51"/>
      <c r="BY298" s="51"/>
      <c r="BZ298" s="51"/>
      <c r="CA298" s="51"/>
      <c r="CB298" s="51"/>
      <c r="CC298" s="51"/>
      <c r="CD298" s="97"/>
      <c r="CE298" s="479"/>
      <c r="CF298" s="51"/>
      <c r="CG298" s="51"/>
      <c r="CH298" s="62"/>
      <c r="CI298" s="62"/>
      <c r="CJ298" s="51"/>
      <c r="CK298" s="51"/>
      <c r="CL298" s="95"/>
      <c r="CM298" s="93"/>
      <c r="CN298" s="51"/>
      <c r="CO298" s="51"/>
      <c r="CP298" s="51"/>
      <c r="CQ298" s="51"/>
      <c r="CR298" s="51"/>
      <c r="CS298" s="51"/>
      <c r="CT298" s="51"/>
      <c r="CU298" s="95"/>
      <c r="CV298" s="93"/>
      <c r="CW298" s="51"/>
      <c r="CX298" s="51"/>
      <c r="CY298" s="51"/>
      <c r="CZ298" s="51"/>
      <c r="DA298" s="51"/>
      <c r="DB298" s="51"/>
      <c r="DC298" s="51"/>
      <c r="DD298" s="95"/>
      <c r="DE298" s="93"/>
      <c r="DF298" s="51"/>
      <c r="DG298" s="51"/>
      <c r="DH298" s="51"/>
      <c r="DI298" s="51"/>
      <c r="DJ298" s="51"/>
      <c r="DK298" s="51"/>
      <c r="DL298" s="95"/>
      <c r="DM298" s="478"/>
      <c r="DN298" s="682">
        <f t="shared" si="39"/>
        <v>0</v>
      </c>
      <c r="DO298" s="683"/>
    </row>
    <row r="299" spans="1:119" ht="25.5" customHeight="1" thickTop="1" thickBot="1" x14ac:dyDescent="0.2">
      <c r="A299" s="676">
        <f t="shared" si="35"/>
        <v>284</v>
      </c>
      <c r="B299" s="1054"/>
      <c r="C299" s="1055"/>
      <c r="D299" s="83"/>
      <c r="E299" s="954"/>
      <c r="F299" s="52"/>
      <c r="G299" s="103"/>
      <c r="H299" s="1058"/>
      <c r="I299" s="684" t="str">
        <f t="shared" si="32"/>
        <v/>
      </c>
      <c r="J299" s="685">
        <f t="shared" si="33"/>
        <v>0</v>
      </c>
      <c r="K299" s="1258"/>
      <c r="L299" s="1251"/>
      <c r="M299" s="1257"/>
      <c r="N299" s="719" t="str">
        <f t="shared" si="36"/>
        <v/>
      </c>
      <c r="O299" s="720" t="str">
        <f>IF('Set up ~ Config'!$G$32=6,IF(OR($N299=7,$N299=8,$N299=9),1,IF(OR($N299=10,$N299=11,$N299=12),2,IF(OR($N299=1,$N299=2,$N299=3),3,IF(OR($N299=4,$N299=5,$N299=6),4,"")))),IF(OR($N299=9,$N299=10,$N299=11),1,IF(OR($N299=12,$N299=1,$N299=2),2,IF(OR($N299=3,$N299=4,$N299=5),3,IF(OR($N299=6,$N299=7,$N299=8),4,"")))))</f>
        <v/>
      </c>
      <c r="P299" s="99"/>
      <c r="Q299" s="62"/>
      <c r="R299" s="62"/>
      <c r="S299" s="51"/>
      <c r="T299" s="51"/>
      <c r="U299" s="51"/>
      <c r="V299" s="51"/>
      <c r="W299" s="51"/>
      <c r="X299" s="51"/>
      <c r="Y299" s="51"/>
      <c r="Z299" s="51"/>
      <c r="AA299" s="51"/>
      <c r="AB299" s="51"/>
      <c r="AC299" s="51"/>
      <c r="AD299" s="51"/>
      <c r="AE299" s="51"/>
      <c r="AF299" s="51"/>
      <c r="AG299" s="51"/>
      <c r="AH299" s="94"/>
      <c r="AI299" s="94"/>
      <c r="AJ299" s="94"/>
      <c r="AK299" s="94"/>
      <c r="AL299" s="94"/>
      <c r="AM299" s="94"/>
      <c r="AN299" s="94"/>
      <c r="AO299" s="95"/>
      <c r="AP299" s="686">
        <f t="shared" si="37"/>
        <v>0</v>
      </c>
      <c r="AQ299" s="42"/>
      <c r="AR299" s="42"/>
      <c r="AS299" s="42"/>
      <c r="AT299" s="43"/>
      <c r="AU299" s="687">
        <f t="shared" si="38"/>
        <v>0</v>
      </c>
      <c r="AV299" s="42"/>
      <c r="AW299" s="42"/>
      <c r="AX299" s="42"/>
      <c r="AY299" s="43"/>
      <c r="AZ299" s="486"/>
      <c r="BA299" s="51"/>
      <c r="BB299" s="51"/>
      <c r="BC299" s="51"/>
      <c r="BD299" s="51"/>
      <c r="BE299" s="51"/>
      <c r="BF299" s="51"/>
      <c r="BG299" s="51"/>
      <c r="BH299" s="94"/>
      <c r="BI299" s="94"/>
      <c r="BJ299" s="94"/>
      <c r="BK299" s="94"/>
      <c r="BL299" s="94"/>
      <c r="BM299" s="483"/>
      <c r="BN299" s="94"/>
      <c r="BO299" s="94"/>
      <c r="BP299" s="94"/>
      <c r="BQ299" s="94"/>
      <c r="BR299" s="94"/>
      <c r="BS299" s="94"/>
      <c r="BT299" s="94"/>
      <c r="BU299" s="94"/>
      <c r="BV299" s="94"/>
      <c r="BW299" s="688">
        <f t="shared" si="34"/>
        <v>0</v>
      </c>
      <c r="BX299" s="51"/>
      <c r="BY299" s="51"/>
      <c r="BZ299" s="51"/>
      <c r="CA299" s="51"/>
      <c r="CB299" s="51"/>
      <c r="CC299" s="51"/>
      <c r="CD299" s="97"/>
      <c r="CE299" s="479"/>
      <c r="CF299" s="51"/>
      <c r="CG299" s="51"/>
      <c r="CH299" s="62"/>
      <c r="CI299" s="62"/>
      <c r="CJ299" s="51"/>
      <c r="CK299" s="51"/>
      <c r="CL299" s="95"/>
      <c r="CM299" s="93"/>
      <c r="CN299" s="51"/>
      <c r="CO299" s="51"/>
      <c r="CP299" s="51"/>
      <c r="CQ299" s="51"/>
      <c r="CR299" s="51"/>
      <c r="CS299" s="51"/>
      <c r="CT299" s="51"/>
      <c r="CU299" s="95"/>
      <c r="CV299" s="93"/>
      <c r="CW299" s="51"/>
      <c r="CX299" s="51"/>
      <c r="CY299" s="51"/>
      <c r="CZ299" s="51"/>
      <c r="DA299" s="51"/>
      <c r="DB299" s="51"/>
      <c r="DC299" s="51"/>
      <c r="DD299" s="95"/>
      <c r="DE299" s="93"/>
      <c r="DF299" s="51"/>
      <c r="DG299" s="51"/>
      <c r="DH299" s="51"/>
      <c r="DI299" s="51"/>
      <c r="DJ299" s="51"/>
      <c r="DK299" s="51"/>
      <c r="DL299" s="95"/>
      <c r="DM299" s="478"/>
      <c r="DN299" s="682">
        <f t="shared" si="39"/>
        <v>0</v>
      </c>
      <c r="DO299" s="683"/>
    </row>
    <row r="300" spans="1:119" ht="25.5" customHeight="1" thickTop="1" thickBot="1" x14ac:dyDescent="0.2">
      <c r="A300" s="676">
        <f t="shared" si="35"/>
        <v>285</v>
      </c>
      <c r="B300" s="1054"/>
      <c r="C300" s="1055"/>
      <c r="D300" s="83"/>
      <c r="E300" s="954"/>
      <c r="F300" s="52"/>
      <c r="G300" s="103"/>
      <c r="H300" s="1058"/>
      <c r="I300" s="684" t="str">
        <f t="shared" si="32"/>
        <v/>
      </c>
      <c r="J300" s="685">
        <f t="shared" si="33"/>
        <v>0</v>
      </c>
      <c r="K300" s="1258"/>
      <c r="L300" s="1251"/>
      <c r="M300" s="1257"/>
      <c r="N300" s="719" t="str">
        <f t="shared" si="36"/>
        <v/>
      </c>
      <c r="O300" s="720" t="str">
        <f>IF('Set up ~ Config'!$G$32=6,IF(OR($N300=7,$N300=8,$N300=9),1,IF(OR($N300=10,$N300=11,$N300=12),2,IF(OR($N300=1,$N300=2,$N300=3),3,IF(OR($N300=4,$N300=5,$N300=6),4,"")))),IF(OR($N300=9,$N300=10,$N300=11),1,IF(OR($N300=12,$N300=1,$N300=2),2,IF(OR($N300=3,$N300=4,$N300=5),3,IF(OR($N300=6,$N300=7,$N300=8),4,"")))))</f>
        <v/>
      </c>
      <c r="P300" s="99"/>
      <c r="Q300" s="62"/>
      <c r="R300" s="62"/>
      <c r="S300" s="51"/>
      <c r="T300" s="51"/>
      <c r="U300" s="51"/>
      <c r="V300" s="51"/>
      <c r="W300" s="51"/>
      <c r="X300" s="51"/>
      <c r="Y300" s="51"/>
      <c r="Z300" s="51"/>
      <c r="AA300" s="51"/>
      <c r="AB300" s="51"/>
      <c r="AC300" s="51"/>
      <c r="AD300" s="51"/>
      <c r="AE300" s="51"/>
      <c r="AF300" s="51"/>
      <c r="AG300" s="51"/>
      <c r="AH300" s="94"/>
      <c r="AI300" s="94"/>
      <c r="AJ300" s="94"/>
      <c r="AK300" s="94"/>
      <c r="AL300" s="94"/>
      <c r="AM300" s="94"/>
      <c r="AN300" s="94"/>
      <c r="AO300" s="95"/>
      <c r="AP300" s="686">
        <f t="shared" si="37"/>
        <v>0</v>
      </c>
      <c r="AQ300" s="42"/>
      <c r="AR300" s="42"/>
      <c r="AS300" s="42"/>
      <c r="AT300" s="43"/>
      <c r="AU300" s="687">
        <f t="shared" si="38"/>
        <v>0</v>
      </c>
      <c r="AV300" s="42"/>
      <c r="AW300" s="42"/>
      <c r="AX300" s="42"/>
      <c r="AY300" s="43"/>
      <c r="AZ300" s="486"/>
      <c r="BA300" s="51"/>
      <c r="BB300" s="51"/>
      <c r="BC300" s="51"/>
      <c r="BD300" s="51"/>
      <c r="BE300" s="51"/>
      <c r="BF300" s="51"/>
      <c r="BG300" s="51"/>
      <c r="BH300" s="94"/>
      <c r="BI300" s="94"/>
      <c r="BJ300" s="94"/>
      <c r="BK300" s="94"/>
      <c r="BL300" s="94"/>
      <c r="BM300" s="483"/>
      <c r="BN300" s="94"/>
      <c r="BO300" s="94"/>
      <c r="BP300" s="94"/>
      <c r="BQ300" s="94"/>
      <c r="BR300" s="94"/>
      <c r="BS300" s="94"/>
      <c r="BT300" s="94"/>
      <c r="BU300" s="94"/>
      <c r="BV300" s="94"/>
      <c r="BW300" s="688">
        <f t="shared" si="34"/>
        <v>0</v>
      </c>
      <c r="BX300" s="51"/>
      <c r="BY300" s="51"/>
      <c r="BZ300" s="51"/>
      <c r="CA300" s="51"/>
      <c r="CB300" s="51"/>
      <c r="CC300" s="51"/>
      <c r="CD300" s="97"/>
      <c r="CE300" s="479"/>
      <c r="CF300" s="51"/>
      <c r="CG300" s="51"/>
      <c r="CH300" s="62"/>
      <c r="CI300" s="62"/>
      <c r="CJ300" s="51"/>
      <c r="CK300" s="51"/>
      <c r="CL300" s="95"/>
      <c r="CM300" s="93"/>
      <c r="CN300" s="51"/>
      <c r="CO300" s="51"/>
      <c r="CP300" s="51"/>
      <c r="CQ300" s="51"/>
      <c r="CR300" s="51"/>
      <c r="CS300" s="51"/>
      <c r="CT300" s="51"/>
      <c r="CU300" s="95"/>
      <c r="CV300" s="93"/>
      <c r="CW300" s="51"/>
      <c r="CX300" s="51"/>
      <c r="CY300" s="51"/>
      <c r="CZ300" s="51"/>
      <c r="DA300" s="51"/>
      <c r="DB300" s="51"/>
      <c r="DC300" s="51"/>
      <c r="DD300" s="95"/>
      <c r="DE300" s="93"/>
      <c r="DF300" s="51"/>
      <c r="DG300" s="51"/>
      <c r="DH300" s="51"/>
      <c r="DI300" s="51"/>
      <c r="DJ300" s="51"/>
      <c r="DK300" s="51"/>
      <c r="DL300" s="95"/>
      <c r="DM300" s="478"/>
      <c r="DN300" s="682">
        <f t="shared" si="39"/>
        <v>0</v>
      </c>
      <c r="DO300" s="683"/>
    </row>
    <row r="301" spans="1:119" ht="25.5" customHeight="1" thickTop="1" thickBot="1" x14ac:dyDescent="0.2">
      <c r="A301" s="676">
        <f t="shared" si="35"/>
        <v>286</v>
      </c>
      <c r="B301" s="1054"/>
      <c r="C301" s="1055"/>
      <c r="D301" s="83"/>
      <c r="E301" s="954"/>
      <c r="F301" s="52"/>
      <c r="G301" s="103"/>
      <c r="H301" s="1058"/>
      <c r="I301" s="684" t="str">
        <f t="shared" si="32"/>
        <v/>
      </c>
      <c r="J301" s="685">
        <f t="shared" si="33"/>
        <v>0</v>
      </c>
      <c r="K301" s="1258"/>
      <c r="L301" s="1251"/>
      <c r="M301" s="1257"/>
      <c r="N301" s="719" t="str">
        <f t="shared" si="36"/>
        <v/>
      </c>
      <c r="O301" s="720" t="str">
        <f>IF('Set up ~ Config'!$G$32=6,IF(OR($N301=7,$N301=8,$N301=9),1,IF(OR($N301=10,$N301=11,$N301=12),2,IF(OR($N301=1,$N301=2,$N301=3),3,IF(OR($N301=4,$N301=5,$N301=6),4,"")))),IF(OR($N301=9,$N301=10,$N301=11),1,IF(OR($N301=12,$N301=1,$N301=2),2,IF(OR($N301=3,$N301=4,$N301=5),3,IF(OR($N301=6,$N301=7,$N301=8),4,"")))))</f>
        <v/>
      </c>
      <c r="P301" s="99"/>
      <c r="Q301" s="62"/>
      <c r="R301" s="62"/>
      <c r="S301" s="51"/>
      <c r="T301" s="51"/>
      <c r="U301" s="51"/>
      <c r="V301" s="51"/>
      <c r="W301" s="51"/>
      <c r="X301" s="51"/>
      <c r="Y301" s="51"/>
      <c r="Z301" s="51"/>
      <c r="AA301" s="51"/>
      <c r="AB301" s="51"/>
      <c r="AC301" s="51"/>
      <c r="AD301" s="51"/>
      <c r="AE301" s="51"/>
      <c r="AF301" s="51"/>
      <c r="AG301" s="51"/>
      <c r="AH301" s="94"/>
      <c r="AI301" s="94"/>
      <c r="AJ301" s="94"/>
      <c r="AK301" s="94"/>
      <c r="AL301" s="94"/>
      <c r="AM301" s="94"/>
      <c r="AN301" s="94"/>
      <c r="AO301" s="95"/>
      <c r="AP301" s="686">
        <f t="shared" si="37"/>
        <v>0</v>
      </c>
      <c r="AQ301" s="42"/>
      <c r="AR301" s="42"/>
      <c r="AS301" s="42"/>
      <c r="AT301" s="43"/>
      <c r="AU301" s="687">
        <f t="shared" si="38"/>
        <v>0</v>
      </c>
      <c r="AV301" s="42"/>
      <c r="AW301" s="42"/>
      <c r="AX301" s="42"/>
      <c r="AY301" s="43"/>
      <c r="AZ301" s="486"/>
      <c r="BA301" s="51"/>
      <c r="BB301" s="51"/>
      <c r="BC301" s="51"/>
      <c r="BD301" s="51"/>
      <c r="BE301" s="51"/>
      <c r="BF301" s="51"/>
      <c r="BG301" s="51"/>
      <c r="BH301" s="94"/>
      <c r="BI301" s="94"/>
      <c r="BJ301" s="94"/>
      <c r="BK301" s="94"/>
      <c r="BL301" s="94"/>
      <c r="BM301" s="483"/>
      <c r="BN301" s="94"/>
      <c r="BO301" s="94"/>
      <c r="BP301" s="94"/>
      <c r="BQ301" s="94"/>
      <c r="BR301" s="94"/>
      <c r="BS301" s="94"/>
      <c r="BT301" s="94"/>
      <c r="BU301" s="94"/>
      <c r="BV301" s="94"/>
      <c r="BW301" s="688">
        <f t="shared" si="34"/>
        <v>0</v>
      </c>
      <c r="BX301" s="51"/>
      <c r="BY301" s="51"/>
      <c r="BZ301" s="51"/>
      <c r="CA301" s="51"/>
      <c r="CB301" s="51"/>
      <c r="CC301" s="51"/>
      <c r="CD301" s="97"/>
      <c r="CE301" s="479"/>
      <c r="CF301" s="51"/>
      <c r="CG301" s="51"/>
      <c r="CH301" s="62"/>
      <c r="CI301" s="62"/>
      <c r="CJ301" s="51"/>
      <c r="CK301" s="51"/>
      <c r="CL301" s="95"/>
      <c r="CM301" s="93"/>
      <c r="CN301" s="51"/>
      <c r="CO301" s="51"/>
      <c r="CP301" s="51"/>
      <c r="CQ301" s="51"/>
      <c r="CR301" s="51"/>
      <c r="CS301" s="51"/>
      <c r="CT301" s="51"/>
      <c r="CU301" s="95"/>
      <c r="CV301" s="93"/>
      <c r="CW301" s="51"/>
      <c r="CX301" s="51"/>
      <c r="CY301" s="51"/>
      <c r="CZ301" s="51"/>
      <c r="DA301" s="51"/>
      <c r="DB301" s="51"/>
      <c r="DC301" s="51"/>
      <c r="DD301" s="95"/>
      <c r="DE301" s="93"/>
      <c r="DF301" s="51"/>
      <c r="DG301" s="51"/>
      <c r="DH301" s="51"/>
      <c r="DI301" s="51"/>
      <c r="DJ301" s="51"/>
      <c r="DK301" s="51"/>
      <c r="DL301" s="95"/>
      <c r="DM301" s="478"/>
      <c r="DN301" s="682">
        <f t="shared" si="39"/>
        <v>0</v>
      </c>
      <c r="DO301" s="683"/>
    </row>
    <row r="302" spans="1:119" ht="25.5" customHeight="1" thickTop="1" thickBot="1" x14ac:dyDescent="0.2">
      <c r="A302" s="676">
        <f t="shared" si="35"/>
        <v>287</v>
      </c>
      <c r="B302" s="1054"/>
      <c r="C302" s="1055"/>
      <c r="D302" s="83"/>
      <c r="E302" s="954"/>
      <c r="F302" s="52"/>
      <c r="G302" s="103"/>
      <c r="H302" s="1058"/>
      <c r="I302" s="684" t="str">
        <f t="shared" si="32"/>
        <v/>
      </c>
      <c r="J302" s="685">
        <f t="shared" si="33"/>
        <v>0</v>
      </c>
      <c r="K302" s="1258"/>
      <c r="L302" s="1251"/>
      <c r="M302" s="1257"/>
      <c r="N302" s="719" t="str">
        <f t="shared" si="36"/>
        <v/>
      </c>
      <c r="O302" s="720" t="str">
        <f>IF('Set up ~ Config'!$G$32=6,IF(OR($N302=7,$N302=8,$N302=9),1,IF(OR($N302=10,$N302=11,$N302=12),2,IF(OR($N302=1,$N302=2,$N302=3),3,IF(OR($N302=4,$N302=5,$N302=6),4,"")))),IF(OR($N302=9,$N302=10,$N302=11),1,IF(OR($N302=12,$N302=1,$N302=2),2,IF(OR($N302=3,$N302=4,$N302=5),3,IF(OR($N302=6,$N302=7,$N302=8),4,"")))))</f>
        <v/>
      </c>
      <c r="P302" s="99"/>
      <c r="Q302" s="62"/>
      <c r="R302" s="62"/>
      <c r="S302" s="51"/>
      <c r="T302" s="51"/>
      <c r="U302" s="51"/>
      <c r="V302" s="51"/>
      <c r="W302" s="51"/>
      <c r="X302" s="51"/>
      <c r="Y302" s="51"/>
      <c r="Z302" s="51"/>
      <c r="AA302" s="51"/>
      <c r="AB302" s="51"/>
      <c r="AC302" s="51"/>
      <c r="AD302" s="51"/>
      <c r="AE302" s="51"/>
      <c r="AF302" s="51"/>
      <c r="AG302" s="51"/>
      <c r="AH302" s="94"/>
      <c r="AI302" s="94"/>
      <c r="AJ302" s="94"/>
      <c r="AK302" s="94"/>
      <c r="AL302" s="94"/>
      <c r="AM302" s="94"/>
      <c r="AN302" s="94"/>
      <c r="AO302" s="95"/>
      <c r="AP302" s="686">
        <f t="shared" si="37"/>
        <v>0</v>
      </c>
      <c r="AQ302" s="42"/>
      <c r="AR302" s="42"/>
      <c r="AS302" s="42"/>
      <c r="AT302" s="43"/>
      <c r="AU302" s="687">
        <f t="shared" si="38"/>
        <v>0</v>
      </c>
      <c r="AV302" s="42"/>
      <c r="AW302" s="42"/>
      <c r="AX302" s="42"/>
      <c r="AY302" s="43"/>
      <c r="AZ302" s="486"/>
      <c r="BA302" s="51"/>
      <c r="BB302" s="51"/>
      <c r="BC302" s="51"/>
      <c r="BD302" s="51"/>
      <c r="BE302" s="51"/>
      <c r="BF302" s="51"/>
      <c r="BG302" s="51"/>
      <c r="BH302" s="94"/>
      <c r="BI302" s="94"/>
      <c r="BJ302" s="94"/>
      <c r="BK302" s="94"/>
      <c r="BL302" s="94"/>
      <c r="BM302" s="483"/>
      <c r="BN302" s="94"/>
      <c r="BO302" s="94"/>
      <c r="BP302" s="94"/>
      <c r="BQ302" s="94"/>
      <c r="BR302" s="94"/>
      <c r="BS302" s="94"/>
      <c r="BT302" s="94"/>
      <c r="BU302" s="94"/>
      <c r="BV302" s="94"/>
      <c r="BW302" s="688">
        <f t="shared" si="34"/>
        <v>0</v>
      </c>
      <c r="BX302" s="51"/>
      <c r="BY302" s="51"/>
      <c r="BZ302" s="51"/>
      <c r="CA302" s="51"/>
      <c r="CB302" s="51"/>
      <c r="CC302" s="51"/>
      <c r="CD302" s="97"/>
      <c r="CE302" s="479"/>
      <c r="CF302" s="51"/>
      <c r="CG302" s="51"/>
      <c r="CH302" s="62"/>
      <c r="CI302" s="62"/>
      <c r="CJ302" s="51"/>
      <c r="CK302" s="51"/>
      <c r="CL302" s="95"/>
      <c r="CM302" s="93"/>
      <c r="CN302" s="51"/>
      <c r="CO302" s="51"/>
      <c r="CP302" s="51"/>
      <c r="CQ302" s="51"/>
      <c r="CR302" s="51"/>
      <c r="CS302" s="51"/>
      <c r="CT302" s="51"/>
      <c r="CU302" s="95"/>
      <c r="CV302" s="93"/>
      <c r="CW302" s="51"/>
      <c r="CX302" s="51"/>
      <c r="CY302" s="51"/>
      <c r="CZ302" s="51"/>
      <c r="DA302" s="51"/>
      <c r="DB302" s="51"/>
      <c r="DC302" s="51"/>
      <c r="DD302" s="95"/>
      <c r="DE302" s="93"/>
      <c r="DF302" s="51"/>
      <c r="DG302" s="51"/>
      <c r="DH302" s="51"/>
      <c r="DI302" s="51"/>
      <c r="DJ302" s="51"/>
      <c r="DK302" s="51"/>
      <c r="DL302" s="95"/>
      <c r="DM302" s="478"/>
      <c r="DN302" s="682">
        <f t="shared" si="39"/>
        <v>0</v>
      </c>
      <c r="DO302" s="683"/>
    </row>
    <row r="303" spans="1:119" ht="25.5" customHeight="1" thickTop="1" thickBot="1" x14ac:dyDescent="0.2">
      <c r="A303" s="676">
        <f t="shared" si="35"/>
        <v>288</v>
      </c>
      <c r="B303" s="1054"/>
      <c r="C303" s="1055"/>
      <c r="D303" s="83"/>
      <c r="E303" s="954"/>
      <c r="F303" s="52"/>
      <c r="G303" s="103"/>
      <c r="H303" s="1058"/>
      <c r="I303" s="684" t="str">
        <f t="shared" si="32"/>
        <v/>
      </c>
      <c r="J303" s="685">
        <f t="shared" si="33"/>
        <v>0</v>
      </c>
      <c r="K303" s="1258"/>
      <c r="L303" s="1251"/>
      <c r="M303" s="1257"/>
      <c r="N303" s="719" t="str">
        <f t="shared" si="36"/>
        <v/>
      </c>
      <c r="O303" s="720" t="str">
        <f>IF('Set up ~ Config'!$G$32=6,IF(OR($N303=7,$N303=8,$N303=9),1,IF(OR($N303=10,$N303=11,$N303=12),2,IF(OR($N303=1,$N303=2,$N303=3),3,IF(OR($N303=4,$N303=5,$N303=6),4,"")))),IF(OR($N303=9,$N303=10,$N303=11),1,IF(OR($N303=12,$N303=1,$N303=2),2,IF(OR($N303=3,$N303=4,$N303=5),3,IF(OR($N303=6,$N303=7,$N303=8),4,"")))))</f>
        <v/>
      </c>
      <c r="P303" s="99"/>
      <c r="Q303" s="62"/>
      <c r="R303" s="62"/>
      <c r="S303" s="51"/>
      <c r="T303" s="51"/>
      <c r="U303" s="51"/>
      <c r="V303" s="51"/>
      <c r="W303" s="51"/>
      <c r="X303" s="51"/>
      <c r="Y303" s="51"/>
      <c r="Z303" s="51"/>
      <c r="AA303" s="51"/>
      <c r="AB303" s="51"/>
      <c r="AC303" s="51"/>
      <c r="AD303" s="51"/>
      <c r="AE303" s="51"/>
      <c r="AF303" s="51"/>
      <c r="AG303" s="51"/>
      <c r="AH303" s="94"/>
      <c r="AI303" s="94"/>
      <c r="AJ303" s="94"/>
      <c r="AK303" s="94"/>
      <c r="AL303" s="94"/>
      <c r="AM303" s="94"/>
      <c r="AN303" s="94"/>
      <c r="AO303" s="95"/>
      <c r="AP303" s="686">
        <f t="shared" si="37"/>
        <v>0</v>
      </c>
      <c r="AQ303" s="42"/>
      <c r="AR303" s="42"/>
      <c r="AS303" s="42"/>
      <c r="AT303" s="43"/>
      <c r="AU303" s="687">
        <f t="shared" si="38"/>
        <v>0</v>
      </c>
      <c r="AV303" s="42"/>
      <c r="AW303" s="42"/>
      <c r="AX303" s="42"/>
      <c r="AY303" s="43"/>
      <c r="AZ303" s="486"/>
      <c r="BA303" s="51"/>
      <c r="BB303" s="51"/>
      <c r="BC303" s="51"/>
      <c r="BD303" s="51"/>
      <c r="BE303" s="51"/>
      <c r="BF303" s="51"/>
      <c r="BG303" s="51"/>
      <c r="BH303" s="94"/>
      <c r="BI303" s="94"/>
      <c r="BJ303" s="94"/>
      <c r="BK303" s="94"/>
      <c r="BL303" s="94"/>
      <c r="BM303" s="483"/>
      <c r="BN303" s="94"/>
      <c r="BO303" s="94"/>
      <c r="BP303" s="94"/>
      <c r="BQ303" s="94"/>
      <c r="BR303" s="94"/>
      <c r="BS303" s="94"/>
      <c r="BT303" s="94"/>
      <c r="BU303" s="94"/>
      <c r="BV303" s="94"/>
      <c r="BW303" s="688">
        <f t="shared" si="34"/>
        <v>0</v>
      </c>
      <c r="BX303" s="51"/>
      <c r="BY303" s="51"/>
      <c r="BZ303" s="51"/>
      <c r="CA303" s="51"/>
      <c r="CB303" s="51"/>
      <c r="CC303" s="51"/>
      <c r="CD303" s="97"/>
      <c r="CE303" s="479"/>
      <c r="CF303" s="51"/>
      <c r="CG303" s="51"/>
      <c r="CH303" s="62"/>
      <c r="CI303" s="62"/>
      <c r="CJ303" s="51"/>
      <c r="CK303" s="51"/>
      <c r="CL303" s="95"/>
      <c r="CM303" s="93"/>
      <c r="CN303" s="51"/>
      <c r="CO303" s="51"/>
      <c r="CP303" s="51"/>
      <c r="CQ303" s="51"/>
      <c r="CR303" s="51"/>
      <c r="CS303" s="51"/>
      <c r="CT303" s="51"/>
      <c r="CU303" s="95"/>
      <c r="CV303" s="93"/>
      <c r="CW303" s="51"/>
      <c r="CX303" s="51"/>
      <c r="CY303" s="51"/>
      <c r="CZ303" s="51"/>
      <c r="DA303" s="51"/>
      <c r="DB303" s="51"/>
      <c r="DC303" s="51"/>
      <c r="DD303" s="95"/>
      <c r="DE303" s="93"/>
      <c r="DF303" s="51"/>
      <c r="DG303" s="51"/>
      <c r="DH303" s="51"/>
      <c r="DI303" s="51"/>
      <c r="DJ303" s="51"/>
      <c r="DK303" s="51"/>
      <c r="DL303" s="95"/>
      <c r="DM303" s="478"/>
      <c r="DN303" s="682">
        <f t="shared" si="39"/>
        <v>0</v>
      </c>
      <c r="DO303" s="683"/>
    </row>
    <row r="304" spans="1:119" ht="25.5" customHeight="1" thickTop="1" thickBot="1" x14ac:dyDescent="0.2">
      <c r="A304" s="676">
        <f t="shared" si="35"/>
        <v>289</v>
      </c>
      <c r="B304" s="1054"/>
      <c r="C304" s="1055"/>
      <c r="D304" s="83"/>
      <c r="E304" s="954"/>
      <c r="F304" s="52"/>
      <c r="G304" s="103"/>
      <c r="H304" s="1058"/>
      <c r="I304" s="684" t="str">
        <f t="shared" si="32"/>
        <v/>
      </c>
      <c r="J304" s="685">
        <f t="shared" si="33"/>
        <v>0</v>
      </c>
      <c r="K304" s="1258"/>
      <c r="L304" s="1251"/>
      <c r="M304" s="1257"/>
      <c r="N304" s="719" t="str">
        <f t="shared" si="36"/>
        <v/>
      </c>
      <c r="O304" s="720" t="str">
        <f>IF('Set up ~ Config'!$G$32=6,IF(OR($N304=7,$N304=8,$N304=9),1,IF(OR($N304=10,$N304=11,$N304=12),2,IF(OR($N304=1,$N304=2,$N304=3),3,IF(OR($N304=4,$N304=5,$N304=6),4,"")))),IF(OR($N304=9,$N304=10,$N304=11),1,IF(OR($N304=12,$N304=1,$N304=2),2,IF(OR($N304=3,$N304=4,$N304=5),3,IF(OR($N304=6,$N304=7,$N304=8),4,"")))))</f>
        <v/>
      </c>
      <c r="P304" s="99"/>
      <c r="Q304" s="62"/>
      <c r="R304" s="62"/>
      <c r="S304" s="51"/>
      <c r="T304" s="51"/>
      <c r="U304" s="51"/>
      <c r="V304" s="51"/>
      <c r="W304" s="51"/>
      <c r="X304" s="51"/>
      <c r="Y304" s="51"/>
      <c r="Z304" s="51"/>
      <c r="AA304" s="51"/>
      <c r="AB304" s="51"/>
      <c r="AC304" s="51"/>
      <c r="AD304" s="51"/>
      <c r="AE304" s="51"/>
      <c r="AF304" s="51"/>
      <c r="AG304" s="51"/>
      <c r="AH304" s="94"/>
      <c r="AI304" s="94"/>
      <c r="AJ304" s="94"/>
      <c r="AK304" s="94"/>
      <c r="AL304" s="94"/>
      <c r="AM304" s="94"/>
      <c r="AN304" s="94"/>
      <c r="AO304" s="95"/>
      <c r="AP304" s="686">
        <f t="shared" si="37"/>
        <v>0</v>
      </c>
      <c r="AQ304" s="42"/>
      <c r="AR304" s="42"/>
      <c r="AS304" s="42"/>
      <c r="AT304" s="43"/>
      <c r="AU304" s="687">
        <f t="shared" si="38"/>
        <v>0</v>
      </c>
      <c r="AV304" s="42"/>
      <c r="AW304" s="42"/>
      <c r="AX304" s="42"/>
      <c r="AY304" s="43"/>
      <c r="AZ304" s="486"/>
      <c r="BA304" s="51"/>
      <c r="BB304" s="51"/>
      <c r="BC304" s="51"/>
      <c r="BD304" s="51"/>
      <c r="BE304" s="51"/>
      <c r="BF304" s="51"/>
      <c r="BG304" s="51"/>
      <c r="BH304" s="94"/>
      <c r="BI304" s="94"/>
      <c r="BJ304" s="94"/>
      <c r="BK304" s="94"/>
      <c r="BL304" s="94"/>
      <c r="BM304" s="483"/>
      <c r="BN304" s="94"/>
      <c r="BO304" s="94"/>
      <c r="BP304" s="94"/>
      <c r="BQ304" s="94"/>
      <c r="BR304" s="94"/>
      <c r="BS304" s="94"/>
      <c r="BT304" s="94"/>
      <c r="BU304" s="94"/>
      <c r="BV304" s="94"/>
      <c r="BW304" s="688">
        <f t="shared" si="34"/>
        <v>0</v>
      </c>
      <c r="BX304" s="51"/>
      <c r="BY304" s="51"/>
      <c r="BZ304" s="51"/>
      <c r="CA304" s="51"/>
      <c r="CB304" s="51"/>
      <c r="CC304" s="51"/>
      <c r="CD304" s="97"/>
      <c r="CE304" s="479"/>
      <c r="CF304" s="51"/>
      <c r="CG304" s="51"/>
      <c r="CH304" s="62"/>
      <c r="CI304" s="62"/>
      <c r="CJ304" s="51"/>
      <c r="CK304" s="51"/>
      <c r="CL304" s="95"/>
      <c r="CM304" s="93"/>
      <c r="CN304" s="51"/>
      <c r="CO304" s="51"/>
      <c r="CP304" s="51"/>
      <c r="CQ304" s="51"/>
      <c r="CR304" s="51"/>
      <c r="CS304" s="51"/>
      <c r="CT304" s="51"/>
      <c r="CU304" s="95"/>
      <c r="CV304" s="93"/>
      <c r="CW304" s="51"/>
      <c r="CX304" s="51"/>
      <c r="CY304" s="51"/>
      <c r="CZ304" s="51"/>
      <c r="DA304" s="51"/>
      <c r="DB304" s="51"/>
      <c r="DC304" s="51"/>
      <c r="DD304" s="95"/>
      <c r="DE304" s="93"/>
      <c r="DF304" s="51"/>
      <c r="DG304" s="51"/>
      <c r="DH304" s="51"/>
      <c r="DI304" s="51"/>
      <c r="DJ304" s="51"/>
      <c r="DK304" s="51"/>
      <c r="DL304" s="95"/>
      <c r="DM304" s="478"/>
      <c r="DN304" s="682">
        <f t="shared" si="39"/>
        <v>0</v>
      </c>
      <c r="DO304" s="683"/>
    </row>
    <row r="305" spans="1:119" ht="25.5" customHeight="1" thickTop="1" thickBot="1" x14ac:dyDescent="0.2">
      <c r="A305" s="676">
        <f t="shared" si="35"/>
        <v>290</v>
      </c>
      <c r="B305" s="1054"/>
      <c r="C305" s="1055"/>
      <c r="D305" s="83"/>
      <c r="E305" s="954"/>
      <c r="F305" s="52"/>
      <c r="G305" s="103"/>
      <c r="H305" s="1058"/>
      <c r="I305" s="684" t="str">
        <f t="shared" si="32"/>
        <v/>
      </c>
      <c r="J305" s="685">
        <f t="shared" si="33"/>
        <v>0</v>
      </c>
      <c r="K305" s="1258"/>
      <c r="L305" s="1251"/>
      <c r="M305" s="1257"/>
      <c r="N305" s="719" t="str">
        <f t="shared" si="36"/>
        <v/>
      </c>
      <c r="O305" s="720" t="str">
        <f>IF('Set up ~ Config'!$G$32=6,IF(OR($N305=7,$N305=8,$N305=9),1,IF(OR($N305=10,$N305=11,$N305=12),2,IF(OR($N305=1,$N305=2,$N305=3),3,IF(OR($N305=4,$N305=5,$N305=6),4,"")))),IF(OR($N305=9,$N305=10,$N305=11),1,IF(OR($N305=12,$N305=1,$N305=2),2,IF(OR($N305=3,$N305=4,$N305=5),3,IF(OR($N305=6,$N305=7,$N305=8),4,"")))))</f>
        <v/>
      </c>
      <c r="P305" s="99"/>
      <c r="Q305" s="62"/>
      <c r="R305" s="62"/>
      <c r="S305" s="51"/>
      <c r="T305" s="51"/>
      <c r="U305" s="51"/>
      <c r="V305" s="51"/>
      <c r="W305" s="51"/>
      <c r="X305" s="51"/>
      <c r="Y305" s="51"/>
      <c r="Z305" s="51"/>
      <c r="AA305" s="51"/>
      <c r="AB305" s="51"/>
      <c r="AC305" s="51"/>
      <c r="AD305" s="51"/>
      <c r="AE305" s="51"/>
      <c r="AF305" s="51"/>
      <c r="AG305" s="51"/>
      <c r="AH305" s="94"/>
      <c r="AI305" s="94"/>
      <c r="AJ305" s="94"/>
      <c r="AK305" s="94"/>
      <c r="AL305" s="94"/>
      <c r="AM305" s="94"/>
      <c r="AN305" s="94"/>
      <c r="AO305" s="95"/>
      <c r="AP305" s="686">
        <f t="shared" si="37"/>
        <v>0</v>
      </c>
      <c r="AQ305" s="42"/>
      <c r="AR305" s="42"/>
      <c r="AS305" s="42"/>
      <c r="AT305" s="43"/>
      <c r="AU305" s="687">
        <f t="shared" si="38"/>
        <v>0</v>
      </c>
      <c r="AV305" s="42"/>
      <c r="AW305" s="42"/>
      <c r="AX305" s="42"/>
      <c r="AY305" s="43"/>
      <c r="AZ305" s="486"/>
      <c r="BA305" s="51"/>
      <c r="BB305" s="51"/>
      <c r="BC305" s="51"/>
      <c r="BD305" s="51"/>
      <c r="BE305" s="51"/>
      <c r="BF305" s="51"/>
      <c r="BG305" s="51"/>
      <c r="BH305" s="94"/>
      <c r="BI305" s="94"/>
      <c r="BJ305" s="94"/>
      <c r="BK305" s="94"/>
      <c r="BL305" s="94"/>
      <c r="BM305" s="483"/>
      <c r="BN305" s="94"/>
      <c r="BO305" s="94"/>
      <c r="BP305" s="94"/>
      <c r="BQ305" s="94"/>
      <c r="BR305" s="94"/>
      <c r="BS305" s="94"/>
      <c r="BT305" s="94"/>
      <c r="BU305" s="94"/>
      <c r="BV305" s="94"/>
      <c r="BW305" s="688">
        <f t="shared" si="34"/>
        <v>0</v>
      </c>
      <c r="BX305" s="51"/>
      <c r="BY305" s="51"/>
      <c r="BZ305" s="51"/>
      <c r="CA305" s="51"/>
      <c r="CB305" s="51"/>
      <c r="CC305" s="51"/>
      <c r="CD305" s="97"/>
      <c r="CE305" s="479"/>
      <c r="CF305" s="51"/>
      <c r="CG305" s="51"/>
      <c r="CH305" s="62"/>
      <c r="CI305" s="62"/>
      <c r="CJ305" s="51"/>
      <c r="CK305" s="51"/>
      <c r="CL305" s="95"/>
      <c r="CM305" s="93"/>
      <c r="CN305" s="51"/>
      <c r="CO305" s="51"/>
      <c r="CP305" s="51"/>
      <c r="CQ305" s="51"/>
      <c r="CR305" s="51"/>
      <c r="CS305" s="51"/>
      <c r="CT305" s="51"/>
      <c r="CU305" s="95"/>
      <c r="CV305" s="93"/>
      <c r="CW305" s="51"/>
      <c r="CX305" s="51"/>
      <c r="CY305" s="51"/>
      <c r="CZ305" s="51"/>
      <c r="DA305" s="51"/>
      <c r="DB305" s="51"/>
      <c r="DC305" s="51"/>
      <c r="DD305" s="95"/>
      <c r="DE305" s="93"/>
      <c r="DF305" s="51"/>
      <c r="DG305" s="51"/>
      <c r="DH305" s="51"/>
      <c r="DI305" s="51"/>
      <c r="DJ305" s="51"/>
      <c r="DK305" s="51"/>
      <c r="DL305" s="95"/>
      <c r="DM305" s="478"/>
      <c r="DN305" s="682">
        <f t="shared" si="39"/>
        <v>0</v>
      </c>
      <c r="DO305" s="683"/>
    </row>
    <row r="306" spans="1:119" ht="25.5" customHeight="1" thickTop="1" thickBot="1" x14ac:dyDescent="0.2">
      <c r="A306" s="676">
        <f t="shared" si="35"/>
        <v>291</v>
      </c>
      <c r="B306" s="1054"/>
      <c r="C306" s="1055"/>
      <c r="D306" s="83"/>
      <c r="E306" s="954"/>
      <c r="F306" s="52"/>
      <c r="G306" s="103"/>
      <c r="H306" s="1058"/>
      <c r="I306" s="684" t="str">
        <f t="shared" si="32"/>
        <v/>
      </c>
      <c r="J306" s="685">
        <f t="shared" si="33"/>
        <v>0</v>
      </c>
      <c r="K306" s="1258"/>
      <c r="L306" s="1251"/>
      <c r="M306" s="1257"/>
      <c r="N306" s="719" t="str">
        <f t="shared" si="36"/>
        <v/>
      </c>
      <c r="O306" s="720" t="str">
        <f>IF('Set up ~ Config'!$G$32=6,IF(OR($N306=7,$N306=8,$N306=9),1,IF(OR($N306=10,$N306=11,$N306=12),2,IF(OR($N306=1,$N306=2,$N306=3),3,IF(OR($N306=4,$N306=5,$N306=6),4,"")))),IF(OR($N306=9,$N306=10,$N306=11),1,IF(OR($N306=12,$N306=1,$N306=2),2,IF(OR($N306=3,$N306=4,$N306=5),3,IF(OR($N306=6,$N306=7,$N306=8),4,"")))))</f>
        <v/>
      </c>
      <c r="P306" s="99"/>
      <c r="Q306" s="62"/>
      <c r="R306" s="62"/>
      <c r="S306" s="51"/>
      <c r="T306" s="51"/>
      <c r="U306" s="51"/>
      <c r="V306" s="51"/>
      <c r="W306" s="51"/>
      <c r="X306" s="51"/>
      <c r="Y306" s="51"/>
      <c r="Z306" s="51"/>
      <c r="AA306" s="51"/>
      <c r="AB306" s="51"/>
      <c r="AC306" s="51"/>
      <c r="AD306" s="51"/>
      <c r="AE306" s="51"/>
      <c r="AF306" s="51"/>
      <c r="AG306" s="51"/>
      <c r="AH306" s="94"/>
      <c r="AI306" s="94"/>
      <c r="AJ306" s="94"/>
      <c r="AK306" s="94"/>
      <c r="AL306" s="94"/>
      <c r="AM306" s="94"/>
      <c r="AN306" s="94"/>
      <c r="AO306" s="95"/>
      <c r="AP306" s="686">
        <f t="shared" si="37"/>
        <v>0</v>
      </c>
      <c r="AQ306" s="42"/>
      <c r="AR306" s="42"/>
      <c r="AS306" s="42"/>
      <c r="AT306" s="43"/>
      <c r="AU306" s="687">
        <f t="shared" si="38"/>
        <v>0</v>
      </c>
      <c r="AV306" s="42"/>
      <c r="AW306" s="42"/>
      <c r="AX306" s="42"/>
      <c r="AY306" s="43"/>
      <c r="AZ306" s="486"/>
      <c r="BA306" s="51"/>
      <c r="BB306" s="51"/>
      <c r="BC306" s="51"/>
      <c r="BD306" s="51"/>
      <c r="BE306" s="51"/>
      <c r="BF306" s="51"/>
      <c r="BG306" s="51"/>
      <c r="BH306" s="94"/>
      <c r="BI306" s="94"/>
      <c r="BJ306" s="94"/>
      <c r="BK306" s="94"/>
      <c r="BL306" s="94"/>
      <c r="BM306" s="483"/>
      <c r="BN306" s="94"/>
      <c r="BO306" s="94"/>
      <c r="BP306" s="94"/>
      <c r="BQ306" s="94"/>
      <c r="BR306" s="94"/>
      <c r="BS306" s="94"/>
      <c r="BT306" s="94"/>
      <c r="BU306" s="94"/>
      <c r="BV306" s="94"/>
      <c r="BW306" s="688">
        <f t="shared" si="34"/>
        <v>0</v>
      </c>
      <c r="BX306" s="51"/>
      <c r="BY306" s="51"/>
      <c r="BZ306" s="51"/>
      <c r="CA306" s="51"/>
      <c r="CB306" s="51"/>
      <c r="CC306" s="51"/>
      <c r="CD306" s="97"/>
      <c r="CE306" s="479"/>
      <c r="CF306" s="51"/>
      <c r="CG306" s="51"/>
      <c r="CH306" s="62"/>
      <c r="CI306" s="62"/>
      <c r="CJ306" s="51"/>
      <c r="CK306" s="51"/>
      <c r="CL306" s="95"/>
      <c r="CM306" s="93"/>
      <c r="CN306" s="51"/>
      <c r="CO306" s="51"/>
      <c r="CP306" s="51"/>
      <c r="CQ306" s="51"/>
      <c r="CR306" s="51"/>
      <c r="CS306" s="51"/>
      <c r="CT306" s="51"/>
      <c r="CU306" s="95"/>
      <c r="CV306" s="93"/>
      <c r="CW306" s="51"/>
      <c r="CX306" s="51"/>
      <c r="CY306" s="51"/>
      <c r="CZ306" s="51"/>
      <c r="DA306" s="51"/>
      <c r="DB306" s="51"/>
      <c r="DC306" s="51"/>
      <c r="DD306" s="95"/>
      <c r="DE306" s="93"/>
      <c r="DF306" s="51"/>
      <c r="DG306" s="51"/>
      <c r="DH306" s="51"/>
      <c r="DI306" s="51"/>
      <c r="DJ306" s="51"/>
      <c r="DK306" s="51"/>
      <c r="DL306" s="95"/>
      <c r="DM306" s="478"/>
      <c r="DN306" s="682">
        <f t="shared" si="39"/>
        <v>0</v>
      </c>
      <c r="DO306" s="683"/>
    </row>
    <row r="307" spans="1:119" ht="25.5" customHeight="1" thickTop="1" thickBot="1" x14ac:dyDescent="0.2">
      <c r="A307" s="676">
        <f t="shared" si="35"/>
        <v>292</v>
      </c>
      <c r="B307" s="1054"/>
      <c r="C307" s="1055"/>
      <c r="D307" s="83"/>
      <c r="E307" s="954"/>
      <c r="F307" s="52"/>
      <c r="G307" s="103"/>
      <c r="H307" s="1058"/>
      <c r="I307" s="684" t="str">
        <f t="shared" si="32"/>
        <v/>
      </c>
      <c r="J307" s="685">
        <f t="shared" si="33"/>
        <v>0</v>
      </c>
      <c r="K307" s="1258"/>
      <c r="L307" s="1251"/>
      <c r="M307" s="1257"/>
      <c r="N307" s="719" t="str">
        <f t="shared" si="36"/>
        <v/>
      </c>
      <c r="O307" s="720" t="str">
        <f>IF('Set up ~ Config'!$G$32=6,IF(OR($N307=7,$N307=8,$N307=9),1,IF(OR($N307=10,$N307=11,$N307=12),2,IF(OR($N307=1,$N307=2,$N307=3),3,IF(OR($N307=4,$N307=5,$N307=6),4,"")))),IF(OR($N307=9,$N307=10,$N307=11),1,IF(OR($N307=12,$N307=1,$N307=2),2,IF(OR($N307=3,$N307=4,$N307=5),3,IF(OR($N307=6,$N307=7,$N307=8),4,"")))))</f>
        <v/>
      </c>
      <c r="P307" s="99"/>
      <c r="Q307" s="62"/>
      <c r="R307" s="62"/>
      <c r="S307" s="51"/>
      <c r="T307" s="51"/>
      <c r="U307" s="51"/>
      <c r="V307" s="51"/>
      <c r="W307" s="51"/>
      <c r="X307" s="51"/>
      <c r="Y307" s="51"/>
      <c r="Z307" s="51"/>
      <c r="AA307" s="51"/>
      <c r="AB307" s="51"/>
      <c r="AC307" s="51"/>
      <c r="AD307" s="51"/>
      <c r="AE307" s="51"/>
      <c r="AF307" s="51"/>
      <c r="AG307" s="51"/>
      <c r="AH307" s="94"/>
      <c r="AI307" s="94"/>
      <c r="AJ307" s="94"/>
      <c r="AK307" s="94"/>
      <c r="AL307" s="94"/>
      <c r="AM307" s="94"/>
      <c r="AN307" s="94"/>
      <c r="AO307" s="95"/>
      <c r="AP307" s="686">
        <f t="shared" si="37"/>
        <v>0</v>
      </c>
      <c r="AQ307" s="42"/>
      <c r="AR307" s="42"/>
      <c r="AS307" s="42"/>
      <c r="AT307" s="43"/>
      <c r="AU307" s="687">
        <f t="shared" si="38"/>
        <v>0</v>
      </c>
      <c r="AV307" s="42"/>
      <c r="AW307" s="42"/>
      <c r="AX307" s="42"/>
      <c r="AY307" s="43"/>
      <c r="AZ307" s="486"/>
      <c r="BA307" s="51"/>
      <c r="BB307" s="51"/>
      <c r="BC307" s="51"/>
      <c r="BD307" s="51"/>
      <c r="BE307" s="51"/>
      <c r="BF307" s="51"/>
      <c r="BG307" s="51"/>
      <c r="BH307" s="94"/>
      <c r="BI307" s="94"/>
      <c r="BJ307" s="94"/>
      <c r="BK307" s="94"/>
      <c r="BL307" s="94"/>
      <c r="BM307" s="483"/>
      <c r="BN307" s="94"/>
      <c r="BO307" s="94"/>
      <c r="BP307" s="94"/>
      <c r="BQ307" s="94"/>
      <c r="BR307" s="94"/>
      <c r="BS307" s="94"/>
      <c r="BT307" s="94"/>
      <c r="BU307" s="94"/>
      <c r="BV307" s="94"/>
      <c r="BW307" s="688">
        <f t="shared" si="34"/>
        <v>0</v>
      </c>
      <c r="BX307" s="51"/>
      <c r="BY307" s="51"/>
      <c r="BZ307" s="51"/>
      <c r="CA307" s="51"/>
      <c r="CB307" s="51"/>
      <c r="CC307" s="51"/>
      <c r="CD307" s="97"/>
      <c r="CE307" s="479"/>
      <c r="CF307" s="51"/>
      <c r="CG307" s="51"/>
      <c r="CH307" s="62"/>
      <c r="CI307" s="62"/>
      <c r="CJ307" s="51"/>
      <c r="CK307" s="51"/>
      <c r="CL307" s="95"/>
      <c r="CM307" s="93"/>
      <c r="CN307" s="51"/>
      <c r="CO307" s="51"/>
      <c r="CP307" s="51"/>
      <c r="CQ307" s="51"/>
      <c r="CR307" s="51"/>
      <c r="CS307" s="51"/>
      <c r="CT307" s="51"/>
      <c r="CU307" s="95"/>
      <c r="CV307" s="93"/>
      <c r="CW307" s="51"/>
      <c r="CX307" s="51"/>
      <c r="CY307" s="51"/>
      <c r="CZ307" s="51"/>
      <c r="DA307" s="51"/>
      <c r="DB307" s="51"/>
      <c r="DC307" s="51"/>
      <c r="DD307" s="95"/>
      <c r="DE307" s="93"/>
      <c r="DF307" s="51"/>
      <c r="DG307" s="51"/>
      <c r="DH307" s="51"/>
      <c r="DI307" s="51"/>
      <c r="DJ307" s="51"/>
      <c r="DK307" s="51"/>
      <c r="DL307" s="95"/>
      <c r="DM307" s="478"/>
      <c r="DN307" s="682">
        <f t="shared" si="39"/>
        <v>0</v>
      </c>
      <c r="DO307" s="683"/>
    </row>
    <row r="308" spans="1:119" ht="25.5" customHeight="1" thickTop="1" thickBot="1" x14ac:dyDescent="0.2">
      <c r="A308" s="676">
        <f t="shared" si="35"/>
        <v>293</v>
      </c>
      <c r="B308" s="1054"/>
      <c r="C308" s="1055"/>
      <c r="D308" s="83"/>
      <c r="E308" s="954"/>
      <c r="F308" s="52"/>
      <c r="G308" s="103"/>
      <c r="H308" s="1058"/>
      <c r="I308" s="684" t="str">
        <f t="shared" si="32"/>
        <v/>
      </c>
      <c r="J308" s="685">
        <f t="shared" si="33"/>
        <v>0</v>
      </c>
      <c r="K308" s="1258"/>
      <c r="L308" s="1251"/>
      <c r="M308" s="1257"/>
      <c r="N308" s="719" t="str">
        <f t="shared" si="36"/>
        <v/>
      </c>
      <c r="O308" s="720" t="str">
        <f>IF('Set up ~ Config'!$G$32=6,IF(OR($N308=7,$N308=8,$N308=9),1,IF(OR($N308=10,$N308=11,$N308=12),2,IF(OR($N308=1,$N308=2,$N308=3),3,IF(OR($N308=4,$N308=5,$N308=6),4,"")))),IF(OR($N308=9,$N308=10,$N308=11),1,IF(OR($N308=12,$N308=1,$N308=2),2,IF(OR($N308=3,$N308=4,$N308=5),3,IF(OR($N308=6,$N308=7,$N308=8),4,"")))))</f>
        <v/>
      </c>
      <c r="P308" s="99"/>
      <c r="Q308" s="62"/>
      <c r="R308" s="62"/>
      <c r="S308" s="51"/>
      <c r="T308" s="51"/>
      <c r="U308" s="51"/>
      <c r="V308" s="51"/>
      <c r="W308" s="51"/>
      <c r="X308" s="51"/>
      <c r="Y308" s="51"/>
      <c r="Z308" s="51"/>
      <c r="AA308" s="51"/>
      <c r="AB308" s="51"/>
      <c r="AC308" s="51"/>
      <c r="AD308" s="51"/>
      <c r="AE308" s="51"/>
      <c r="AF308" s="51"/>
      <c r="AG308" s="51"/>
      <c r="AH308" s="94"/>
      <c r="AI308" s="94"/>
      <c r="AJ308" s="94"/>
      <c r="AK308" s="94"/>
      <c r="AL308" s="94"/>
      <c r="AM308" s="94"/>
      <c r="AN308" s="94"/>
      <c r="AO308" s="95"/>
      <c r="AP308" s="686">
        <f t="shared" si="37"/>
        <v>0</v>
      </c>
      <c r="AQ308" s="42"/>
      <c r="AR308" s="42"/>
      <c r="AS308" s="42"/>
      <c r="AT308" s="43"/>
      <c r="AU308" s="687">
        <f t="shared" si="38"/>
        <v>0</v>
      </c>
      <c r="AV308" s="42"/>
      <c r="AW308" s="42"/>
      <c r="AX308" s="42"/>
      <c r="AY308" s="43"/>
      <c r="AZ308" s="486"/>
      <c r="BA308" s="51"/>
      <c r="BB308" s="51"/>
      <c r="BC308" s="51"/>
      <c r="BD308" s="51"/>
      <c r="BE308" s="51"/>
      <c r="BF308" s="51"/>
      <c r="BG308" s="51"/>
      <c r="BH308" s="94"/>
      <c r="BI308" s="94"/>
      <c r="BJ308" s="94"/>
      <c r="BK308" s="94"/>
      <c r="BL308" s="94"/>
      <c r="BM308" s="483"/>
      <c r="BN308" s="94"/>
      <c r="BO308" s="94"/>
      <c r="BP308" s="94"/>
      <c r="BQ308" s="94"/>
      <c r="BR308" s="94"/>
      <c r="BS308" s="94"/>
      <c r="BT308" s="94"/>
      <c r="BU308" s="94"/>
      <c r="BV308" s="94"/>
      <c r="BW308" s="688">
        <f t="shared" si="34"/>
        <v>0</v>
      </c>
      <c r="BX308" s="51"/>
      <c r="BY308" s="51"/>
      <c r="BZ308" s="51"/>
      <c r="CA308" s="51"/>
      <c r="CB308" s="51"/>
      <c r="CC308" s="51"/>
      <c r="CD308" s="97"/>
      <c r="CE308" s="479"/>
      <c r="CF308" s="51"/>
      <c r="CG308" s="51"/>
      <c r="CH308" s="62"/>
      <c r="CI308" s="62"/>
      <c r="CJ308" s="51"/>
      <c r="CK308" s="51"/>
      <c r="CL308" s="95"/>
      <c r="CM308" s="93"/>
      <c r="CN308" s="51"/>
      <c r="CO308" s="51"/>
      <c r="CP308" s="51"/>
      <c r="CQ308" s="51"/>
      <c r="CR308" s="51"/>
      <c r="CS308" s="51"/>
      <c r="CT308" s="51"/>
      <c r="CU308" s="95"/>
      <c r="CV308" s="93"/>
      <c r="CW308" s="51"/>
      <c r="CX308" s="51"/>
      <c r="CY308" s="51"/>
      <c r="CZ308" s="51"/>
      <c r="DA308" s="51"/>
      <c r="DB308" s="51"/>
      <c r="DC308" s="51"/>
      <c r="DD308" s="95"/>
      <c r="DE308" s="93"/>
      <c r="DF308" s="51"/>
      <c r="DG308" s="51"/>
      <c r="DH308" s="51"/>
      <c r="DI308" s="51"/>
      <c r="DJ308" s="51"/>
      <c r="DK308" s="51"/>
      <c r="DL308" s="95"/>
      <c r="DM308" s="478"/>
      <c r="DN308" s="682">
        <f t="shared" si="39"/>
        <v>0</v>
      </c>
      <c r="DO308" s="683"/>
    </row>
    <row r="309" spans="1:119" ht="25.5" customHeight="1" thickTop="1" thickBot="1" x14ac:dyDescent="0.2">
      <c r="A309" s="676">
        <f t="shared" si="35"/>
        <v>294</v>
      </c>
      <c r="B309" s="1054"/>
      <c r="C309" s="1055"/>
      <c r="D309" s="83"/>
      <c r="E309" s="954"/>
      <c r="F309" s="52"/>
      <c r="G309" s="103"/>
      <c r="H309" s="1058"/>
      <c r="I309" s="684" t="str">
        <f t="shared" si="32"/>
        <v/>
      </c>
      <c r="J309" s="685">
        <f t="shared" si="33"/>
        <v>0</v>
      </c>
      <c r="K309" s="1258"/>
      <c r="L309" s="1251"/>
      <c r="M309" s="1257"/>
      <c r="N309" s="719" t="str">
        <f t="shared" si="36"/>
        <v/>
      </c>
      <c r="O309" s="720" t="str">
        <f>IF('Set up ~ Config'!$G$32=6,IF(OR($N309=7,$N309=8,$N309=9),1,IF(OR($N309=10,$N309=11,$N309=12),2,IF(OR($N309=1,$N309=2,$N309=3),3,IF(OR($N309=4,$N309=5,$N309=6),4,"")))),IF(OR($N309=9,$N309=10,$N309=11),1,IF(OR($N309=12,$N309=1,$N309=2),2,IF(OR($N309=3,$N309=4,$N309=5),3,IF(OR($N309=6,$N309=7,$N309=8),4,"")))))</f>
        <v/>
      </c>
      <c r="P309" s="99"/>
      <c r="Q309" s="62"/>
      <c r="R309" s="62"/>
      <c r="S309" s="51"/>
      <c r="T309" s="51"/>
      <c r="U309" s="51"/>
      <c r="V309" s="51"/>
      <c r="W309" s="51"/>
      <c r="X309" s="51"/>
      <c r="Y309" s="51"/>
      <c r="Z309" s="51"/>
      <c r="AA309" s="51"/>
      <c r="AB309" s="51"/>
      <c r="AC309" s="51"/>
      <c r="AD309" s="51"/>
      <c r="AE309" s="51"/>
      <c r="AF309" s="51"/>
      <c r="AG309" s="51"/>
      <c r="AH309" s="94"/>
      <c r="AI309" s="94"/>
      <c r="AJ309" s="94"/>
      <c r="AK309" s="94"/>
      <c r="AL309" s="94"/>
      <c r="AM309" s="94"/>
      <c r="AN309" s="94"/>
      <c r="AO309" s="95"/>
      <c r="AP309" s="686">
        <f t="shared" si="37"/>
        <v>0</v>
      </c>
      <c r="AQ309" s="42"/>
      <c r="AR309" s="42"/>
      <c r="AS309" s="42"/>
      <c r="AT309" s="43"/>
      <c r="AU309" s="687">
        <f t="shared" si="38"/>
        <v>0</v>
      </c>
      <c r="AV309" s="42"/>
      <c r="AW309" s="42"/>
      <c r="AX309" s="42"/>
      <c r="AY309" s="43"/>
      <c r="AZ309" s="486"/>
      <c r="BA309" s="51"/>
      <c r="BB309" s="51"/>
      <c r="BC309" s="51"/>
      <c r="BD309" s="51"/>
      <c r="BE309" s="51"/>
      <c r="BF309" s="51"/>
      <c r="BG309" s="51"/>
      <c r="BH309" s="94"/>
      <c r="BI309" s="94"/>
      <c r="BJ309" s="94"/>
      <c r="BK309" s="94"/>
      <c r="BL309" s="94"/>
      <c r="BM309" s="483"/>
      <c r="BN309" s="94"/>
      <c r="BO309" s="94"/>
      <c r="BP309" s="94"/>
      <c r="BQ309" s="94"/>
      <c r="BR309" s="94"/>
      <c r="BS309" s="94"/>
      <c r="BT309" s="94"/>
      <c r="BU309" s="94"/>
      <c r="BV309" s="94"/>
      <c r="BW309" s="688">
        <f t="shared" si="34"/>
        <v>0</v>
      </c>
      <c r="BX309" s="51"/>
      <c r="BY309" s="51"/>
      <c r="BZ309" s="51"/>
      <c r="CA309" s="51"/>
      <c r="CB309" s="51"/>
      <c r="CC309" s="51"/>
      <c r="CD309" s="97"/>
      <c r="CE309" s="479"/>
      <c r="CF309" s="51"/>
      <c r="CG309" s="51"/>
      <c r="CH309" s="62"/>
      <c r="CI309" s="62"/>
      <c r="CJ309" s="51"/>
      <c r="CK309" s="51"/>
      <c r="CL309" s="95"/>
      <c r="CM309" s="93"/>
      <c r="CN309" s="51"/>
      <c r="CO309" s="51"/>
      <c r="CP309" s="51"/>
      <c r="CQ309" s="51"/>
      <c r="CR309" s="51"/>
      <c r="CS309" s="51"/>
      <c r="CT309" s="51"/>
      <c r="CU309" s="95"/>
      <c r="CV309" s="93"/>
      <c r="CW309" s="51"/>
      <c r="CX309" s="51"/>
      <c r="CY309" s="51"/>
      <c r="CZ309" s="51"/>
      <c r="DA309" s="51"/>
      <c r="DB309" s="51"/>
      <c r="DC309" s="51"/>
      <c r="DD309" s="95"/>
      <c r="DE309" s="93"/>
      <c r="DF309" s="51"/>
      <c r="DG309" s="51"/>
      <c r="DH309" s="51"/>
      <c r="DI309" s="51"/>
      <c r="DJ309" s="51"/>
      <c r="DK309" s="51"/>
      <c r="DL309" s="95"/>
      <c r="DM309" s="478"/>
      <c r="DN309" s="682">
        <f t="shared" si="39"/>
        <v>0</v>
      </c>
      <c r="DO309" s="683"/>
    </row>
    <row r="310" spans="1:119" ht="25.5" customHeight="1" thickTop="1" thickBot="1" x14ac:dyDescent="0.2">
      <c r="A310" s="676">
        <f t="shared" si="35"/>
        <v>295</v>
      </c>
      <c r="B310" s="1054"/>
      <c r="C310" s="1055"/>
      <c r="D310" s="83"/>
      <c r="E310" s="954"/>
      <c r="F310" s="52"/>
      <c r="G310" s="103"/>
      <c r="H310" s="1058"/>
      <c r="I310" s="684" t="str">
        <f t="shared" si="32"/>
        <v/>
      </c>
      <c r="J310" s="685">
        <f t="shared" si="33"/>
        <v>0</v>
      </c>
      <c r="K310" s="1258"/>
      <c r="L310" s="1251"/>
      <c r="M310" s="1257"/>
      <c r="N310" s="719" t="str">
        <f t="shared" si="36"/>
        <v/>
      </c>
      <c r="O310" s="720" t="str">
        <f>IF('Set up ~ Config'!$G$32=6,IF(OR($N310=7,$N310=8,$N310=9),1,IF(OR($N310=10,$N310=11,$N310=12),2,IF(OR($N310=1,$N310=2,$N310=3),3,IF(OR($N310=4,$N310=5,$N310=6),4,"")))),IF(OR($N310=9,$N310=10,$N310=11),1,IF(OR($N310=12,$N310=1,$N310=2),2,IF(OR($N310=3,$N310=4,$N310=5),3,IF(OR($N310=6,$N310=7,$N310=8),4,"")))))</f>
        <v/>
      </c>
      <c r="P310" s="99"/>
      <c r="Q310" s="62"/>
      <c r="R310" s="62"/>
      <c r="S310" s="51"/>
      <c r="T310" s="51"/>
      <c r="U310" s="51"/>
      <c r="V310" s="51"/>
      <c r="W310" s="51"/>
      <c r="X310" s="51"/>
      <c r="Y310" s="51"/>
      <c r="Z310" s="51"/>
      <c r="AA310" s="51"/>
      <c r="AB310" s="51"/>
      <c r="AC310" s="51"/>
      <c r="AD310" s="51"/>
      <c r="AE310" s="51"/>
      <c r="AF310" s="51"/>
      <c r="AG310" s="51"/>
      <c r="AH310" s="94"/>
      <c r="AI310" s="94"/>
      <c r="AJ310" s="94"/>
      <c r="AK310" s="94"/>
      <c r="AL310" s="94"/>
      <c r="AM310" s="94"/>
      <c r="AN310" s="94"/>
      <c r="AO310" s="95"/>
      <c r="AP310" s="686">
        <f t="shared" si="37"/>
        <v>0</v>
      </c>
      <c r="AQ310" s="42"/>
      <c r="AR310" s="42"/>
      <c r="AS310" s="42"/>
      <c r="AT310" s="43"/>
      <c r="AU310" s="687">
        <f t="shared" si="38"/>
        <v>0</v>
      </c>
      <c r="AV310" s="42"/>
      <c r="AW310" s="42"/>
      <c r="AX310" s="42"/>
      <c r="AY310" s="43"/>
      <c r="AZ310" s="486"/>
      <c r="BA310" s="51"/>
      <c r="BB310" s="51"/>
      <c r="BC310" s="51"/>
      <c r="BD310" s="51"/>
      <c r="BE310" s="51"/>
      <c r="BF310" s="51"/>
      <c r="BG310" s="51"/>
      <c r="BH310" s="94"/>
      <c r="BI310" s="94"/>
      <c r="BJ310" s="94"/>
      <c r="BK310" s="94"/>
      <c r="BL310" s="94"/>
      <c r="BM310" s="483"/>
      <c r="BN310" s="94"/>
      <c r="BO310" s="94"/>
      <c r="BP310" s="94"/>
      <c r="BQ310" s="94"/>
      <c r="BR310" s="94"/>
      <c r="BS310" s="94"/>
      <c r="BT310" s="94"/>
      <c r="BU310" s="94"/>
      <c r="BV310" s="94"/>
      <c r="BW310" s="688">
        <f t="shared" si="34"/>
        <v>0</v>
      </c>
      <c r="BX310" s="51"/>
      <c r="BY310" s="51"/>
      <c r="BZ310" s="51"/>
      <c r="CA310" s="51"/>
      <c r="CB310" s="51"/>
      <c r="CC310" s="51"/>
      <c r="CD310" s="97"/>
      <c r="CE310" s="479"/>
      <c r="CF310" s="51"/>
      <c r="CG310" s="51"/>
      <c r="CH310" s="62"/>
      <c r="CI310" s="62"/>
      <c r="CJ310" s="51"/>
      <c r="CK310" s="51"/>
      <c r="CL310" s="95"/>
      <c r="CM310" s="93"/>
      <c r="CN310" s="51"/>
      <c r="CO310" s="51"/>
      <c r="CP310" s="51"/>
      <c r="CQ310" s="51"/>
      <c r="CR310" s="51"/>
      <c r="CS310" s="51"/>
      <c r="CT310" s="51"/>
      <c r="CU310" s="95"/>
      <c r="CV310" s="93"/>
      <c r="CW310" s="51"/>
      <c r="CX310" s="51"/>
      <c r="CY310" s="51"/>
      <c r="CZ310" s="51"/>
      <c r="DA310" s="51"/>
      <c r="DB310" s="51"/>
      <c r="DC310" s="51"/>
      <c r="DD310" s="95"/>
      <c r="DE310" s="93"/>
      <c r="DF310" s="51"/>
      <c r="DG310" s="51"/>
      <c r="DH310" s="51"/>
      <c r="DI310" s="51"/>
      <c r="DJ310" s="51"/>
      <c r="DK310" s="51"/>
      <c r="DL310" s="95"/>
      <c r="DM310" s="478"/>
      <c r="DN310" s="682">
        <f t="shared" si="39"/>
        <v>0</v>
      </c>
      <c r="DO310" s="683"/>
    </row>
    <row r="311" spans="1:119" ht="25.5" customHeight="1" thickTop="1" thickBot="1" x14ac:dyDescent="0.2">
      <c r="A311" s="676">
        <f t="shared" si="35"/>
        <v>296</v>
      </c>
      <c r="B311" s="1054"/>
      <c r="C311" s="1055"/>
      <c r="D311" s="83"/>
      <c r="E311" s="954"/>
      <c r="F311" s="52"/>
      <c r="G311" s="103"/>
      <c r="H311" s="1058"/>
      <c r="I311" s="684" t="str">
        <f t="shared" si="32"/>
        <v/>
      </c>
      <c r="J311" s="685">
        <f t="shared" si="33"/>
        <v>0</v>
      </c>
      <c r="K311" s="1258"/>
      <c r="L311" s="1251"/>
      <c r="M311" s="1257"/>
      <c r="N311" s="719" t="str">
        <f t="shared" si="36"/>
        <v/>
      </c>
      <c r="O311" s="720" t="str">
        <f>IF('Set up ~ Config'!$G$32=6,IF(OR($N311=7,$N311=8,$N311=9),1,IF(OR($N311=10,$N311=11,$N311=12),2,IF(OR($N311=1,$N311=2,$N311=3),3,IF(OR($N311=4,$N311=5,$N311=6),4,"")))),IF(OR($N311=9,$N311=10,$N311=11),1,IF(OR($N311=12,$N311=1,$N311=2),2,IF(OR($N311=3,$N311=4,$N311=5),3,IF(OR($N311=6,$N311=7,$N311=8),4,"")))))</f>
        <v/>
      </c>
      <c r="P311" s="99"/>
      <c r="Q311" s="62"/>
      <c r="R311" s="62"/>
      <c r="S311" s="51"/>
      <c r="T311" s="51"/>
      <c r="U311" s="51"/>
      <c r="V311" s="51"/>
      <c r="W311" s="51"/>
      <c r="X311" s="51"/>
      <c r="Y311" s="51"/>
      <c r="Z311" s="51"/>
      <c r="AA311" s="51"/>
      <c r="AB311" s="51"/>
      <c r="AC311" s="51"/>
      <c r="AD311" s="51"/>
      <c r="AE311" s="51"/>
      <c r="AF311" s="51"/>
      <c r="AG311" s="51"/>
      <c r="AH311" s="94"/>
      <c r="AI311" s="94"/>
      <c r="AJ311" s="94"/>
      <c r="AK311" s="94"/>
      <c r="AL311" s="94"/>
      <c r="AM311" s="94"/>
      <c r="AN311" s="94"/>
      <c r="AO311" s="95"/>
      <c r="AP311" s="686">
        <f t="shared" si="37"/>
        <v>0</v>
      </c>
      <c r="AQ311" s="42"/>
      <c r="AR311" s="42"/>
      <c r="AS311" s="42"/>
      <c r="AT311" s="43"/>
      <c r="AU311" s="687">
        <f t="shared" si="38"/>
        <v>0</v>
      </c>
      <c r="AV311" s="42"/>
      <c r="AW311" s="42"/>
      <c r="AX311" s="42"/>
      <c r="AY311" s="43"/>
      <c r="AZ311" s="486"/>
      <c r="BA311" s="51"/>
      <c r="BB311" s="51"/>
      <c r="BC311" s="51"/>
      <c r="BD311" s="51"/>
      <c r="BE311" s="51"/>
      <c r="BF311" s="51"/>
      <c r="BG311" s="51"/>
      <c r="BH311" s="94"/>
      <c r="BI311" s="94"/>
      <c r="BJ311" s="94"/>
      <c r="BK311" s="94"/>
      <c r="BL311" s="94"/>
      <c r="BM311" s="483"/>
      <c r="BN311" s="94"/>
      <c r="BO311" s="94"/>
      <c r="BP311" s="94"/>
      <c r="BQ311" s="94"/>
      <c r="BR311" s="94"/>
      <c r="BS311" s="94"/>
      <c r="BT311" s="94"/>
      <c r="BU311" s="94"/>
      <c r="BV311" s="94"/>
      <c r="BW311" s="688">
        <f t="shared" si="34"/>
        <v>0</v>
      </c>
      <c r="BX311" s="51"/>
      <c r="BY311" s="51"/>
      <c r="BZ311" s="51"/>
      <c r="CA311" s="51"/>
      <c r="CB311" s="51"/>
      <c r="CC311" s="51"/>
      <c r="CD311" s="97"/>
      <c r="CE311" s="479"/>
      <c r="CF311" s="51"/>
      <c r="CG311" s="51"/>
      <c r="CH311" s="62"/>
      <c r="CI311" s="62"/>
      <c r="CJ311" s="51"/>
      <c r="CK311" s="51"/>
      <c r="CL311" s="95"/>
      <c r="CM311" s="93"/>
      <c r="CN311" s="51"/>
      <c r="CO311" s="51"/>
      <c r="CP311" s="51"/>
      <c r="CQ311" s="51"/>
      <c r="CR311" s="51"/>
      <c r="CS311" s="51"/>
      <c r="CT311" s="51"/>
      <c r="CU311" s="95"/>
      <c r="CV311" s="93"/>
      <c r="CW311" s="51"/>
      <c r="CX311" s="51"/>
      <c r="CY311" s="51"/>
      <c r="CZ311" s="51"/>
      <c r="DA311" s="51"/>
      <c r="DB311" s="51"/>
      <c r="DC311" s="51"/>
      <c r="DD311" s="95"/>
      <c r="DE311" s="93"/>
      <c r="DF311" s="51"/>
      <c r="DG311" s="51"/>
      <c r="DH311" s="51"/>
      <c r="DI311" s="51"/>
      <c r="DJ311" s="51"/>
      <c r="DK311" s="51"/>
      <c r="DL311" s="95"/>
      <c r="DM311" s="478"/>
      <c r="DN311" s="682">
        <f t="shared" si="39"/>
        <v>0</v>
      </c>
      <c r="DO311" s="683"/>
    </row>
    <row r="312" spans="1:119" ht="25.5" customHeight="1" thickTop="1" thickBot="1" x14ac:dyDescent="0.2">
      <c r="A312" s="676">
        <f t="shared" si="35"/>
        <v>297</v>
      </c>
      <c r="B312" s="1054"/>
      <c r="C312" s="1055"/>
      <c r="D312" s="83"/>
      <c r="E312" s="954"/>
      <c r="F312" s="52"/>
      <c r="G312" s="103"/>
      <c r="H312" s="1058"/>
      <c r="I312" s="684" t="str">
        <f t="shared" si="32"/>
        <v/>
      </c>
      <c r="J312" s="685">
        <f t="shared" si="33"/>
        <v>0</v>
      </c>
      <c r="K312" s="1258"/>
      <c r="L312" s="1251"/>
      <c r="M312" s="1257"/>
      <c r="N312" s="719" t="str">
        <f t="shared" si="36"/>
        <v/>
      </c>
      <c r="O312" s="720" t="str">
        <f>IF('Set up ~ Config'!$G$32=6,IF(OR($N312=7,$N312=8,$N312=9),1,IF(OR($N312=10,$N312=11,$N312=12),2,IF(OR($N312=1,$N312=2,$N312=3),3,IF(OR($N312=4,$N312=5,$N312=6),4,"")))),IF(OR($N312=9,$N312=10,$N312=11),1,IF(OR($N312=12,$N312=1,$N312=2),2,IF(OR($N312=3,$N312=4,$N312=5),3,IF(OR($N312=6,$N312=7,$N312=8),4,"")))))</f>
        <v/>
      </c>
      <c r="P312" s="99"/>
      <c r="Q312" s="62"/>
      <c r="R312" s="62"/>
      <c r="S312" s="51"/>
      <c r="T312" s="51"/>
      <c r="U312" s="51"/>
      <c r="V312" s="51"/>
      <c r="W312" s="51"/>
      <c r="X312" s="51"/>
      <c r="Y312" s="51"/>
      <c r="Z312" s="51"/>
      <c r="AA312" s="51"/>
      <c r="AB312" s="51"/>
      <c r="AC312" s="51"/>
      <c r="AD312" s="51"/>
      <c r="AE312" s="51"/>
      <c r="AF312" s="51"/>
      <c r="AG312" s="51"/>
      <c r="AH312" s="94"/>
      <c r="AI312" s="94"/>
      <c r="AJ312" s="94"/>
      <c r="AK312" s="94"/>
      <c r="AL312" s="94"/>
      <c r="AM312" s="94"/>
      <c r="AN312" s="94"/>
      <c r="AO312" s="95"/>
      <c r="AP312" s="686">
        <f t="shared" si="37"/>
        <v>0</v>
      </c>
      <c r="AQ312" s="42"/>
      <c r="AR312" s="42"/>
      <c r="AS312" s="42"/>
      <c r="AT312" s="43"/>
      <c r="AU312" s="687">
        <f t="shared" si="38"/>
        <v>0</v>
      </c>
      <c r="AV312" s="42"/>
      <c r="AW312" s="42"/>
      <c r="AX312" s="42"/>
      <c r="AY312" s="43"/>
      <c r="AZ312" s="486"/>
      <c r="BA312" s="51"/>
      <c r="BB312" s="51"/>
      <c r="BC312" s="51"/>
      <c r="BD312" s="51"/>
      <c r="BE312" s="51"/>
      <c r="BF312" s="51"/>
      <c r="BG312" s="51"/>
      <c r="BH312" s="94"/>
      <c r="BI312" s="94"/>
      <c r="BJ312" s="94"/>
      <c r="BK312" s="94"/>
      <c r="BL312" s="94"/>
      <c r="BM312" s="483"/>
      <c r="BN312" s="94"/>
      <c r="BO312" s="94"/>
      <c r="BP312" s="94"/>
      <c r="BQ312" s="94"/>
      <c r="BR312" s="94"/>
      <c r="BS312" s="94"/>
      <c r="BT312" s="94"/>
      <c r="BU312" s="94"/>
      <c r="BV312" s="94"/>
      <c r="BW312" s="688">
        <f t="shared" si="34"/>
        <v>0</v>
      </c>
      <c r="BX312" s="51"/>
      <c r="BY312" s="51"/>
      <c r="BZ312" s="51"/>
      <c r="CA312" s="51"/>
      <c r="CB312" s="51"/>
      <c r="CC312" s="51"/>
      <c r="CD312" s="97"/>
      <c r="CE312" s="479"/>
      <c r="CF312" s="51"/>
      <c r="CG312" s="51"/>
      <c r="CH312" s="62"/>
      <c r="CI312" s="62"/>
      <c r="CJ312" s="51"/>
      <c r="CK312" s="51"/>
      <c r="CL312" s="95"/>
      <c r="CM312" s="93"/>
      <c r="CN312" s="51"/>
      <c r="CO312" s="51"/>
      <c r="CP312" s="51"/>
      <c r="CQ312" s="51"/>
      <c r="CR312" s="51"/>
      <c r="CS312" s="51"/>
      <c r="CT312" s="51"/>
      <c r="CU312" s="95"/>
      <c r="CV312" s="93"/>
      <c r="CW312" s="51"/>
      <c r="CX312" s="51"/>
      <c r="CY312" s="51"/>
      <c r="CZ312" s="51"/>
      <c r="DA312" s="51"/>
      <c r="DB312" s="51"/>
      <c r="DC312" s="51"/>
      <c r="DD312" s="95"/>
      <c r="DE312" s="93"/>
      <c r="DF312" s="51"/>
      <c r="DG312" s="51"/>
      <c r="DH312" s="51"/>
      <c r="DI312" s="51"/>
      <c r="DJ312" s="51"/>
      <c r="DK312" s="51"/>
      <c r="DL312" s="95"/>
      <c r="DM312" s="478"/>
      <c r="DN312" s="682">
        <f t="shared" si="39"/>
        <v>0</v>
      </c>
      <c r="DO312" s="683"/>
    </row>
    <row r="313" spans="1:119" ht="25.5" customHeight="1" thickTop="1" thickBot="1" x14ac:dyDescent="0.2">
      <c r="A313" s="676">
        <f t="shared" si="35"/>
        <v>298</v>
      </c>
      <c r="B313" s="1054"/>
      <c r="C313" s="1055"/>
      <c r="D313" s="83"/>
      <c r="E313" s="954"/>
      <c r="F313" s="52"/>
      <c r="G313" s="103"/>
      <c r="H313" s="1058"/>
      <c r="I313" s="684" t="str">
        <f t="shared" si="32"/>
        <v/>
      </c>
      <c r="J313" s="685">
        <f t="shared" si="33"/>
        <v>0</v>
      </c>
      <c r="K313" s="1258"/>
      <c r="L313" s="1251"/>
      <c r="M313" s="1257"/>
      <c r="N313" s="719" t="str">
        <f t="shared" si="36"/>
        <v/>
      </c>
      <c r="O313" s="720" t="str">
        <f>IF('Set up ~ Config'!$G$32=6,IF(OR($N313=7,$N313=8,$N313=9),1,IF(OR($N313=10,$N313=11,$N313=12),2,IF(OR($N313=1,$N313=2,$N313=3),3,IF(OR($N313=4,$N313=5,$N313=6),4,"")))),IF(OR($N313=9,$N313=10,$N313=11),1,IF(OR($N313=12,$N313=1,$N313=2),2,IF(OR($N313=3,$N313=4,$N313=5),3,IF(OR($N313=6,$N313=7,$N313=8),4,"")))))</f>
        <v/>
      </c>
      <c r="P313" s="99"/>
      <c r="Q313" s="62"/>
      <c r="R313" s="62"/>
      <c r="S313" s="51"/>
      <c r="T313" s="51"/>
      <c r="U313" s="51"/>
      <c r="V313" s="51"/>
      <c r="W313" s="51"/>
      <c r="X313" s="51"/>
      <c r="Y313" s="51"/>
      <c r="Z313" s="51"/>
      <c r="AA313" s="51"/>
      <c r="AB313" s="51"/>
      <c r="AC313" s="51"/>
      <c r="AD313" s="51"/>
      <c r="AE313" s="51"/>
      <c r="AF313" s="51"/>
      <c r="AG313" s="51"/>
      <c r="AH313" s="94"/>
      <c r="AI313" s="94"/>
      <c r="AJ313" s="94"/>
      <c r="AK313" s="94"/>
      <c r="AL313" s="94"/>
      <c r="AM313" s="94"/>
      <c r="AN313" s="94"/>
      <c r="AO313" s="95"/>
      <c r="AP313" s="686">
        <f t="shared" si="37"/>
        <v>0</v>
      </c>
      <c r="AQ313" s="42"/>
      <c r="AR313" s="42"/>
      <c r="AS313" s="42"/>
      <c r="AT313" s="43"/>
      <c r="AU313" s="687">
        <f t="shared" si="38"/>
        <v>0</v>
      </c>
      <c r="AV313" s="42"/>
      <c r="AW313" s="42"/>
      <c r="AX313" s="42"/>
      <c r="AY313" s="43"/>
      <c r="AZ313" s="486"/>
      <c r="BA313" s="51"/>
      <c r="BB313" s="51"/>
      <c r="BC313" s="51"/>
      <c r="BD313" s="51"/>
      <c r="BE313" s="51"/>
      <c r="BF313" s="51"/>
      <c r="BG313" s="51"/>
      <c r="BH313" s="94"/>
      <c r="BI313" s="94"/>
      <c r="BJ313" s="94"/>
      <c r="BK313" s="94"/>
      <c r="BL313" s="94"/>
      <c r="BM313" s="483"/>
      <c r="BN313" s="94"/>
      <c r="BO313" s="94"/>
      <c r="BP313" s="94"/>
      <c r="BQ313" s="94"/>
      <c r="BR313" s="94"/>
      <c r="BS313" s="94"/>
      <c r="BT313" s="94"/>
      <c r="BU313" s="94"/>
      <c r="BV313" s="94"/>
      <c r="BW313" s="688">
        <f t="shared" si="34"/>
        <v>0</v>
      </c>
      <c r="BX313" s="51"/>
      <c r="BY313" s="51"/>
      <c r="BZ313" s="51"/>
      <c r="CA313" s="51"/>
      <c r="CB313" s="51"/>
      <c r="CC313" s="51"/>
      <c r="CD313" s="97"/>
      <c r="CE313" s="479"/>
      <c r="CF313" s="51"/>
      <c r="CG313" s="51"/>
      <c r="CH313" s="62"/>
      <c r="CI313" s="62"/>
      <c r="CJ313" s="51"/>
      <c r="CK313" s="51"/>
      <c r="CL313" s="95"/>
      <c r="CM313" s="93"/>
      <c r="CN313" s="51"/>
      <c r="CO313" s="51"/>
      <c r="CP313" s="51"/>
      <c r="CQ313" s="51"/>
      <c r="CR313" s="51"/>
      <c r="CS313" s="51"/>
      <c r="CT313" s="51"/>
      <c r="CU313" s="95"/>
      <c r="CV313" s="93"/>
      <c r="CW313" s="51"/>
      <c r="CX313" s="51"/>
      <c r="CY313" s="51"/>
      <c r="CZ313" s="51"/>
      <c r="DA313" s="51"/>
      <c r="DB313" s="51"/>
      <c r="DC313" s="51"/>
      <c r="DD313" s="95"/>
      <c r="DE313" s="93"/>
      <c r="DF313" s="51"/>
      <c r="DG313" s="51"/>
      <c r="DH313" s="51"/>
      <c r="DI313" s="51"/>
      <c r="DJ313" s="51"/>
      <c r="DK313" s="51"/>
      <c r="DL313" s="95"/>
      <c r="DM313" s="478"/>
      <c r="DN313" s="682">
        <f t="shared" si="39"/>
        <v>0</v>
      </c>
      <c r="DO313" s="683"/>
    </row>
    <row r="314" spans="1:119" ht="25.5" customHeight="1" thickTop="1" thickBot="1" x14ac:dyDescent="0.2">
      <c r="A314" s="676">
        <f t="shared" si="35"/>
        <v>299</v>
      </c>
      <c r="B314" s="1054"/>
      <c r="C314" s="1055"/>
      <c r="D314" s="83"/>
      <c r="E314" s="954"/>
      <c r="F314" s="52"/>
      <c r="G314" s="103"/>
      <c r="H314" s="1058"/>
      <c r="I314" s="684" t="str">
        <f t="shared" si="32"/>
        <v/>
      </c>
      <c r="J314" s="685">
        <f t="shared" si="33"/>
        <v>0</v>
      </c>
      <c r="K314" s="1258"/>
      <c r="L314" s="1251"/>
      <c r="M314" s="1257"/>
      <c r="N314" s="719" t="str">
        <f t="shared" si="36"/>
        <v/>
      </c>
      <c r="O314" s="720" t="str">
        <f>IF('Set up ~ Config'!$G$32=6,IF(OR($N314=7,$N314=8,$N314=9),1,IF(OR($N314=10,$N314=11,$N314=12),2,IF(OR($N314=1,$N314=2,$N314=3),3,IF(OR($N314=4,$N314=5,$N314=6),4,"")))),IF(OR($N314=9,$N314=10,$N314=11),1,IF(OR($N314=12,$N314=1,$N314=2),2,IF(OR($N314=3,$N314=4,$N314=5),3,IF(OR($N314=6,$N314=7,$N314=8),4,"")))))</f>
        <v/>
      </c>
      <c r="P314" s="99"/>
      <c r="Q314" s="62"/>
      <c r="R314" s="62"/>
      <c r="S314" s="51"/>
      <c r="T314" s="51"/>
      <c r="U314" s="51"/>
      <c r="V314" s="51"/>
      <c r="W314" s="51"/>
      <c r="X314" s="51"/>
      <c r="Y314" s="51"/>
      <c r="Z314" s="51"/>
      <c r="AA314" s="51"/>
      <c r="AB314" s="51"/>
      <c r="AC314" s="51"/>
      <c r="AD314" s="51"/>
      <c r="AE314" s="51"/>
      <c r="AF314" s="51"/>
      <c r="AG314" s="51"/>
      <c r="AH314" s="94"/>
      <c r="AI314" s="94"/>
      <c r="AJ314" s="94"/>
      <c r="AK314" s="94"/>
      <c r="AL314" s="94"/>
      <c r="AM314" s="94"/>
      <c r="AN314" s="94"/>
      <c r="AO314" s="95"/>
      <c r="AP314" s="686">
        <f t="shared" si="37"/>
        <v>0</v>
      </c>
      <c r="AQ314" s="42"/>
      <c r="AR314" s="42"/>
      <c r="AS314" s="42"/>
      <c r="AT314" s="43"/>
      <c r="AU314" s="687">
        <f t="shared" si="38"/>
        <v>0</v>
      </c>
      <c r="AV314" s="42"/>
      <c r="AW314" s="42"/>
      <c r="AX314" s="42"/>
      <c r="AY314" s="43"/>
      <c r="AZ314" s="486"/>
      <c r="BA314" s="51"/>
      <c r="BB314" s="51"/>
      <c r="BC314" s="51"/>
      <c r="BD314" s="51"/>
      <c r="BE314" s="51"/>
      <c r="BF314" s="51"/>
      <c r="BG314" s="51"/>
      <c r="BH314" s="94"/>
      <c r="BI314" s="94"/>
      <c r="BJ314" s="94"/>
      <c r="BK314" s="94"/>
      <c r="BL314" s="94"/>
      <c r="BM314" s="483"/>
      <c r="BN314" s="94"/>
      <c r="BO314" s="94"/>
      <c r="BP314" s="94"/>
      <c r="BQ314" s="94"/>
      <c r="BR314" s="94"/>
      <c r="BS314" s="94"/>
      <c r="BT314" s="94"/>
      <c r="BU314" s="94"/>
      <c r="BV314" s="94"/>
      <c r="BW314" s="688">
        <f t="shared" si="34"/>
        <v>0</v>
      </c>
      <c r="BX314" s="51"/>
      <c r="BY314" s="51"/>
      <c r="BZ314" s="51"/>
      <c r="CA314" s="51"/>
      <c r="CB314" s="51"/>
      <c r="CC314" s="51"/>
      <c r="CD314" s="97"/>
      <c r="CE314" s="479"/>
      <c r="CF314" s="51"/>
      <c r="CG314" s="51"/>
      <c r="CH314" s="62"/>
      <c r="CI314" s="62"/>
      <c r="CJ314" s="51"/>
      <c r="CK314" s="51"/>
      <c r="CL314" s="95"/>
      <c r="CM314" s="93"/>
      <c r="CN314" s="51"/>
      <c r="CO314" s="51"/>
      <c r="CP314" s="51"/>
      <c r="CQ314" s="51"/>
      <c r="CR314" s="51"/>
      <c r="CS314" s="51"/>
      <c r="CT314" s="51"/>
      <c r="CU314" s="95"/>
      <c r="CV314" s="93"/>
      <c r="CW314" s="51"/>
      <c r="CX314" s="51"/>
      <c r="CY314" s="51"/>
      <c r="CZ314" s="51"/>
      <c r="DA314" s="51"/>
      <c r="DB314" s="51"/>
      <c r="DC314" s="51"/>
      <c r="DD314" s="95"/>
      <c r="DE314" s="93"/>
      <c r="DF314" s="51"/>
      <c r="DG314" s="51"/>
      <c r="DH314" s="51"/>
      <c r="DI314" s="51"/>
      <c r="DJ314" s="51"/>
      <c r="DK314" s="51"/>
      <c r="DL314" s="95"/>
      <c r="DM314" s="478"/>
      <c r="DN314" s="682">
        <f t="shared" si="39"/>
        <v>0</v>
      </c>
      <c r="DO314" s="683"/>
    </row>
    <row r="315" spans="1:119" ht="25.5" customHeight="1" thickTop="1" thickBot="1" x14ac:dyDescent="0.2">
      <c r="A315" s="676">
        <f t="shared" si="35"/>
        <v>300</v>
      </c>
      <c r="B315" s="1054"/>
      <c r="C315" s="1055"/>
      <c r="D315" s="83"/>
      <c r="E315" s="954"/>
      <c r="F315" s="52"/>
      <c r="G315" s="103"/>
      <c r="H315" s="1058"/>
      <c r="I315" s="684" t="str">
        <f t="shared" si="32"/>
        <v/>
      </c>
      <c r="J315" s="685">
        <f t="shared" si="33"/>
        <v>0</v>
      </c>
      <c r="K315" s="1258"/>
      <c r="L315" s="1251"/>
      <c r="M315" s="1257"/>
      <c r="N315" s="719" t="str">
        <f t="shared" si="36"/>
        <v/>
      </c>
      <c r="O315" s="720" t="str">
        <f>IF('Set up ~ Config'!$G$32=6,IF(OR($N315=7,$N315=8,$N315=9),1,IF(OR($N315=10,$N315=11,$N315=12),2,IF(OR($N315=1,$N315=2,$N315=3),3,IF(OR($N315=4,$N315=5,$N315=6),4,"")))),IF(OR($N315=9,$N315=10,$N315=11),1,IF(OR($N315=12,$N315=1,$N315=2),2,IF(OR($N315=3,$N315=4,$N315=5),3,IF(OR($N315=6,$N315=7,$N315=8),4,"")))))</f>
        <v/>
      </c>
      <c r="P315" s="99"/>
      <c r="Q315" s="62"/>
      <c r="R315" s="62"/>
      <c r="S315" s="51"/>
      <c r="T315" s="51"/>
      <c r="U315" s="51"/>
      <c r="V315" s="51"/>
      <c r="W315" s="51"/>
      <c r="X315" s="51"/>
      <c r="Y315" s="51"/>
      <c r="Z315" s="51"/>
      <c r="AA315" s="51"/>
      <c r="AB315" s="51"/>
      <c r="AC315" s="51"/>
      <c r="AD315" s="51"/>
      <c r="AE315" s="51"/>
      <c r="AF315" s="51"/>
      <c r="AG315" s="51"/>
      <c r="AH315" s="94"/>
      <c r="AI315" s="94"/>
      <c r="AJ315" s="94"/>
      <c r="AK315" s="94"/>
      <c r="AL315" s="94"/>
      <c r="AM315" s="94"/>
      <c r="AN315" s="94"/>
      <c r="AO315" s="95"/>
      <c r="AP315" s="686">
        <f t="shared" si="37"/>
        <v>0</v>
      </c>
      <c r="AQ315" s="42"/>
      <c r="AR315" s="42"/>
      <c r="AS315" s="42"/>
      <c r="AT315" s="43"/>
      <c r="AU315" s="687">
        <f t="shared" si="38"/>
        <v>0</v>
      </c>
      <c r="AV315" s="42"/>
      <c r="AW315" s="42"/>
      <c r="AX315" s="42"/>
      <c r="AY315" s="43"/>
      <c r="AZ315" s="486"/>
      <c r="BA315" s="51"/>
      <c r="BB315" s="51"/>
      <c r="BC315" s="51"/>
      <c r="BD315" s="51"/>
      <c r="BE315" s="51"/>
      <c r="BF315" s="51"/>
      <c r="BG315" s="51"/>
      <c r="BH315" s="94"/>
      <c r="BI315" s="94"/>
      <c r="BJ315" s="94"/>
      <c r="BK315" s="94"/>
      <c r="BL315" s="94"/>
      <c r="BM315" s="483"/>
      <c r="BN315" s="94"/>
      <c r="BO315" s="94"/>
      <c r="BP315" s="94"/>
      <c r="BQ315" s="94"/>
      <c r="BR315" s="94"/>
      <c r="BS315" s="94"/>
      <c r="BT315" s="94"/>
      <c r="BU315" s="94"/>
      <c r="BV315" s="94"/>
      <c r="BW315" s="688">
        <f t="shared" si="34"/>
        <v>0</v>
      </c>
      <c r="BX315" s="51"/>
      <c r="BY315" s="51"/>
      <c r="BZ315" s="51"/>
      <c r="CA315" s="51"/>
      <c r="CB315" s="51"/>
      <c r="CC315" s="51"/>
      <c r="CD315" s="97"/>
      <c r="CE315" s="479"/>
      <c r="CF315" s="51"/>
      <c r="CG315" s="51"/>
      <c r="CH315" s="62"/>
      <c r="CI315" s="62"/>
      <c r="CJ315" s="51"/>
      <c r="CK315" s="51"/>
      <c r="CL315" s="95"/>
      <c r="CM315" s="93"/>
      <c r="CN315" s="51"/>
      <c r="CO315" s="51"/>
      <c r="CP315" s="51"/>
      <c r="CQ315" s="51"/>
      <c r="CR315" s="51"/>
      <c r="CS315" s="51"/>
      <c r="CT315" s="51"/>
      <c r="CU315" s="95"/>
      <c r="CV315" s="93"/>
      <c r="CW315" s="51"/>
      <c r="CX315" s="51"/>
      <c r="CY315" s="51"/>
      <c r="CZ315" s="51"/>
      <c r="DA315" s="51"/>
      <c r="DB315" s="51"/>
      <c r="DC315" s="51"/>
      <c r="DD315" s="95"/>
      <c r="DE315" s="93"/>
      <c r="DF315" s="51"/>
      <c r="DG315" s="51"/>
      <c r="DH315" s="51"/>
      <c r="DI315" s="51"/>
      <c r="DJ315" s="51"/>
      <c r="DK315" s="51"/>
      <c r="DL315" s="95"/>
      <c r="DM315" s="478"/>
      <c r="DN315" s="682">
        <f t="shared" si="39"/>
        <v>0</v>
      </c>
      <c r="DO315" s="683"/>
    </row>
    <row r="316" spans="1:119" ht="25.5" customHeight="1" thickTop="1" thickBot="1" x14ac:dyDescent="0.2">
      <c r="A316" s="676">
        <f t="shared" si="35"/>
        <v>301</v>
      </c>
      <c r="B316" s="1054"/>
      <c r="C316" s="1055"/>
      <c r="D316" s="83"/>
      <c r="E316" s="954"/>
      <c r="F316" s="52"/>
      <c r="G316" s="103"/>
      <c r="H316" s="1058"/>
      <c r="I316" s="684" t="str">
        <f t="shared" si="32"/>
        <v/>
      </c>
      <c r="J316" s="685">
        <f t="shared" si="33"/>
        <v>0</v>
      </c>
      <c r="K316" s="1258"/>
      <c r="L316" s="1251"/>
      <c r="M316" s="1257"/>
      <c r="N316" s="719" t="str">
        <f t="shared" si="36"/>
        <v/>
      </c>
      <c r="O316" s="720" t="str">
        <f>IF('Set up ~ Config'!$G$32=6,IF(OR($N316=7,$N316=8,$N316=9),1,IF(OR($N316=10,$N316=11,$N316=12),2,IF(OR($N316=1,$N316=2,$N316=3),3,IF(OR($N316=4,$N316=5,$N316=6),4,"")))),IF(OR($N316=9,$N316=10,$N316=11),1,IF(OR($N316=12,$N316=1,$N316=2),2,IF(OR($N316=3,$N316=4,$N316=5),3,IF(OR($N316=6,$N316=7,$N316=8),4,"")))))</f>
        <v/>
      </c>
      <c r="P316" s="99"/>
      <c r="Q316" s="62"/>
      <c r="R316" s="62"/>
      <c r="S316" s="51"/>
      <c r="T316" s="51"/>
      <c r="U316" s="51"/>
      <c r="V316" s="51"/>
      <c r="W316" s="51"/>
      <c r="X316" s="51"/>
      <c r="Y316" s="51"/>
      <c r="Z316" s="51"/>
      <c r="AA316" s="51"/>
      <c r="AB316" s="51"/>
      <c r="AC316" s="51"/>
      <c r="AD316" s="51"/>
      <c r="AE316" s="51"/>
      <c r="AF316" s="51"/>
      <c r="AG316" s="51"/>
      <c r="AH316" s="94"/>
      <c r="AI316" s="94"/>
      <c r="AJ316" s="94"/>
      <c r="AK316" s="94"/>
      <c r="AL316" s="94"/>
      <c r="AM316" s="94"/>
      <c r="AN316" s="94"/>
      <c r="AO316" s="95"/>
      <c r="AP316" s="686">
        <f t="shared" si="37"/>
        <v>0</v>
      </c>
      <c r="AQ316" s="42"/>
      <c r="AR316" s="42"/>
      <c r="AS316" s="42"/>
      <c r="AT316" s="43"/>
      <c r="AU316" s="687">
        <f t="shared" si="38"/>
        <v>0</v>
      </c>
      <c r="AV316" s="42"/>
      <c r="AW316" s="42"/>
      <c r="AX316" s="42"/>
      <c r="AY316" s="43"/>
      <c r="AZ316" s="486"/>
      <c r="BA316" s="51"/>
      <c r="BB316" s="51"/>
      <c r="BC316" s="51"/>
      <c r="BD316" s="51"/>
      <c r="BE316" s="51"/>
      <c r="BF316" s="51"/>
      <c r="BG316" s="51"/>
      <c r="BH316" s="94"/>
      <c r="BI316" s="94"/>
      <c r="BJ316" s="94"/>
      <c r="BK316" s="94"/>
      <c r="BL316" s="94"/>
      <c r="BM316" s="483"/>
      <c r="BN316" s="94"/>
      <c r="BO316" s="94"/>
      <c r="BP316" s="94"/>
      <c r="BQ316" s="94"/>
      <c r="BR316" s="94"/>
      <c r="BS316" s="94"/>
      <c r="BT316" s="94"/>
      <c r="BU316" s="94"/>
      <c r="BV316" s="94"/>
      <c r="BW316" s="688">
        <f t="shared" si="34"/>
        <v>0</v>
      </c>
      <c r="BX316" s="51"/>
      <c r="BY316" s="51"/>
      <c r="BZ316" s="51"/>
      <c r="CA316" s="51"/>
      <c r="CB316" s="51"/>
      <c r="CC316" s="51"/>
      <c r="CD316" s="97"/>
      <c r="CE316" s="479"/>
      <c r="CF316" s="51"/>
      <c r="CG316" s="51"/>
      <c r="CH316" s="62"/>
      <c r="CI316" s="62"/>
      <c r="CJ316" s="51"/>
      <c r="CK316" s="51"/>
      <c r="CL316" s="95"/>
      <c r="CM316" s="93"/>
      <c r="CN316" s="51"/>
      <c r="CO316" s="51"/>
      <c r="CP316" s="51"/>
      <c r="CQ316" s="51"/>
      <c r="CR316" s="51"/>
      <c r="CS316" s="51"/>
      <c r="CT316" s="51"/>
      <c r="CU316" s="95"/>
      <c r="CV316" s="93"/>
      <c r="CW316" s="51"/>
      <c r="CX316" s="51"/>
      <c r="CY316" s="51"/>
      <c r="CZ316" s="51"/>
      <c r="DA316" s="51"/>
      <c r="DB316" s="51"/>
      <c r="DC316" s="51"/>
      <c r="DD316" s="95"/>
      <c r="DE316" s="93"/>
      <c r="DF316" s="51"/>
      <c r="DG316" s="51"/>
      <c r="DH316" s="51"/>
      <c r="DI316" s="51"/>
      <c r="DJ316" s="51"/>
      <c r="DK316" s="51"/>
      <c r="DL316" s="95"/>
      <c r="DM316" s="478"/>
      <c r="DN316" s="682">
        <f t="shared" si="39"/>
        <v>0</v>
      </c>
      <c r="DO316" s="683"/>
    </row>
    <row r="317" spans="1:119" ht="25.5" customHeight="1" thickTop="1" thickBot="1" x14ac:dyDescent="0.2">
      <c r="A317" s="676">
        <f t="shared" si="35"/>
        <v>302</v>
      </c>
      <c r="B317" s="1054"/>
      <c r="C317" s="1055"/>
      <c r="D317" s="83"/>
      <c r="E317" s="954"/>
      <c r="F317" s="52"/>
      <c r="G317" s="103"/>
      <c r="H317" s="1058"/>
      <c r="I317" s="684" t="str">
        <f t="shared" si="32"/>
        <v/>
      </c>
      <c r="J317" s="685">
        <f t="shared" si="33"/>
        <v>0</v>
      </c>
      <c r="K317" s="1258"/>
      <c r="L317" s="1251"/>
      <c r="M317" s="1257"/>
      <c r="N317" s="719" t="str">
        <f t="shared" si="36"/>
        <v/>
      </c>
      <c r="O317" s="720" t="str">
        <f>IF('Set up ~ Config'!$G$32=6,IF(OR($N317=7,$N317=8,$N317=9),1,IF(OR($N317=10,$N317=11,$N317=12),2,IF(OR($N317=1,$N317=2,$N317=3),3,IF(OR($N317=4,$N317=5,$N317=6),4,"")))),IF(OR($N317=9,$N317=10,$N317=11),1,IF(OR($N317=12,$N317=1,$N317=2),2,IF(OR($N317=3,$N317=4,$N317=5),3,IF(OR($N317=6,$N317=7,$N317=8),4,"")))))</f>
        <v/>
      </c>
      <c r="P317" s="99"/>
      <c r="Q317" s="62"/>
      <c r="R317" s="62"/>
      <c r="S317" s="51"/>
      <c r="T317" s="51"/>
      <c r="U317" s="51"/>
      <c r="V317" s="51"/>
      <c r="W317" s="51"/>
      <c r="X317" s="51"/>
      <c r="Y317" s="51"/>
      <c r="Z317" s="51"/>
      <c r="AA317" s="51"/>
      <c r="AB317" s="51"/>
      <c r="AC317" s="51"/>
      <c r="AD317" s="51"/>
      <c r="AE317" s="51"/>
      <c r="AF317" s="51"/>
      <c r="AG317" s="51"/>
      <c r="AH317" s="94"/>
      <c r="AI317" s="94"/>
      <c r="AJ317" s="94"/>
      <c r="AK317" s="94"/>
      <c r="AL317" s="94"/>
      <c r="AM317" s="94"/>
      <c r="AN317" s="94"/>
      <c r="AO317" s="95"/>
      <c r="AP317" s="686">
        <f t="shared" si="37"/>
        <v>0</v>
      </c>
      <c r="AQ317" s="42"/>
      <c r="AR317" s="42"/>
      <c r="AS317" s="42"/>
      <c r="AT317" s="43"/>
      <c r="AU317" s="687">
        <f t="shared" si="38"/>
        <v>0</v>
      </c>
      <c r="AV317" s="42"/>
      <c r="AW317" s="42"/>
      <c r="AX317" s="42"/>
      <c r="AY317" s="43"/>
      <c r="AZ317" s="486"/>
      <c r="BA317" s="51"/>
      <c r="BB317" s="51"/>
      <c r="BC317" s="51"/>
      <c r="BD317" s="51"/>
      <c r="BE317" s="51"/>
      <c r="BF317" s="51"/>
      <c r="BG317" s="51"/>
      <c r="BH317" s="94"/>
      <c r="BI317" s="94"/>
      <c r="BJ317" s="94"/>
      <c r="BK317" s="94"/>
      <c r="BL317" s="94"/>
      <c r="BM317" s="483"/>
      <c r="BN317" s="94"/>
      <c r="BO317" s="94"/>
      <c r="BP317" s="94"/>
      <c r="BQ317" s="94"/>
      <c r="BR317" s="94"/>
      <c r="BS317" s="94"/>
      <c r="BT317" s="94"/>
      <c r="BU317" s="94"/>
      <c r="BV317" s="94"/>
      <c r="BW317" s="688">
        <f t="shared" si="34"/>
        <v>0</v>
      </c>
      <c r="BX317" s="51"/>
      <c r="BY317" s="51"/>
      <c r="BZ317" s="51"/>
      <c r="CA317" s="51"/>
      <c r="CB317" s="51"/>
      <c r="CC317" s="51"/>
      <c r="CD317" s="97"/>
      <c r="CE317" s="479"/>
      <c r="CF317" s="51"/>
      <c r="CG317" s="51"/>
      <c r="CH317" s="62"/>
      <c r="CI317" s="62"/>
      <c r="CJ317" s="51"/>
      <c r="CK317" s="51"/>
      <c r="CL317" s="95"/>
      <c r="CM317" s="93"/>
      <c r="CN317" s="51"/>
      <c r="CO317" s="51"/>
      <c r="CP317" s="51"/>
      <c r="CQ317" s="51"/>
      <c r="CR317" s="51"/>
      <c r="CS317" s="51"/>
      <c r="CT317" s="51"/>
      <c r="CU317" s="95"/>
      <c r="CV317" s="93"/>
      <c r="CW317" s="51"/>
      <c r="CX317" s="51"/>
      <c r="CY317" s="51"/>
      <c r="CZ317" s="51"/>
      <c r="DA317" s="51"/>
      <c r="DB317" s="51"/>
      <c r="DC317" s="51"/>
      <c r="DD317" s="95"/>
      <c r="DE317" s="93"/>
      <c r="DF317" s="51"/>
      <c r="DG317" s="51"/>
      <c r="DH317" s="51"/>
      <c r="DI317" s="51"/>
      <c r="DJ317" s="51"/>
      <c r="DK317" s="51"/>
      <c r="DL317" s="95"/>
      <c r="DM317" s="478"/>
      <c r="DN317" s="682">
        <f t="shared" si="39"/>
        <v>0</v>
      </c>
      <c r="DO317" s="683"/>
    </row>
    <row r="318" spans="1:119" ht="25.5" customHeight="1" thickTop="1" thickBot="1" x14ac:dyDescent="0.2">
      <c r="A318" s="676">
        <f t="shared" si="35"/>
        <v>303</v>
      </c>
      <c r="B318" s="1054"/>
      <c r="C318" s="1055"/>
      <c r="D318" s="83"/>
      <c r="E318" s="954"/>
      <c r="F318" s="52"/>
      <c r="G318" s="103"/>
      <c r="H318" s="1058"/>
      <c r="I318" s="684" t="str">
        <f t="shared" si="32"/>
        <v/>
      </c>
      <c r="J318" s="685">
        <f t="shared" si="33"/>
        <v>0</v>
      </c>
      <c r="K318" s="1258"/>
      <c r="L318" s="1251"/>
      <c r="M318" s="1257"/>
      <c r="N318" s="719" t="str">
        <f t="shared" si="36"/>
        <v/>
      </c>
      <c r="O318" s="720" t="str">
        <f>IF('Set up ~ Config'!$G$32=6,IF(OR($N318=7,$N318=8,$N318=9),1,IF(OR($N318=10,$N318=11,$N318=12),2,IF(OR($N318=1,$N318=2,$N318=3),3,IF(OR($N318=4,$N318=5,$N318=6),4,"")))),IF(OR($N318=9,$N318=10,$N318=11),1,IF(OR($N318=12,$N318=1,$N318=2),2,IF(OR($N318=3,$N318=4,$N318=5),3,IF(OR($N318=6,$N318=7,$N318=8),4,"")))))</f>
        <v/>
      </c>
      <c r="P318" s="99"/>
      <c r="Q318" s="62"/>
      <c r="R318" s="62"/>
      <c r="S318" s="51"/>
      <c r="T318" s="51"/>
      <c r="U318" s="51"/>
      <c r="V318" s="51"/>
      <c r="W318" s="51"/>
      <c r="X318" s="51"/>
      <c r="Y318" s="51"/>
      <c r="Z318" s="51"/>
      <c r="AA318" s="51"/>
      <c r="AB318" s="51"/>
      <c r="AC318" s="51"/>
      <c r="AD318" s="51"/>
      <c r="AE318" s="51"/>
      <c r="AF318" s="51"/>
      <c r="AG318" s="51"/>
      <c r="AH318" s="94"/>
      <c r="AI318" s="94"/>
      <c r="AJ318" s="94"/>
      <c r="AK318" s="94"/>
      <c r="AL318" s="94"/>
      <c r="AM318" s="94"/>
      <c r="AN318" s="94"/>
      <c r="AO318" s="95"/>
      <c r="AP318" s="686">
        <f t="shared" si="37"/>
        <v>0</v>
      </c>
      <c r="AQ318" s="42"/>
      <c r="AR318" s="42"/>
      <c r="AS318" s="42"/>
      <c r="AT318" s="43"/>
      <c r="AU318" s="687">
        <f t="shared" si="38"/>
        <v>0</v>
      </c>
      <c r="AV318" s="42"/>
      <c r="AW318" s="42"/>
      <c r="AX318" s="42"/>
      <c r="AY318" s="43"/>
      <c r="AZ318" s="486"/>
      <c r="BA318" s="51"/>
      <c r="BB318" s="51"/>
      <c r="BC318" s="51"/>
      <c r="BD318" s="51"/>
      <c r="BE318" s="51"/>
      <c r="BF318" s="51"/>
      <c r="BG318" s="51"/>
      <c r="BH318" s="94"/>
      <c r="BI318" s="94"/>
      <c r="BJ318" s="94"/>
      <c r="BK318" s="94"/>
      <c r="BL318" s="94"/>
      <c r="BM318" s="483"/>
      <c r="BN318" s="94"/>
      <c r="BO318" s="94"/>
      <c r="BP318" s="94"/>
      <c r="BQ318" s="94"/>
      <c r="BR318" s="94"/>
      <c r="BS318" s="94"/>
      <c r="BT318" s="94"/>
      <c r="BU318" s="94"/>
      <c r="BV318" s="94"/>
      <c r="BW318" s="688">
        <f t="shared" si="34"/>
        <v>0</v>
      </c>
      <c r="BX318" s="51"/>
      <c r="BY318" s="51"/>
      <c r="BZ318" s="51"/>
      <c r="CA318" s="51"/>
      <c r="CB318" s="51"/>
      <c r="CC318" s="51"/>
      <c r="CD318" s="97"/>
      <c r="CE318" s="479"/>
      <c r="CF318" s="51"/>
      <c r="CG318" s="51"/>
      <c r="CH318" s="62"/>
      <c r="CI318" s="62"/>
      <c r="CJ318" s="51"/>
      <c r="CK318" s="51"/>
      <c r="CL318" s="95"/>
      <c r="CM318" s="93"/>
      <c r="CN318" s="51"/>
      <c r="CO318" s="51"/>
      <c r="CP318" s="51"/>
      <c r="CQ318" s="51"/>
      <c r="CR318" s="51"/>
      <c r="CS318" s="51"/>
      <c r="CT318" s="51"/>
      <c r="CU318" s="95"/>
      <c r="CV318" s="93"/>
      <c r="CW318" s="51"/>
      <c r="CX318" s="51"/>
      <c r="CY318" s="51"/>
      <c r="CZ318" s="51"/>
      <c r="DA318" s="51"/>
      <c r="DB318" s="51"/>
      <c r="DC318" s="51"/>
      <c r="DD318" s="95"/>
      <c r="DE318" s="93"/>
      <c r="DF318" s="51"/>
      <c r="DG318" s="51"/>
      <c r="DH318" s="51"/>
      <c r="DI318" s="51"/>
      <c r="DJ318" s="51"/>
      <c r="DK318" s="51"/>
      <c r="DL318" s="95"/>
      <c r="DM318" s="478"/>
      <c r="DN318" s="682">
        <f t="shared" si="39"/>
        <v>0</v>
      </c>
      <c r="DO318" s="683"/>
    </row>
    <row r="319" spans="1:119" ht="25.5" customHeight="1" thickTop="1" thickBot="1" x14ac:dyDescent="0.2">
      <c r="A319" s="676">
        <f t="shared" si="35"/>
        <v>304</v>
      </c>
      <c r="B319" s="1054"/>
      <c r="C319" s="1055"/>
      <c r="D319" s="83"/>
      <c r="E319" s="954"/>
      <c r="F319" s="52"/>
      <c r="G319" s="103"/>
      <c r="H319" s="1058"/>
      <c r="I319" s="684" t="str">
        <f t="shared" si="32"/>
        <v/>
      </c>
      <c r="J319" s="685">
        <f t="shared" si="33"/>
        <v>0</v>
      </c>
      <c r="K319" s="1258"/>
      <c r="L319" s="1251"/>
      <c r="M319" s="1257"/>
      <c r="N319" s="719" t="str">
        <f t="shared" si="36"/>
        <v/>
      </c>
      <c r="O319" s="720" t="str">
        <f>IF('Set up ~ Config'!$G$32=6,IF(OR($N319=7,$N319=8,$N319=9),1,IF(OR($N319=10,$N319=11,$N319=12),2,IF(OR($N319=1,$N319=2,$N319=3),3,IF(OR($N319=4,$N319=5,$N319=6),4,"")))),IF(OR($N319=9,$N319=10,$N319=11),1,IF(OR($N319=12,$N319=1,$N319=2),2,IF(OR($N319=3,$N319=4,$N319=5),3,IF(OR($N319=6,$N319=7,$N319=8),4,"")))))</f>
        <v/>
      </c>
      <c r="P319" s="99"/>
      <c r="Q319" s="62"/>
      <c r="R319" s="62"/>
      <c r="S319" s="51"/>
      <c r="T319" s="51"/>
      <c r="U319" s="51"/>
      <c r="V319" s="51"/>
      <c r="W319" s="51"/>
      <c r="X319" s="51"/>
      <c r="Y319" s="51"/>
      <c r="Z319" s="51"/>
      <c r="AA319" s="51"/>
      <c r="AB319" s="51"/>
      <c r="AC319" s="51"/>
      <c r="AD319" s="51"/>
      <c r="AE319" s="51"/>
      <c r="AF319" s="51"/>
      <c r="AG319" s="51"/>
      <c r="AH319" s="94"/>
      <c r="AI319" s="94"/>
      <c r="AJ319" s="94"/>
      <c r="AK319" s="94"/>
      <c r="AL319" s="94"/>
      <c r="AM319" s="94"/>
      <c r="AN319" s="94"/>
      <c r="AO319" s="95"/>
      <c r="AP319" s="686">
        <f t="shared" si="37"/>
        <v>0</v>
      </c>
      <c r="AQ319" s="42"/>
      <c r="AR319" s="42"/>
      <c r="AS319" s="42"/>
      <c r="AT319" s="43"/>
      <c r="AU319" s="687">
        <f t="shared" si="38"/>
        <v>0</v>
      </c>
      <c r="AV319" s="42"/>
      <c r="AW319" s="42"/>
      <c r="AX319" s="42"/>
      <c r="AY319" s="43"/>
      <c r="AZ319" s="486"/>
      <c r="BA319" s="51"/>
      <c r="BB319" s="51"/>
      <c r="BC319" s="51"/>
      <c r="BD319" s="51"/>
      <c r="BE319" s="51"/>
      <c r="BF319" s="51"/>
      <c r="BG319" s="51"/>
      <c r="BH319" s="94"/>
      <c r="BI319" s="94"/>
      <c r="BJ319" s="94"/>
      <c r="BK319" s="94"/>
      <c r="BL319" s="94"/>
      <c r="BM319" s="483"/>
      <c r="BN319" s="94"/>
      <c r="BO319" s="94"/>
      <c r="BP319" s="94"/>
      <c r="BQ319" s="94"/>
      <c r="BR319" s="94"/>
      <c r="BS319" s="94"/>
      <c r="BT319" s="94"/>
      <c r="BU319" s="94"/>
      <c r="BV319" s="94"/>
      <c r="BW319" s="688">
        <f t="shared" si="34"/>
        <v>0</v>
      </c>
      <c r="BX319" s="51"/>
      <c r="BY319" s="51"/>
      <c r="BZ319" s="51"/>
      <c r="CA319" s="51"/>
      <c r="CB319" s="51"/>
      <c r="CC319" s="51"/>
      <c r="CD319" s="97"/>
      <c r="CE319" s="479"/>
      <c r="CF319" s="51"/>
      <c r="CG319" s="51"/>
      <c r="CH319" s="62"/>
      <c r="CI319" s="62"/>
      <c r="CJ319" s="51"/>
      <c r="CK319" s="51"/>
      <c r="CL319" s="95"/>
      <c r="CM319" s="93"/>
      <c r="CN319" s="51"/>
      <c r="CO319" s="51"/>
      <c r="CP319" s="51"/>
      <c r="CQ319" s="51"/>
      <c r="CR319" s="51"/>
      <c r="CS319" s="51"/>
      <c r="CT319" s="51"/>
      <c r="CU319" s="95"/>
      <c r="CV319" s="93"/>
      <c r="CW319" s="51"/>
      <c r="CX319" s="51"/>
      <c r="CY319" s="51"/>
      <c r="CZ319" s="51"/>
      <c r="DA319" s="51"/>
      <c r="DB319" s="51"/>
      <c r="DC319" s="51"/>
      <c r="DD319" s="95"/>
      <c r="DE319" s="93"/>
      <c r="DF319" s="51"/>
      <c r="DG319" s="51"/>
      <c r="DH319" s="51"/>
      <c r="DI319" s="51"/>
      <c r="DJ319" s="51"/>
      <c r="DK319" s="51"/>
      <c r="DL319" s="95"/>
      <c r="DM319" s="478"/>
      <c r="DN319" s="682">
        <f t="shared" si="39"/>
        <v>0</v>
      </c>
      <c r="DO319" s="683"/>
    </row>
    <row r="320" spans="1:119" ht="25.5" customHeight="1" thickTop="1" thickBot="1" x14ac:dyDescent="0.2">
      <c r="A320" s="676">
        <f t="shared" si="35"/>
        <v>305</v>
      </c>
      <c r="B320" s="1054"/>
      <c r="C320" s="1055"/>
      <c r="D320" s="83"/>
      <c r="E320" s="954"/>
      <c r="F320" s="52"/>
      <c r="G320" s="103"/>
      <c r="H320" s="1058"/>
      <c r="I320" s="684" t="str">
        <f t="shared" si="32"/>
        <v/>
      </c>
      <c r="J320" s="685">
        <f t="shared" si="33"/>
        <v>0</v>
      </c>
      <c r="K320" s="1258"/>
      <c r="L320" s="1251"/>
      <c r="M320" s="1257"/>
      <c r="N320" s="719" t="str">
        <f t="shared" si="36"/>
        <v/>
      </c>
      <c r="O320" s="720" t="str">
        <f>IF('Set up ~ Config'!$G$32=6,IF(OR($N320=7,$N320=8,$N320=9),1,IF(OR($N320=10,$N320=11,$N320=12),2,IF(OR($N320=1,$N320=2,$N320=3),3,IF(OR($N320=4,$N320=5,$N320=6),4,"")))),IF(OR($N320=9,$N320=10,$N320=11),1,IF(OR($N320=12,$N320=1,$N320=2),2,IF(OR($N320=3,$N320=4,$N320=5),3,IF(OR($N320=6,$N320=7,$N320=8),4,"")))))</f>
        <v/>
      </c>
      <c r="P320" s="99"/>
      <c r="Q320" s="62"/>
      <c r="R320" s="62"/>
      <c r="S320" s="51"/>
      <c r="T320" s="51"/>
      <c r="U320" s="51"/>
      <c r="V320" s="51"/>
      <c r="W320" s="51"/>
      <c r="X320" s="51"/>
      <c r="Y320" s="51"/>
      <c r="Z320" s="51"/>
      <c r="AA320" s="51"/>
      <c r="AB320" s="51"/>
      <c r="AC320" s="51"/>
      <c r="AD320" s="51"/>
      <c r="AE320" s="51"/>
      <c r="AF320" s="51"/>
      <c r="AG320" s="51"/>
      <c r="AH320" s="94"/>
      <c r="AI320" s="94"/>
      <c r="AJ320" s="94"/>
      <c r="AK320" s="94"/>
      <c r="AL320" s="94"/>
      <c r="AM320" s="94"/>
      <c r="AN320" s="94"/>
      <c r="AO320" s="95"/>
      <c r="AP320" s="686">
        <f t="shared" si="37"/>
        <v>0</v>
      </c>
      <c r="AQ320" s="42"/>
      <c r="AR320" s="42"/>
      <c r="AS320" s="42"/>
      <c r="AT320" s="43"/>
      <c r="AU320" s="687">
        <f t="shared" si="38"/>
        <v>0</v>
      </c>
      <c r="AV320" s="42"/>
      <c r="AW320" s="42"/>
      <c r="AX320" s="42"/>
      <c r="AY320" s="43"/>
      <c r="AZ320" s="486"/>
      <c r="BA320" s="51"/>
      <c r="BB320" s="51"/>
      <c r="BC320" s="51"/>
      <c r="BD320" s="51"/>
      <c r="BE320" s="51"/>
      <c r="BF320" s="51"/>
      <c r="BG320" s="51"/>
      <c r="BH320" s="94"/>
      <c r="BI320" s="94"/>
      <c r="BJ320" s="94"/>
      <c r="BK320" s="94"/>
      <c r="BL320" s="94"/>
      <c r="BM320" s="483"/>
      <c r="BN320" s="94"/>
      <c r="BO320" s="94"/>
      <c r="BP320" s="94"/>
      <c r="BQ320" s="94"/>
      <c r="BR320" s="94"/>
      <c r="BS320" s="94"/>
      <c r="BT320" s="94"/>
      <c r="BU320" s="94"/>
      <c r="BV320" s="94"/>
      <c r="BW320" s="688">
        <f t="shared" si="34"/>
        <v>0</v>
      </c>
      <c r="BX320" s="51"/>
      <c r="BY320" s="51"/>
      <c r="BZ320" s="51"/>
      <c r="CA320" s="51"/>
      <c r="CB320" s="51"/>
      <c r="CC320" s="51"/>
      <c r="CD320" s="97"/>
      <c r="CE320" s="479"/>
      <c r="CF320" s="51"/>
      <c r="CG320" s="51"/>
      <c r="CH320" s="62"/>
      <c r="CI320" s="62"/>
      <c r="CJ320" s="51"/>
      <c r="CK320" s="51"/>
      <c r="CL320" s="95"/>
      <c r="CM320" s="93"/>
      <c r="CN320" s="51"/>
      <c r="CO320" s="51"/>
      <c r="CP320" s="51"/>
      <c r="CQ320" s="51"/>
      <c r="CR320" s="51"/>
      <c r="CS320" s="51"/>
      <c r="CT320" s="51"/>
      <c r="CU320" s="95"/>
      <c r="CV320" s="93"/>
      <c r="CW320" s="51"/>
      <c r="CX320" s="51"/>
      <c r="CY320" s="51"/>
      <c r="CZ320" s="51"/>
      <c r="DA320" s="51"/>
      <c r="DB320" s="51"/>
      <c r="DC320" s="51"/>
      <c r="DD320" s="95"/>
      <c r="DE320" s="93"/>
      <c r="DF320" s="51"/>
      <c r="DG320" s="51"/>
      <c r="DH320" s="51"/>
      <c r="DI320" s="51"/>
      <c r="DJ320" s="51"/>
      <c r="DK320" s="51"/>
      <c r="DL320" s="95"/>
      <c r="DM320" s="478"/>
      <c r="DN320" s="682">
        <f t="shared" si="39"/>
        <v>0</v>
      </c>
      <c r="DO320" s="683"/>
    </row>
    <row r="321" spans="1:119" ht="25.5" customHeight="1" thickTop="1" thickBot="1" x14ac:dyDescent="0.2">
      <c r="A321" s="676">
        <f t="shared" si="35"/>
        <v>306</v>
      </c>
      <c r="B321" s="1054"/>
      <c r="C321" s="1055"/>
      <c r="D321" s="83"/>
      <c r="E321" s="954"/>
      <c r="F321" s="52"/>
      <c r="G321" s="103"/>
      <c r="H321" s="1058"/>
      <c r="I321" s="684" t="str">
        <f t="shared" si="32"/>
        <v/>
      </c>
      <c r="J321" s="685">
        <f t="shared" si="33"/>
        <v>0</v>
      </c>
      <c r="K321" s="1258"/>
      <c r="L321" s="1251"/>
      <c r="M321" s="1257"/>
      <c r="N321" s="719" t="str">
        <f t="shared" si="36"/>
        <v/>
      </c>
      <c r="O321" s="720" t="str">
        <f>IF('Set up ~ Config'!$G$32=6,IF(OR($N321=7,$N321=8,$N321=9),1,IF(OR($N321=10,$N321=11,$N321=12),2,IF(OR($N321=1,$N321=2,$N321=3),3,IF(OR($N321=4,$N321=5,$N321=6),4,"")))),IF(OR($N321=9,$N321=10,$N321=11),1,IF(OR($N321=12,$N321=1,$N321=2),2,IF(OR($N321=3,$N321=4,$N321=5),3,IF(OR($N321=6,$N321=7,$N321=8),4,"")))))</f>
        <v/>
      </c>
      <c r="P321" s="99"/>
      <c r="Q321" s="62"/>
      <c r="R321" s="62"/>
      <c r="S321" s="51"/>
      <c r="T321" s="51"/>
      <c r="U321" s="51"/>
      <c r="V321" s="51"/>
      <c r="W321" s="51"/>
      <c r="X321" s="51"/>
      <c r="Y321" s="51"/>
      <c r="Z321" s="51"/>
      <c r="AA321" s="51"/>
      <c r="AB321" s="51"/>
      <c r="AC321" s="51"/>
      <c r="AD321" s="51"/>
      <c r="AE321" s="51"/>
      <c r="AF321" s="51"/>
      <c r="AG321" s="51"/>
      <c r="AH321" s="94"/>
      <c r="AI321" s="94"/>
      <c r="AJ321" s="94"/>
      <c r="AK321" s="94"/>
      <c r="AL321" s="94"/>
      <c r="AM321" s="94"/>
      <c r="AN321" s="94"/>
      <c r="AO321" s="95"/>
      <c r="AP321" s="686">
        <f t="shared" si="37"/>
        <v>0</v>
      </c>
      <c r="AQ321" s="42"/>
      <c r="AR321" s="42"/>
      <c r="AS321" s="42"/>
      <c r="AT321" s="43"/>
      <c r="AU321" s="687">
        <f t="shared" si="38"/>
        <v>0</v>
      </c>
      <c r="AV321" s="42"/>
      <c r="AW321" s="42"/>
      <c r="AX321" s="42"/>
      <c r="AY321" s="43"/>
      <c r="AZ321" s="486"/>
      <c r="BA321" s="51"/>
      <c r="BB321" s="51"/>
      <c r="BC321" s="51"/>
      <c r="BD321" s="51"/>
      <c r="BE321" s="51"/>
      <c r="BF321" s="51"/>
      <c r="BG321" s="51"/>
      <c r="BH321" s="94"/>
      <c r="BI321" s="94"/>
      <c r="BJ321" s="94"/>
      <c r="BK321" s="94"/>
      <c r="BL321" s="94"/>
      <c r="BM321" s="483"/>
      <c r="BN321" s="94"/>
      <c r="BO321" s="94"/>
      <c r="BP321" s="94"/>
      <c r="BQ321" s="94"/>
      <c r="BR321" s="94"/>
      <c r="BS321" s="94"/>
      <c r="BT321" s="94"/>
      <c r="BU321" s="94"/>
      <c r="BV321" s="94"/>
      <c r="BW321" s="688">
        <f t="shared" si="34"/>
        <v>0</v>
      </c>
      <c r="BX321" s="51"/>
      <c r="BY321" s="51"/>
      <c r="BZ321" s="51"/>
      <c r="CA321" s="51"/>
      <c r="CB321" s="51"/>
      <c r="CC321" s="51"/>
      <c r="CD321" s="97"/>
      <c r="CE321" s="479"/>
      <c r="CF321" s="51"/>
      <c r="CG321" s="51"/>
      <c r="CH321" s="62"/>
      <c r="CI321" s="62"/>
      <c r="CJ321" s="51"/>
      <c r="CK321" s="51"/>
      <c r="CL321" s="95"/>
      <c r="CM321" s="93"/>
      <c r="CN321" s="51"/>
      <c r="CO321" s="51"/>
      <c r="CP321" s="51"/>
      <c r="CQ321" s="51"/>
      <c r="CR321" s="51"/>
      <c r="CS321" s="51"/>
      <c r="CT321" s="51"/>
      <c r="CU321" s="95"/>
      <c r="CV321" s="93"/>
      <c r="CW321" s="51"/>
      <c r="CX321" s="51"/>
      <c r="CY321" s="51"/>
      <c r="CZ321" s="51"/>
      <c r="DA321" s="51"/>
      <c r="DB321" s="51"/>
      <c r="DC321" s="51"/>
      <c r="DD321" s="95"/>
      <c r="DE321" s="93"/>
      <c r="DF321" s="51"/>
      <c r="DG321" s="51"/>
      <c r="DH321" s="51"/>
      <c r="DI321" s="51"/>
      <c r="DJ321" s="51"/>
      <c r="DK321" s="51"/>
      <c r="DL321" s="95"/>
      <c r="DM321" s="478"/>
      <c r="DN321" s="682">
        <f t="shared" si="39"/>
        <v>0</v>
      </c>
      <c r="DO321" s="683"/>
    </row>
    <row r="322" spans="1:119" ht="25.5" customHeight="1" thickTop="1" thickBot="1" x14ac:dyDescent="0.2">
      <c r="A322" s="676">
        <f t="shared" si="35"/>
        <v>307</v>
      </c>
      <c r="B322" s="1054"/>
      <c r="C322" s="1055"/>
      <c r="D322" s="83"/>
      <c r="E322" s="954"/>
      <c r="F322" s="52"/>
      <c r="G322" s="103"/>
      <c r="H322" s="1058"/>
      <c r="I322" s="684" t="str">
        <f t="shared" si="32"/>
        <v/>
      </c>
      <c r="J322" s="685">
        <f t="shared" si="33"/>
        <v>0</v>
      </c>
      <c r="K322" s="1258"/>
      <c r="L322" s="1251"/>
      <c r="M322" s="1257"/>
      <c r="N322" s="719" t="str">
        <f t="shared" si="36"/>
        <v/>
      </c>
      <c r="O322" s="720" t="str">
        <f>IF('Set up ~ Config'!$G$32=6,IF(OR($N322=7,$N322=8,$N322=9),1,IF(OR($N322=10,$N322=11,$N322=12),2,IF(OR($N322=1,$N322=2,$N322=3),3,IF(OR($N322=4,$N322=5,$N322=6),4,"")))),IF(OR($N322=9,$N322=10,$N322=11),1,IF(OR($N322=12,$N322=1,$N322=2),2,IF(OR($N322=3,$N322=4,$N322=5),3,IF(OR($N322=6,$N322=7,$N322=8),4,"")))))</f>
        <v/>
      </c>
      <c r="P322" s="99"/>
      <c r="Q322" s="62"/>
      <c r="R322" s="62"/>
      <c r="S322" s="51"/>
      <c r="T322" s="51"/>
      <c r="U322" s="51"/>
      <c r="V322" s="51"/>
      <c r="W322" s="51"/>
      <c r="X322" s="51"/>
      <c r="Y322" s="51"/>
      <c r="Z322" s="51"/>
      <c r="AA322" s="51"/>
      <c r="AB322" s="51"/>
      <c r="AC322" s="51"/>
      <c r="AD322" s="51"/>
      <c r="AE322" s="51"/>
      <c r="AF322" s="51"/>
      <c r="AG322" s="51"/>
      <c r="AH322" s="94"/>
      <c r="AI322" s="94"/>
      <c r="AJ322" s="94"/>
      <c r="AK322" s="94"/>
      <c r="AL322" s="94"/>
      <c r="AM322" s="94"/>
      <c r="AN322" s="94"/>
      <c r="AO322" s="95"/>
      <c r="AP322" s="686">
        <f t="shared" si="37"/>
        <v>0</v>
      </c>
      <c r="AQ322" s="42"/>
      <c r="AR322" s="42"/>
      <c r="AS322" s="42"/>
      <c r="AT322" s="43"/>
      <c r="AU322" s="687">
        <f t="shared" si="38"/>
        <v>0</v>
      </c>
      <c r="AV322" s="42"/>
      <c r="AW322" s="42"/>
      <c r="AX322" s="42"/>
      <c r="AY322" s="43"/>
      <c r="AZ322" s="486"/>
      <c r="BA322" s="51"/>
      <c r="BB322" s="51"/>
      <c r="BC322" s="51"/>
      <c r="BD322" s="51"/>
      <c r="BE322" s="51"/>
      <c r="BF322" s="51"/>
      <c r="BG322" s="51"/>
      <c r="BH322" s="94"/>
      <c r="BI322" s="94"/>
      <c r="BJ322" s="94"/>
      <c r="BK322" s="94"/>
      <c r="BL322" s="94"/>
      <c r="BM322" s="483"/>
      <c r="BN322" s="94"/>
      <c r="BO322" s="94"/>
      <c r="BP322" s="94"/>
      <c r="BQ322" s="94"/>
      <c r="BR322" s="94"/>
      <c r="BS322" s="94"/>
      <c r="BT322" s="94"/>
      <c r="BU322" s="94"/>
      <c r="BV322" s="94"/>
      <c r="BW322" s="688">
        <f t="shared" si="34"/>
        <v>0</v>
      </c>
      <c r="BX322" s="51"/>
      <c r="BY322" s="51"/>
      <c r="BZ322" s="51"/>
      <c r="CA322" s="51"/>
      <c r="CB322" s="51"/>
      <c r="CC322" s="51"/>
      <c r="CD322" s="97"/>
      <c r="CE322" s="479"/>
      <c r="CF322" s="51"/>
      <c r="CG322" s="51"/>
      <c r="CH322" s="62"/>
      <c r="CI322" s="62"/>
      <c r="CJ322" s="51"/>
      <c r="CK322" s="51"/>
      <c r="CL322" s="95"/>
      <c r="CM322" s="93"/>
      <c r="CN322" s="51"/>
      <c r="CO322" s="51"/>
      <c r="CP322" s="51"/>
      <c r="CQ322" s="51"/>
      <c r="CR322" s="51"/>
      <c r="CS322" s="51"/>
      <c r="CT322" s="51"/>
      <c r="CU322" s="95"/>
      <c r="CV322" s="93"/>
      <c r="CW322" s="51"/>
      <c r="CX322" s="51"/>
      <c r="CY322" s="51"/>
      <c r="CZ322" s="51"/>
      <c r="DA322" s="51"/>
      <c r="DB322" s="51"/>
      <c r="DC322" s="51"/>
      <c r="DD322" s="95"/>
      <c r="DE322" s="93"/>
      <c r="DF322" s="51"/>
      <c r="DG322" s="51"/>
      <c r="DH322" s="51"/>
      <c r="DI322" s="51"/>
      <c r="DJ322" s="51"/>
      <c r="DK322" s="51"/>
      <c r="DL322" s="95"/>
      <c r="DM322" s="478"/>
      <c r="DN322" s="682">
        <f t="shared" si="39"/>
        <v>0</v>
      </c>
      <c r="DO322" s="683"/>
    </row>
    <row r="323" spans="1:119" ht="25.5" customHeight="1" thickTop="1" thickBot="1" x14ac:dyDescent="0.2">
      <c r="A323" s="676">
        <f t="shared" si="35"/>
        <v>308</v>
      </c>
      <c r="B323" s="1054"/>
      <c r="C323" s="1055"/>
      <c r="D323" s="83"/>
      <c r="E323" s="954"/>
      <c r="F323" s="52"/>
      <c r="G323" s="103"/>
      <c r="H323" s="1058"/>
      <c r="I323" s="684" t="str">
        <f t="shared" si="32"/>
        <v/>
      </c>
      <c r="J323" s="685">
        <f t="shared" si="33"/>
        <v>0</v>
      </c>
      <c r="K323" s="1258"/>
      <c r="L323" s="1251"/>
      <c r="M323" s="1257"/>
      <c r="N323" s="719" t="str">
        <f t="shared" si="36"/>
        <v/>
      </c>
      <c r="O323" s="720" t="str">
        <f>IF('Set up ~ Config'!$G$32=6,IF(OR($N323=7,$N323=8,$N323=9),1,IF(OR($N323=10,$N323=11,$N323=12),2,IF(OR($N323=1,$N323=2,$N323=3),3,IF(OR($N323=4,$N323=5,$N323=6),4,"")))),IF(OR($N323=9,$N323=10,$N323=11),1,IF(OR($N323=12,$N323=1,$N323=2),2,IF(OR($N323=3,$N323=4,$N323=5),3,IF(OR($N323=6,$N323=7,$N323=8),4,"")))))</f>
        <v/>
      </c>
      <c r="P323" s="99"/>
      <c r="Q323" s="62"/>
      <c r="R323" s="62"/>
      <c r="S323" s="51"/>
      <c r="T323" s="51"/>
      <c r="U323" s="51"/>
      <c r="V323" s="51"/>
      <c r="W323" s="51"/>
      <c r="X323" s="51"/>
      <c r="Y323" s="51"/>
      <c r="Z323" s="51"/>
      <c r="AA323" s="51"/>
      <c r="AB323" s="51"/>
      <c r="AC323" s="51"/>
      <c r="AD323" s="51"/>
      <c r="AE323" s="51"/>
      <c r="AF323" s="51"/>
      <c r="AG323" s="51"/>
      <c r="AH323" s="94"/>
      <c r="AI323" s="94"/>
      <c r="AJ323" s="94"/>
      <c r="AK323" s="94"/>
      <c r="AL323" s="94"/>
      <c r="AM323" s="94"/>
      <c r="AN323" s="94"/>
      <c r="AO323" s="95"/>
      <c r="AP323" s="686">
        <f t="shared" si="37"/>
        <v>0</v>
      </c>
      <c r="AQ323" s="42"/>
      <c r="AR323" s="42"/>
      <c r="AS323" s="42"/>
      <c r="AT323" s="43"/>
      <c r="AU323" s="687">
        <f t="shared" si="38"/>
        <v>0</v>
      </c>
      <c r="AV323" s="42"/>
      <c r="AW323" s="42"/>
      <c r="AX323" s="42"/>
      <c r="AY323" s="43"/>
      <c r="AZ323" s="486"/>
      <c r="BA323" s="51"/>
      <c r="BB323" s="51"/>
      <c r="BC323" s="51"/>
      <c r="BD323" s="51"/>
      <c r="BE323" s="51"/>
      <c r="BF323" s="51"/>
      <c r="BG323" s="51"/>
      <c r="BH323" s="94"/>
      <c r="BI323" s="94"/>
      <c r="BJ323" s="94"/>
      <c r="BK323" s="94"/>
      <c r="BL323" s="94"/>
      <c r="BM323" s="483"/>
      <c r="BN323" s="94"/>
      <c r="BO323" s="94"/>
      <c r="BP323" s="94"/>
      <c r="BQ323" s="94"/>
      <c r="BR323" s="94"/>
      <c r="BS323" s="94"/>
      <c r="BT323" s="94"/>
      <c r="BU323" s="94"/>
      <c r="BV323" s="94"/>
      <c r="BW323" s="688">
        <f t="shared" si="34"/>
        <v>0</v>
      </c>
      <c r="BX323" s="51"/>
      <c r="BY323" s="51"/>
      <c r="BZ323" s="51"/>
      <c r="CA323" s="51"/>
      <c r="CB323" s="51"/>
      <c r="CC323" s="51"/>
      <c r="CD323" s="97"/>
      <c r="CE323" s="479"/>
      <c r="CF323" s="51"/>
      <c r="CG323" s="51"/>
      <c r="CH323" s="62"/>
      <c r="CI323" s="62"/>
      <c r="CJ323" s="51"/>
      <c r="CK323" s="51"/>
      <c r="CL323" s="95"/>
      <c r="CM323" s="93"/>
      <c r="CN323" s="51"/>
      <c r="CO323" s="51"/>
      <c r="CP323" s="51"/>
      <c r="CQ323" s="51"/>
      <c r="CR323" s="51"/>
      <c r="CS323" s="51"/>
      <c r="CT323" s="51"/>
      <c r="CU323" s="95"/>
      <c r="CV323" s="93"/>
      <c r="CW323" s="51"/>
      <c r="CX323" s="51"/>
      <c r="CY323" s="51"/>
      <c r="CZ323" s="51"/>
      <c r="DA323" s="51"/>
      <c r="DB323" s="51"/>
      <c r="DC323" s="51"/>
      <c r="DD323" s="95"/>
      <c r="DE323" s="93"/>
      <c r="DF323" s="51"/>
      <c r="DG323" s="51"/>
      <c r="DH323" s="51"/>
      <c r="DI323" s="51"/>
      <c r="DJ323" s="51"/>
      <c r="DK323" s="51"/>
      <c r="DL323" s="95"/>
      <c r="DM323" s="478"/>
      <c r="DN323" s="682">
        <f t="shared" si="39"/>
        <v>0</v>
      </c>
      <c r="DO323" s="683"/>
    </row>
    <row r="324" spans="1:119" ht="25.5" customHeight="1" thickTop="1" thickBot="1" x14ac:dyDescent="0.2">
      <c r="A324" s="676">
        <f t="shared" si="35"/>
        <v>309</v>
      </c>
      <c r="B324" s="1054"/>
      <c r="C324" s="1055"/>
      <c r="D324" s="83"/>
      <c r="E324" s="954"/>
      <c r="F324" s="52"/>
      <c r="G324" s="103"/>
      <c r="H324" s="1058"/>
      <c r="I324" s="684" t="str">
        <f t="shared" si="32"/>
        <v/>
      </c>
      <c r="J324" s="685">
        <f t="shared" si="33"/>
        <v>0</v>
      </c>
      <c r="K324" s="1258"/>
      <c r="L324" s="1251"/>
      <c r="M324" s="1257"/>
      <c r="N324" s="719" t="str">
        <f t="shared" si="36"/>
        <v/>
      </c>
      <c r="O324" s="720" t="str">
        <f>IF('Set up ~ Config'!$G$32=6,IF(OR($N324=7,$N324=8,$N324=9),1,IF(OR($N324=10,$N324=11,$N324=12),2,IF(OR($N324=1,$N324=2,$N324=3),3,IF(OR($N324=4,$N324=5,$N324=6),4,"")))),IF(OR($N324=9,$N324=10,$N324=11),1,IF(OR($N324=12,$N324=1,$N324=2),2,IF(OR($N324=3,$N324=4,$N324=5),3,IF(OR($N324=6,$N324=7,$N324=8),4,"")))))</f>
        <v/>
      </c>
      <c r="P324" s="99"/>
      <c r="Q324" s="62"/>
      <c r="R324" s="62"/>
      <c r="S324" s="51"/>
      <c r="T324" s="51"/>
      <c r="U324" s="51"/>
      <c r="V324" s="51"/>
      <c r="W324" s="51"/>
      <c r="X324" s="51"/>
      <c r="Y324" s="51"/>
      <c r="Z324" s="51"/>
      <c r="AA324" s="51"/>
      <c r="AB324" s="51"/>
      <c r="AC324" s="51"/>
      <c r="AD324" s="51"/>
      <c r="AE324" s="51"/>
      <c r="AF324" s="51"/>
      <c r="AG324" s="51"/>
      <c r="AH324" s="94"/>
      <c r="AI324" s="94"/>
      <c r="AJ324" s="94"/>
      <c r="AK324" s="94"/>
      <c r="AL324" s="94"/>
      <c r="AM324" s="94"/>
      <c r="AN324" s="94"/>
      <c r="AO324" s="95"/>
      <c r="AP324" s="686">
        <f t="shared" si="37"/>
        <v>0</v>
      </c>
      <c r="AQ324" s="42"/>
      <c r="AR324" s="42"/>
      <c r="AS324" s="42"/>
      <c r="AT324" s="43"/>
      <c r="AU324" s="687">
        <f t="shared" si="38"/>
        <v>0</v>
      </c>
      <c r="AV324" s="42"/>
      <c r="AW324" s="42"/>
      <c r="AX324" s="42"/>
      <c r="AY324" s="43"/>
      <c r="AZ324" s="486"/>
      <c r="BA324" s="51"/>
      <c r="BB324" s="51"/>
      <c r="BC324" s="51"/>
      <c r="BD324" s="51"/>
      <c r="BE324" s="51"/>
      <c r="BF324" s="51"/>
      <c r="BG324" s="51"/>
      <c r="BH324" s="94"/>
      <c r="BI324" s="94"/>
      <c r="BJ324" s="94"/>
      <c r="BK324" s="94"/>
      <c r="BL324" s="94"/>
      <c r="BM324" s="483"/>
      <c r="BN324" s="94"/>
      <c r="BO324" s="94"/>
      <c r="BP324" s="94"/>
      <c r="BQ324" s="94"/>
      <c r="BR324" s="94"/>
      <c r="BS324" s="94"/>
      <c r="BT324" s="94"/>
      <c r="BU324" s="94"/>
      <c r="BV324" s="94"/>
      <c r="BW324" s="688">
        <f t="shared" si="34"/>
        <v>0</v>
      </c>
      <c r="BX324" s="51"/>
      <c r="BY324" s="51"/>
      <c r="BZ324" s="51"/>
      <c r="CA324" s="51"/>
      <c r="CB324" s="51"/>
      <c r="CC324" s="51"/>
      <c r="CD324" s="97"/>
      <c r="CE324" s="479"/>
      <c r="CF324" s="51"/>
      <c r="CG324" s="51"/>
      <c r="CH324" s="62"/>
      <c r="CI324" s="62"/>
      <c r="CJ324" s="51"/>
      <c r="CK324" s="51"/>
      <c r="CL324" s="95"/>
      <c r="CM324" s="93"/>
      <c r="CN324" s="51"/>
      <c r="CO324" s="51"/>
      <c r="CP324" s="51"/>
      <c r="CQ324" s="51"/>
      <c r="CR324" s="51"/>
      <c r="CS324" s="51"/>
      <c r="CT324" s="51"/>
      <c r="CU324" s="95"/>
      <c r="CV324" s="93"/>
      <c r="CW324" s="51"/>
      <c r="CX324" s="51"/>
      <c r="CY324" s="51"/>
      <c r="CZ324" s="51"/>
      <c r="DA324" s="51"/>
      <c r="DB324" s="51"/>
      <c r="DC324" s="51"/>
      <c r="DD324" s="95"/>
      <c r="DE324" s="93"/>
      <c r="DF324" s="51"/>
      <c r="DG324" s="51"/>
      <c r="DH324" s="51"/>
      <c r="DI324" s="51"/>
      <c r="DJ324" s="51"/>
      <c r="DK324" s="51"/>
      <c r="DL324" s="95"/>
      <c r="DM324" s="478"/>
      <c r="DN324" s="682">
        <f t="shared" si="39"/>
        <v>0</v>
      </c>
      <c r="DO324" s="683"/>
    </row>
    <row r="325" spans="1:119" ht="25.5" customHeight="1" thickTop="1" thickBot="1" x14ac:dyDescent="0.2">
      <c r="A325" s="676">
        <f t="shared" si="35"/>
        <v>310</v>
      </c>
      <c r="B325" s="1054"/>
      <c r="C325" s="1055"/>
      <c r="D325" s="83"/>
      <c r="E325" s="954"/>
      <c r="F325" s="52"/>
      <c r="G325" s="103"/>
      <c r="H325" s="1058"/>
      <c r="I325" s="684" t="str">
        <f t="shared" si="32"/>
        <v/>
      </c>
      <c r="J325" s="685">
        <f t="shared" si="33"/>
        <v>0</v>
      </c>
      <c r="K325" s="1258"/>
      <c r="L325" s="1251"/>
      <c r="M325" s="1257"/>
      <c r="N325" s="719" t="str">
        <f t="shared" si="36"/>
        <v/>
      </c>
      <c r="O325" s="720" t="str">
        <f>IF('Set up ~ Config'!$G$32=6,IF(OR($N325=7,$N325=8,$N325=9),1,IF(OR($N325=10,$N325=11,$N325=12),2,IF(OR($N325=1,$N325=2,$N325=3),3,IF(OR($N325=4,$N325=5,$N325=6),4,"")))),IF(OR($N325=9,$N325=10,$N325=11),1,IF(OR($N325=12,$N325=1,$N325=2),2,IF(OR($N325=3,$N325=4,$N325=5),3,IF(OR($N325=6,$N325=7,$N325=8),4,"")))))</f>
        <v/>
      </c>
      <c r="P325" s="99"/>
      <c r="Q325" s="62"/>
      <c r="R325" s="62"/>
      <c r="S325" s="51"/>
      <c r="T325" s="51"/>
      <c r="U325" s="51"/>
      <c r="V325" s="51"/>
      <c r="W325" s="51"/>
      <c r="X325" s="51"/>
      <c r="Y325" s="51"/>
      <c r="Z325" s="51"/>
      <c r="AA325" s="51"/>
      <c r="AB325" s="51"/>
      <c r="AC325" s="51"/>
      <c r="AD325" s="51"/>
      <c r="AE325" s="51"/>
      <c r="AF325" s="51"/>
      <c r="AG325" s="51"/>
      <c r="AH325" s="94"/>
      <c r="AI325" s="94"/>
      <c r="AJ325" s="94"/>
      <c r="AK325" s="94"/>
      <c r="AL325" s="94"/>
      <c r="AM325" s="94"/>
      <c r="AN325" s="94"/>
      <c r="AO325" s="95"/>
      <c r="AP325" s="686">
        <f t="shared" si="37"/>
        <v>0</v>
      </c>
      <c r="AQ325" s="42"/>
      <c r="AR325" s="42"/>
      <c r="AS325" s="42"/>
      <c r="AT325" s="43"/>
      <c r="AU325" s="687">
        <f t="shared" si="38"/>
        <v>0</v>
      </c>
      <c r="AV325" s="42"/>
      <c r="AW325" s="42"/>
      <c r="AX325" s="42"/>
      <c r="AY325" s="43"/>
      <c r="AZ325" s="486"/>
      <c r="BA325" s="51"/>
      <c r="BB325" s="51"/>
      <c r="BC325" s="51"/>
      <c r="BD325" s="51"/>
      <c r="BE325" s="51"/>
      <c r="BF325" s="51"/>
      <c r="BG325" s="51"/>
      <c r="BH325" s="94"/>
      <c r="BI325" s="94"/>
      <c r="BJ325" s="94"/>
      <c r="BK325" s="94"/>
      <c r="BL325" s="94"/>
      <c r="BM325" s="483"/>
      <c r="BN325" s="94"/>
      <c r="BO325" s="94"/>
      <c r="BP325" s="94"/>
      <c r="BQ325" s="94"/>
      <c r="BR325" s="94"/>
      <c r="BS325" s="94"/>
      <c r="BT325" s="94"/>
      <c r="BU325" s="94"/>
      <c r="BV325" s="94"/>
      <c r="BW325" s="688">
        <f t="shared" si="34"/>
        <v>0</v>
      </c>
      <c r="BX325" s="51"/>
      <c r="BY325" s="51"/>
      <c r="BZ325" s="51"/>
      <c r="CA325" s="51"/>
      <c r="CB325" s="51"/>
      <c r="CC325" s="51"/>
      <c r="CD325" s="97"/>
      <c r="CE325" s="479"/>
      <c r="CF325" s="51"/>
      <c r="CG325" s="51"/>
      <c r="CH325" s="62"/>
      <c r="CI325" s="62"/>
      <c r="CJ325" s="51"/>
      <c r="CK325" s="51"/>
      <c r="CL325" s="95"/>
      <c r="CM325" s="93"/>
      <c r="CN325" s="51"/>
      <c r="CO325" s="51"/>
      <c r="CP325" s="51"/>
      <c r="CQ325" s="51"/>
      <c r="CR325" s="51"/>
      <c r="CS325" s="51"/>
      <c r="CT325" s="51"/>
      <c r="CU325" s="95"/>
      <c r="CV325" s="93"/>
      <c r="CW325" s="51"/>
      <c r="CX325" s="51"/>
      <c r="CY325" s="51"/>
      <c r="CZ325" s="51"/>
      <c r="DA325" s="51"/>
      <c r="DB325" s="51"/>
      <c r="DC325" s="51"/>
      <c r="DD325" s="95"/>
      <c r="DE325" s="93"/>
      <c r="DF325" s="51"/>
      <c r="DG325" s="51"/>
      <c r="DH325" s="51"/>
      <c r="DI325" s="51"/>
      <c r="DJ325" s="51"/>
      <c r="DK325" s="51"/>
      <c r="DL325" s="95"/>
      <c r="DM325" s="478"/>
      <c r="DN325" s="682">
        <f t="shared" si="39"/>
        <v>0</v>
      </c>
      <c r="DO325" s="683"/>
    </row>
    <row r="326" spans="1:119" ht="25.5" customHeight="1" thickTop="1" thickBot="1" x14ac:dyDescent="0.2">
      <c r="A326" s="676">
        <f t="shared" si="35"/>
        <v>311</v>
      </c>
      <c r="B326" s="1054"/>
      <c r="C326" s="1055"/>
      <c r="D326" s="83"/>
      <c r="E326" s="954"/>
      <c r="F326" s="52"/>
      <c r="G326" s="103"/>
      <c r="H326" s="1058"/>
      <c r="I326" s="684" t="str">
        <f t="shared" si="32"/>
        <v/>
      </c>
      <c r="J326" s="685">
        <f t="shared" si="33"/>
        <v>0</v>
      </c>
      <c r="K326" s="1258"/>
      <c r="L326" s="1251"/>
      <c r="M326" s="1257"/>
      <c r="N326" s="719" t="str">
        <f t="shared" si="36"/>
        <v/>
      </c>
      <c r="O326" s="720" t="str">
        <f>IF('Set up ~ Config'!$G$32=6,IF(OR($N326=7,$N326=8,$N326=9),1,IF(OR($N326=10,$N326=11,$N326=12),2,IF(OR($N326=1,$N326=2,$N326=3),3,IF(OR($N326=4,$N326=5,$N326=6),4,"")))),IF(OR($N326=9,$N326=10,$N326=11),1,IF(OR($N326=12,$N326=1,$N326=2),2,IF(OR($N326=3,$N326=4,$N326=5),3,IF(OR($N326=6,$N326=7,$N326=8),4,"")))))</f>
        <v/>
      </c>
      <c r="P326" s="99"/>
      <c r="Q326" s="62"/>
      <c r="R326" s="62"/>
      <c r="S326" s="51"/>
      <c r="T326" s="51"/>
      <c r="U326" s="51"/>
      <c r="V326" s="51"/>
      <c r="W326" s="51"/>
      <c r="X326" s="51"/>
      <c r="Y326" s="51"/>
      <c r="Z326" s="51"/>
      <c r="AA326" s="51"/>
      <c r="AB326" s="51"/>
      <c r="AC326" s="51"/>
      <c r="AD326" s="51"/>
      <c r="AE326" s="51"/>
      <c r="AF326" s="51"/>
      <c r="AG326" s="51"/>
      <c r="AH326" s="94"/>
      <c r="AI326" s="94"/>
      <c r="AJ326" s="94"/>
      <c r="AK326" s="94"/>
      <c r="AL326" s="94"/>
      <c r="AM326" s="94"/>
      <c r="AN326" s="94"/>
      <c r="AO326" s="95"/>
      <c r="AP326" s="686">
        <f t="shared" si="37"/>
        <v>0</v>
      </c>
      <c r="AQ326" s="42"/>
      <c r="AR326" s="42"/>
      <c r="AS326" s="42"/>
      <c r="AT326" s="43"/>
      <c r="AU326" s="687">
        <f t="shared" si="38"/>
        <v>0</v>
      </c>
      <c r="AV326" s="42"/>
      <c r="AW326" s="42"/>
      <c r="AX326" s="42"/>
      <c r="AY326" s="43"/>
      <c r="AZ326" s="486"/>
      <c r="BA326" s="51"/>
      <c r="BB326" s="51"/>
      <c r="BC326" s="51"/>
      <c r="BD326" s="51"/>
      <c r="BE326" s="51"/>
      <c r="BF326" s="51"/>
      <c r="BG326" s="51"/>
      <c r="BH326" s="94"/>
      <c r="BI326" s="94"/>
      <c r="BJ326" s="94"/>
      <c r="BK326" s="94"/>
      <c r="BL326" s="94"/>
      <c r="BM326" s="483"/>
      <c r="BN326" s="94"/>
      <c r="BO326" s="94"/>
      <c r="BP326" s="94"/>
      <c r="BQ326" s="94"/>
      <c r="BR326" s="94"/>
      <c r="BS326" s="94"/>
      <c r="BT326" s="94"/>
      <c r="BU326" s="94"/>
      <c r="BV326" s="94"/>
      <c r="BW326" s="688">
        <f t="shared" si="34"/>
        <v>0</v>
      </c>
      <c r="BX326" s="51"/>
      <c r="BY326" s="51"/>
      <c r="BZ326" s="51"/>
      <c r="CA326" s="51"/>
      <c r="CB326" s="51"/>
      <c r="CC326" s="51"/>
      <c r="CD326" s="97"/>
      <c r="CE326" s="479"/>
      <c r="CF326" s="51"/>
      <c r="CG326" s="51"/>
      <c r="CH326" s="62"/>
      <c r="CI326" s="62"/>
      <c r="CJ326" s="51"/>
      <c r="CK326" s="51"/>
      <c r="CL326" s="95"/>
      <c r="CM326" s="93"/>
      <c r="CN326" s="51"/>
      <c r="CO326" s="51"/>
      <c r="CP326" s="51"/>
      <c r="CQ326" s="51"/>
      <c r="CR326" s="51"/>
      <c r="CS326" s="51"/>
      <c r="CT326" s="51"/>
      <c r="CU326" s="95"/>
      <c r="CV326" s="93"/>
      <c r="CW326" s="51"/>
      <c r="CX326" s="51"/>
      <c r="CY326" s="51"/>
      <c r="CZ326" s="51"/>
      <c r="DA326" s="51"/>
      <c r="DB326" s="51"/>
      <c r="DC326" s="51"/>
      <c r="DD326" s="95"/>
      <c r="DE326" s="93"/>
      <c r="DF326" s="51"/>
      <c r="DG326" s="51"/>
      <c r="DH326" s="51"/>
      <c r="DI326" s="51"/>
      <c r="DJ326" s="51"/>
      <c r="DK326" s="51"/>
      <c r="DL326" s="95"/>
      <c r="DM326" s="478"/>
      <c r="DN326" s="682">
        <f t="shared" si="39"/>
        <v>0</v>
      </c>
      <c r="DO326" s="683"/>
    </row>
    <row r="327" spans="1:119" ht="25.5" customHeight="1" thickTop="1" thickBot="1" x14ac:dyDescent="0.2">
      <c r="A327" s="676">
        <f t="shared" si="35"/>
        <v>312</v>
      </c>
      <c r="B327" s="1054"/>
      <c r="C327" s="1055"/>
      <c r="D327" s="83"/>
      <c r="E327" s="954"/>
      <c r="F327" s="52"/>
      <c r="G327" s="103"/>
      <c r="H327" s="1058"/>
      <c r="I327" s="684" t="str">
        <f t="shared" si="32"/>
        <v/>
      </c>
      <c r="J327" s="685">
        <f t="shared" si="33"/>
        <v>0</v>
      </c>
      <c r="K327" s="1258"/>
      <c r="L327" s="1251"/>
      <c r="M327" s="1257"/>
      <c r="N327" s="719" t="str">
        <f t="shared" si="36"/>
        <v/>
      </c>
      <c r="O327" s="720" t="str">
        <f>IF('Set up ~ Config'!$G$32=6,IF(OR($N327=7,$N327=8,$N327=9),1,IF(OR($N327=10,$N327=11,$N327=12),2,IF(OR($N327=1,$N327=2,$N327=3),3,IF(OR($N327=4,$N327=5,$N327=6),4,"")))),IF(OR($N327=9,$N327=10,$N327=11),1,IF(OR($N327=12,$N327=1,$N327=2),2,IF(OR($N327=3,$N327=4,$N327=5),3,IF(OR($N327=6,$N327=7,$N327=8),4,"")))))</f>
        <v/>
      </c>
      <c r="P327" s="99"/>
      <c r="Q327" s="62"/>
      <c r="R327" s="62"/>
      <c r="S327" s="51"/>
      <c r="T327" s="51"/>
      <c r="U327" s="51"/>
      <c r="V327" s="51"/>
      <c r="W327" s="51"/>
      <c r="X327" s="51"/>
      <c r="Y327" s="51"/>
      <c r="Z327" s="51"/>
      <c r="AA327" s="51"/>
      <c r="AB327" s="51"/>
      <c r="AC327" s="51"/>
      <c r="AD327" s="51"/>
      <c r="AE327" s="51"/>
      <c r="AF327" s="51"/>
      <c r="AG327" s="51"/>
      <c r="AH327" s="94"/>
      <c r="AI327" s="94"/>
      <c r="AJ327" s="94"/>
      <c r="AK327" s="94"/>
      <c r="AL327" s="94"/>
      <c r="AM327" s="94"/>
      <c r="AN327" s="94"/>
      <c r="AO327" s="95"/>
      <c r="AP327" s="686">
        <f t="shared" si="37"/>
        <v>0</v>
      </c>
      <c r="AQ327" s="42"/>
      <c r="AR327" s="42"/>
      <c r="AS327" s="42"/>
      <c r="AT327" s="43"/>
      <c r="AU327" s="687">
        <f t="shared" si="38"/>
        <v>0</v>
      </c>
      <c r="AV327" s="42"/>
      <c r="AW327" s="42"/>
      <c r="AX327" s="42"/>
      <c r="AY327" s="43"/>
      <c r="AZ327" s="486"/>
      <c r="BA327" s="51"/>
      <c r="BB327" s="51"/>
      <c r="BC327" s="51"/>
      <c r="BD327" s="51"/>
      <c r="BE327" s="51"/>
      <c r="BF327" s="51"/>
      <c r="BG327" s="51"/>
      <c r="BH327" s="94"/>
      <c r="BI327" s="94"/>
      <c r="BJ327" s="94"/>
      <c r="BK327" s="94"/>
      <c r="BL327" s="94"/>
      <c r="BM327" s="483"/>
      <c r="BN327" s="94"/>
      <c r="BO327" s="94"/>
      <c r="BP327" s="94"/>
      <c r="BQ327" s="94"/>
      <c r="BR327" s="94"/>
      <c r="BS327" s="94"/>
      <c r="BT327" s="94"/>
      <c r="BU327" s="94"/>
      <c r="BV327" s="94"/>
      <c r="BW327" s="688">
        <f t="shared" si="34"/>
        <v>0</v>
      </c>
      <c r="BX327" s="51"/>
      <c r="BY327" s="51"/>
      <c r="BZ327" s="51"/>
      <c r="CA327" s="51"/>
      <c r="CB327" s="51"/>
      <c r="CC327" s="51"/>
      <c r="CD327" s="97"/>
      <c r="CE327" s="479"/>
      <c r="CF327" s="51"/>
      <c r="CG327" s="51"/>
      <c r="CH327" s="62"/>
      <c r="CI327" s="62"/>
      <c r="CJ327" s="51"/>
      <c r="CK327" s="51"/>
      <c r="CL327" s="95"/>
      <c r="CM327" s="93"/>
      <c r="CN327" s="51"/>
      <c r="CO327" s="51"/>
      <c r="CP327" s="51"/>
      <c r="CQ327" s="51"/>
      <c r="CR327" s="51"/>
      <c r="CS327" s="51"/>
      <c r="CT327" s="51"/>
      <c r="CU327" s="95"/>
      <c r="CV327" s="93"/>
      <c r="CW327" s="51"/>
      <c r="CX327" s="51"/>
      <c r="CY327" s="51"/>
      <c r="CZ327" s="51"/>
      <c r="DA327" s="51"/>
      <c r="DB327" s="51"/>
      <c r="DC327" s="51"/>
      <c r="DD327" s="95"/>
      <c r="DE327" s="93"/>
      <c r="DF327" s="51"/>
      <c r="DG327" s="51"/>
      <c r="DH327" s="51"/>
      <c r="DI327" s="51"/>
      <c r="DJ327" s="51"/>
      <c r="DK327" s="51"/>
      <c r="DL327" s="95"/>
      <c r="DM327" s="478"/>
      <c r="DN327" s="682">
        <f t="shared" si="39"/>
        <v>0</v>
      </c>
      <c r="DO327" s="683"/>
    </row>
    <row r="328" spans="1:119" ht="25.5" customHeight="1" thickTop="1" thickBot="1" x14ac:dyDescent="0.2">
      <c r="A328" s="676">
        <f t="shared" si="35"/>
        <v>313</v>
      </c>
      <c r="B328" s="1054"/>
      <c r="C328" s="1055"/>
      <c r="D328" s="83"/>
      <c r="E328" s="954"/>
      <c r="F328" s="52"/>
      <c r="G328" s="103"/>
      <c r="H328" s="1058"/>
      <c r="I328" s="684" t="str">
        <f t="shared" si="32"/>
        <v/>
      </c>
      <c r="J328" s="685">
        <f t="shared" si="33"/>
        <v>0</v>
      </c>
      <c r="K328" s="1258"/>
      <c r="L328" s="1251"/>
      <c r="M328" s="1257"/>
      <c r="N328" s="719" t="str">
        <f t="shared" si="36"/>
        <v/>
      </c>
      <c r="O328" s="720" t="str">
        <f>IF('Set up ~ Config'!$G$32=6,IF(OR($N328=7,$N328=8,$N328=9),1,IF(OR($N328=10,$N328=11,$N328=12),2,IF(OR($N328=1,$N328=2,$N328=3),3,IF(OR($N328=4,$N328=5,$N328=6),4,"")))),IF(OR($N328=9,$N328=10,$N328=11),1,IF(OR($N328=12,$N328=1,$N328=2),2,IF(OR($N328=3,$N328=4,$N328=5),3,IF(OR($N328=6,$N328=7,$N328=8),4,"")))))</f>
        <v/>
      </c>
      <c r="P328" s="99"/>
      <c r="Q328" s="62"/>
      <c r="R328" s="62"/>
      <c r="S328" s="51"/>
      <c r="T328" s="51"/>
      <c r="U328" s="51"/>
      <c r="V328" s="51"/>
      <c r="W328" s="51"/>
      <c r="X328" s="51"/>
      <c r="Y328" s="51"/>
      <c r="Z328" s="51"/>
      <c r="AA328" s="51"/>
      <c r="AB328" s="51"/>
      <c r="AC328" s="51"/>
      <c r="AD328" s="51"/>
      <c r="AE328" s="51"/>
      <c r="AF328" s="51"/>
      <c r="AG328" s="51"/>
      <c r="AH328" s="94"/>
      <c r="AI328" s="94"/>
      <c r="AJ328" s="94"/>
      <c r="AK328" s="94"/>
      <c r="AL328" s="94"/>
      <c r="AM328" s="94"/>
      <c r="AN328" s="94"/>
      <c r="AO328" s="95"/>
      <c r="AP328" s="686">
        <f t="shared" si="37"/>
        <v>0</v>
      </c>
      <c r="AQ328" s="42"/>
      <c r="AR328" s="42"/>
      <c r="AS328" s="42"/>
      <c r="AT328" s="43"/>
      <c r="AU328" s="687">
        <f t="shared" si="38"/>
        <v>0</v>
      </c>
      <c r="AV328" s="42"/>
      <c r="AW328" s="42"/>
      <c r="AX328" s="42"/>
      <c r="AY328" s="43"/>
      <c r="AZ328" s="486"/>
      <c r="BA328" s="51"/>
      <c r="BB328" s="51"/>
      <c r="BC328" s="51"/>
      <c r="BD328" s="51"/>
      <c r="BE328" s="51"/>
      <c r="BF328" s="51"/>
      <c r="BG328" s="51"/>
      <c r="BH328" s="94"/>
      <c r="BI328" s="94"/>
      <c r="BJ328" s="94"/>
      <c r="BK328" s="94"/>
      <c r="BL328" s="94"/>
      <c r="BM328" s="483"/>
      <c r="BN328" s="94"/>
      <c r="BO328" s="94"/>
      <c r="BP328" s="94"/>
      <c r="BQ328" s="94"/>
      <c r="BR328" s="94"/>
      <c r="BS328" s="94"/>
      <c r="BT328" s="94"/>
      <c r="BU328" s="94"/>
      <c r="BV328" s="94"/>
      <c r="BW328" s="688">
        <f t="shared" si="34"/>
        <v>0</v>
      </c>
      <c r="BX328" s="51"/>
      <c r="BY328" s="51"/>
      <c r="BZ328" s="51"/>
      <c r="CA328" s="51"/>
      <c r="CB328" s="51"/>
      <c r="CC328" s="51"/>
      <c r="CD328" s="97"/>
      <c r="CE328" s="479"/>
      <c r="CF328" s="51"/>
      <c r="CG328" s="51"/>
      <c r="CH328" s="62"/>
      <c r="CI328" s="62"/>
      <c r="CJ328" s="51"/>
      <c r="CK328" s="51"/>
      <c r="CL328" s="95"/>
      <c r="CM328" s="93"/>
      <c r="CN328" s="51"/>
      <c r="CO328" s="51"/>
      <c r="CP328" s="51"/>
      <c r="CQ328" s="51"/>
      <c r="CR328" s="51"/>
      <c r="CS328" s="51"/>
      <c r="CT328" s="51"/>
      <c r="CU328" s="95"/>
      <c r="CV328" s="93"/>
      <c r="CW328" s="51"/>
      <c r="CX328" s="51"/>
      <c r="CY328" s="51"/>
      <c r="CZ328" s="51"/>
      <c r="DA328" s="51"/>
      <c r="DB328" s="51"/>
      <c r="DC328" s="51"/>
      <c r="DD328" s="95"/>
      <c r="DE328" s="93"/>
      <c r="DF328" s="51"/>
      <c r="DG328" s="51"/>
      <c r="DH328" s="51"/>
      <c r="DI328" s="51"/>
      <c r="DJ328" s="51"/>
      <c r="DK328" s="51"/>
      <c r="DL328" s="95"/>
      <c r="DM328" s="478"/>
      <c r="DN328" s="682">
        <f t="shared" si="39"/>
        <v>0</v>
      </c>
      <c r="DO328" s="683"/>
    </row>
    <row r="329" spans="1:119" ht="25.5" customHeight="1" thickTop="1" thickBot="1" x14ac:dyDescent="0.2">
      <c r="A329" s="676">
        <f t="shared" si="35"/>
        <v>314</v>
      </c>
      <c r="B329" s="1054"/>
      <c r="C329" s="1055"/>
      <c r="D329" s="83"/>
      <c r="E329" s="954"/>
      <c r="F329" s="52"/>
      <c r="G329" s="103"/>
      <c r="H329" s="1058"/>
      <c r="I329" s="684" t="str">
        <f t="shared" si="32"/>
        <v/>
      </c>
      <c r="J329" s="685">
        <f t="shared" si="33"/>
        <v>0</v>
      </c>
      <c r="K329" s="1258"/>
      <c r="L329" s="1251"/>
      <c r="M329" s="1257"/>
      <c r="N329" s="719" t="str">
        <f t="shared" si="36"/>
        <v/>
      </c>
      <c r="O329" s="720" t="str">
        <f>IF('Set up ~ Config'!$G$32=6,IF(OR($N329=7,$N329=8,$N329=9),1,IF(OR($N329=10,$N329=11,$N329=12),2,IF(OR($N329=1,$N329=2,$N329=3),3,IF(OR($N329=4,$N329=5,$N329=6),4,"")))),IF(OR($N329=9,$N329=10,$N329=11),1,IF(OR($N329=12,$N329=1,$N329=2),2,IF(OR($N329=3,$N329=4,$N329=5),3,IF(OR($N329=6,$N329=7,$N329=8),4,"")))))</f>
        <v/>
      </c>
      <c r="P329" s="99"/>
      <c r="Q329" s="62"/>
      <c r="R329" s="62"/>
      <c r="S329" s="51"/>
      <c r="T329" s="51"/>
      <c r="U329" s="51"/>
      <c r="V329" s="51"/>
      <c r="W329" s="51"/>
      <c r="X329" s="51"/>
      <c r="Y329" s="51"/>
      <c r="Z329" s="51"/>
      <c r="AA329" s="51"/>
      <c r="AB329" s="51"/>
      <c r="AC329" s="51"/>
      <c r="AD329" s="51"/>
      <c r="AE329" s="51"/>
      <c r="AF329" s="51"/>
      <c r="AG329" s="51"/>
      <c r="AH329" s="94"/>
      <c r="AI329" s="94"/>
      <c r="AJ329" s="94"/>
      <c r="AK329" s="94"/>
      <c r="AL329" s="94"/>
      <c r="AM329" s="94"/>
      <c r="AN329" s="94"/>
      <c r="AO329" s="95"/>
      <c r="AP329" s="686">
        <f t="shared" si="37"/>
        <v>0</v>
      </c>
      <c r="AQ329" s="42"/>
      <c r="AR329" s="42"/>
      <c r="AS329" s="42"/>
      <c r="AT329" s="43"/>
      <c r="AU329" s="687">
        <f t="shared" si="38"/>
        <v>0</v>
      </c>
      <c r="AV329" s="42"/>
      <c r="AW329" s="42"/>
      <c r="AX329" s="42"/>
      <c r="AY329" s="43"/>
      <c r="AZ329" s="486"/>
      <c r="BA329" s="51"/>
      <c r="BB329" s="51"/>
      <c r="BC329" s="51"/>
      <c r="BD329" s="51"/>
      <c r="BE329" s="51"/>
      <c r="BF329" s="51"/>
      <c r="BG329" s="51"/>
      <c r="BH329" s="94"/>
      <c r="BI329" s="94"/>
      <c r="BJ329" s="94"/>
      <c r="BK329" s="94"/>
      <c r="BL329" s="94"/>
      <c r="BM329" s="483"/>
      <c r="BN329" s="94"/>
      <c r="BO329" s="94"/>
      <c r="BP329" s="94"/>
      <c r="BQ329" s="94"/>
      <c r="BR329" s="94"/>
      <c r="BS329" s="94"/>
      <c r="BT329" s="94"/>
      <c r="BU329" s="94"/>
      <c r="BV329" s="94"/>
      <c r="BW329" s="688">
        <f t="shared" si="34"/>
        <v>0</v>
      </c>
      <c r="BX329" s="51"/>
      <c r="BY329" s="51"/>
      <c r="BZ329" s="51"/>
      <c r="CA329" s="51"/>
      <c r="CB329" s="51"/>
      <c r="CC329" s="51"/>
      <c r="CD329" s="97"/>
      <c r="CE329" s="479"/>
      <c r="CF329" s="51"/>
      <c r="CG329" s="51"/>
      <c r="CH329" s="62"/>
      <c r="CI329" s="62"/>
      <c r="CJ329" s="51"/>
      <c r="CK329" s="51"/>
      <c r="CL329" s="95"/>
      <c r="CM329" s="93"/>
      <c r="CN329" s="51"/>
      <c r="CO329" s="51"/>
      <c r="CP329" s="51"/>
      <c r="CQ329" s="51"/>
      <c r="CR329" s="51"/>
      <c r="CS329" s="51"/>
      <c r="CT329" s="51"/>
      <c r="CU329" s="95"/>
      <c r="CV329" s="93"/>
      <c r="CW329" s="51"/>
      <c r="CX329" s="51"/>
      <c r="CY329" s="51"/>
      <c r="CZ329" s="51"/>
      <c r="DA329" s="51"/>
      <c r="DB329" s="51"/>
      <c r="DC329" s="51"/>
      <c r="DD329" s="95"/>
      <c r="DE329" s="93"/>
      <c r="DF329" s="51"/>
      <c r="DG329" s="51"/>
      <c r="DH329" s="51"/>
      <c r="DI329" s="51"/>
      <c r="DJ329" s="51"/>
      <c r="DK329" s="51"/>
      <c r="DL329" s="95"/>
      <c r="DM329" s="478"/>
      <c r="DN329" s="682">
        <f t="shared" si="39"/>
        <v>0</v>
      </c>
      <c r="DO329" s="683"/>
    </row>
    <row r="330" spans="1:119" ht="25.5" customHeight="1" thickTop="1" thickBot="1" x14ac:dyDescent="0.2">
      <c r="A330" s="676">
        <f t="shared" si="35"/>
        <v>315</v>
      </c>
      <c r="B330" s="1054"/>
      <c r="C330" s="1055"/>
      <c r="D330" s="83"/>
      <c r="E330" s="954"/>
      <c r="F330" s="52"/>
      <c r="G330" s="103"/>
      <c r="H330" s="1058"/>
      <c r="I330" s="684" t="str">
        <f t="shared" si="32"/>
        <v/>
      </c>
      <c r="J330" s="685">
        <f t="shared" si="33"/>
        <v>0</v>
      </c>
      <c r="K330" s="1258"/>
      <c r="L330" s="1251"/>
      <c r="M330" s="1257"/>
      <c r="N330" s="719" t="str">
        <f t="shared" si="36"/>
        <v/>
      </c>
      <c r="O330" s="720" t="str">
        <f>IF('Set up ~ Config'!$G$32=6,IF(OR($N330=7,$N330=8,$N330=9),1,IF(OR($N330=10,$N330=11,$N330=12),2,IF(OR($N330=1,$N330=2,$N330=3),3,IF(OR($N330=4,$N330=5,$N330=6),4,"")))),IF(OR($N330=9,$N330=10,$N330=11),1,IF(OR($N330=12,$N330=1,$N330=2),2,IF(OR($N330=3,$N330=4,$N330=5),3,IF(OR($N330=6,$N330=7,$N330=8),4,"")))))</f>
        <v/>
      </c>
      <c r="P330" s="99"/>
      <c r="Q330" s="62"/>
      <c r="R330" s="62"/>
      <c r="S330" s="51"/>
      <c r="T330" s="51"/>
      <c r="U330" s="51"/>
      <c r="V330" s="51"/>
      <c r="W330" s="51"/>
      <c r="X330" s="51"/>
      <c r="Y330" s="51"/>
      <c r="Z330" s="51"/>
      <c r="AA330" s="51"/>
      <c r="AB330" s="51"/>
      <c r="AC330" s="51"/>
      <c r="AD330" s="51"/>
      <c r="AE330" s="51"/>
      <c r="AF330" s="51"/>
      <c r="AG330" s="51"/>
      <c r="AH330" s="94"/>
      <c r="AI330" s="94"/>
      <c r="AJ330" s="94"/>
      <c r="AK330" s="94"/>
      <c r="AL330" s="94"/>
      <c r="AM330" s="94"/>
      <c r="AN330" s="94"/>
      <c r="AO330" s="95"/>
      <c r="AP330" s="686">
        <f t="shared" si="37"/>
        <v>0</v>
      </c>
      <c r="AQ330" s="42"/>
      <c r="AR330" s="42"/>
      <c r="AS330" s="42"/>
      <c r="AT330" s="43"/>
      <c r="AU330" s="687">
        <f t="shared" si="38"/>
        <v>0</v>
      </c>
      <c r="AV330" s="42"/>
      <c r="AW330" s="42"/>
      <c r="AX330" s="42"/>
      <c r="AY330" s="43"/>
      <c r="AZ330" s="486"/>
      <c r="BA330" s="51"/>
      <c r="BB330" s="51"/>
      <c r="BC330" s="51"/>
      <c r="BD330" s="51"/>
      <c r="BE330" s="51"/>
      <c r="BF330" s="51"/>
      <c r="BG330" s="51"/>
      <c r="BH330" s="94"/>
      <c r="BI330" s="94"/>
      <c r="BJ330" s="94"/>
      <c r="BK330" s="94"/>
      <c r="BL330" s="94"/>
      <c r="BM330" s="483"/>
      <c r="BN330" s="94"/>
      <c r="BO330" s="94"/>
      <c r="BP330" s="94"/>
      <c r="BQ330" s="94"/>
      <c r="BR330" s="94"/>
      <c r="BS330" s="94"/>
      <c r="BT330" s="94"/>
      <c r="BU330" s="94"/>
      <c r="BV330" s="94"/>
      <c r="BW330" s="688">
        <f t="shared" si="34"/>
        <v>0</v>
      </c>
      <c r="BX330" s="51"/>
      <c r="BY330" s="51"/>
      <c r="BZ330" s="51"/>
      <c r="CA330" s="51"/>
      <c r="CB330" s="51"/>
      <c r="CC330" s="51"/>
      <c r="CD330" s="97"/>
      <c r="CE330" s="479"/>
      <c r="CF330" s="51"/>
      <c r="CG330" s="51"/>
      <c r="CH330" s="62"/>
      <c r="CI330" s="62"/>
      <c r="CJ330" s="51"/>
      <c r="CK330" s="51"/>
      <c r="CL330" s="95"/>
      <c r="CM330" s="93"/>
      <c r="CN330" s="51"/>
      <c r="CO330" s="51"/>
      <c r="CP330" s="51"/>
      <c r="CQ330" s="51"/>
      <c r="CR330" s="51"/>
      <c r="CS330" s="51"/>
      <c r="CT330" s="51"/>
      <c r="CU330" s="95"/>
      <c r="CV330" s="93"/>
      <c r="CW330" s="51"/>
      <c r="CX330" s="51"/>
      <c r="CY330" s="51"/>
      <c r="CZ330" s="51"/>
      <c r="DA330" s="51"/>
      <c r="DB330" s="51"/>
      <c r="DC330" s="51"/>
      <c r="DD330" s="95"/>
      <c r="DE330" s="93"/>
      <c r="DF330" s="51"/>
      <c r="DG330" s="51"/>
      <c r="DH330" s="51"/>
      <c r="DI330" s="51"/>
      <c r="DJ330" s="51"/>
      <c r="DK330" s="51"/>
      <c r="DL330" s="95"/>
      <c r="DM330" s="478"/>
      <c r="DN330" s="682">
        <f t="shared" si="39"/>
        <v>0</v>
      </c>
      <c r="DO330" s="683"/>
    </row>
    <row r="331" spans="1:119" ht="25.5" customHeight="1" thickTop="1" thickBot="1" x14ac:dyDescent="0.2">
      <c r="A331" s="676">
        <f t="shared" si="35"/>
        <v>316</v>
      </c>
      <c r="B331" s="1054"/>
      <c r="C331" s="1055"/>
      <c r="D331" s="83"/>
      <c r="E331" s="954"/>
      <c r="F331" s="52"/>
      <c r="G331" s="103"/>
      <c r="H331" s="1058"/>
      <c r="I331" s="684" t="str">
        <f t="shared" si="32"/>
        <v/>
      </c>
      <c r="J331" s="685">
        <f t="shared" si="33"/>
        <v>0</v>
      </c>
      <c r="K331" s="1258"/>
      <c r="L331" s="1251"/>
      <c r="M331" s="1257"/>
      <c r="N331" s="719" t="str">
        <f t="shared" si="36"/>
        <v/>
      </c>
      <c r="O331" s="720" t="str">
        <f>IF('Set up ~ Config'!$G$32=6,IF(OR($N331=7,$N331=8,$N331=9),1,IF(OR($N331=10,$N331=11,$N331=12),2,IF(OR($N331=1,$N331=2,$N331=3),3,IF(OR($N331=4,$N331=5,$N331=6),4,"")))),IF(OR($N331=9,$N331=10,$N331=11),1,IF(OR($N331=12,$N331=1,$N331=2),2,IF(OR($N331=3,$N331=4,$N331=5),3,IF(OR($N331=6,$N331=7,$N331=8),4,"")))))</f>
        <v/>
      </c>
      <c r="P331" s="99"/>
      <c r="Q331" s="62"/>
      <c r="R331" s="62"/>
      <c r="S331" s="51"/>
      <c r="T331" s="51"/>
      <c r="U331" s="51"/>
      <c r="V331" s="51"/>
      <c r="W331" s="51"/>
      <c r="X331" s="51"/>
      <c r="Y331" s="51"/>
      <c r="Z331" s="51"/>
      <c r="AA331" s="51"/>
      <c r="AB331" s="51"/>
      <c r="AC331" s="51"/>
      <c r="AD331" s="51"/>
      <c r="AE331" s="51"/>
      <c r="AF331" s="51"/>
      <c r="AG331" s="51"/>
      <c r="AH331" s="94"/>
      <c r="AI331" s="94"/>
      <c r="AJ331" s="94"/>
      <c r="AK331" s="94"/>
      <c r="AL331" s="94"/>
      <c r="AM331" s="94"/>
      <c r="AN331" s="94"/>
      <c r="AO331" s="95"/>
      <c r="AP331" s="686">
        <f t="shared" si="37"/>
        <v>0</v>
      </c>
      <c r="AQ331" s="42"/>
      <c r="AR331" s="42"/>
      <c r="AS331" s="42"/>
      <c r="AT331" s="43"/>
      <c r="AU331" s="687">
        <f t="shared" si="38"/>
        <v>0</v>
      </c>
      <c r="AV331" s="42"/>
      <c r="AW331" s="42"/>
      <c r="AX331" s="42"/>
      <c r="AY331" s="43"/>
      <c r="AZ331" s="486"/>
      <c r="BA331" s="51"/>
      <c r="BB331" s="51"/>
      <c r="BC331" s="51"/>
      <c r="BD331" s="51"/>
      <c r="BE331" s="51"/>
      <c r="BF331" s="51"/>
      <c r="BG331" s="51"/>
      <c r="BH331" s="94"/>
      <c r="BI331" s="94"/>
      <c r="BJ331" s="94"/>
      <c r="BK331" s="94"/>
      <c r="BL331" s="94"/>
      <c r="BM331" s="483"/>
      <c r="BN331" s="94"/>
      <c r="BO331" s="94"/>
      <c r="BP331" s="94"/>
      <c r="BQ331" s="94"/>
      <c r="BR331" s="94"/>
      <c r="BS331" s="94"/>
      <c r="BT331" s="94"/>
      <c r="BU331" s="94"/>
      <c r="BV331" s="94"/>
      <c r="BW331" s="688">
        <f t="shared" si="34"/>
        <v>0</v>
      </c>
      <c r="BX331" s="51"/>
      <c r="BY331" s="51"/>
      <c r="BZ331" s="51"/>
      <c r="CA331" s="51"/>
      <c r="CB331" s="51"/>
      <c r="CC331" s="51"/>
      <c r="CD331" s="97"/>
      <c r="CE331" s="479"/>
      <c r="CF331" s="51"/>
      <c r="CG331" s="51"/>
      <c r="CH331" s="62"/>
      <c r="CI331" s="62"/>
      <c r="CJ331" s="51"/>
      <c r="CK331" s="51"/>
      <c r="CL331" s="95"/>
      <c r="CM331" s="93"/>
      <c r="CN331" s="51"/>
      <c r="CO331" s="51"/>
      <c r="CP331" s="51"/>
      <c r="CQ331" s="51"/>
      <c r="CR331" s="51"/>
      <c r="CS331" s="51"/>
      <c r="CT331" s="51"/>
      <c r="CU331" s="95"/>
      <c r="CV331" s="93"/>
      <c r="CW331" s="51"/>
      <c r="CX331" s="51"/>
      <c r="CY331" s="51"/>
      <c r="CZ331" s="51"/>
      <c r="DA331" s="51"/>
      <c r="DB331" s="51"/>
      <c r="DC331" s="51"/>
      <c r="DD331" s="95"/>
      <c r="DE331" s="93"/>
      <c r="DF331" s="51"/>
      <c r="DG331" s="51"/>
      <c r="DH331" s="51"/>
      <c r="DI331" s="51"/>
      <c r="DJ331" s="51"/>
      <c r="DK331" s="51"/>
      <c r="DL331" s="95"/>
      <c r="DM331" s="478"/>
      <c r="DN331" s="682">
        <f t="shared" si="39"/>
        <v>0</v>
      </c>
      <c r="DO331" s="683"/>
    </row>
    <row r="332" spans="1:119" ht="25.5" customHeight="1" thickTop="1" thickBot="1" x14ac:dyDescent="0.2">
      <c r="A332" s="676">
        <f t="shared" si="35"/>
        <v>317</v>
      </c>
      <c r="B332" s="1054"/>
      <c r="C332" s="1055"/>
      <c r="D332" s="83"/>
      <c r="E332" s="954"/>
      <c r="F332" s="52"/>
      <c r="G332" s="103"/>
      <c r="H332" s="1058"/>
      <c r="I332" s="684" t="str">
        <f t="shared" si="32"/>
        <v/>
      </c>
      <c r="J332" s="685">
        <f t="shared" si="33"/>
        <v>0</v>
      </c>
      <c r="K332" s="1258"/>
      <c r="L332" s="1251"/>
      <c r="M332" s="1257"/>
      <c r="N332" s="719" t="str">
        <f t="shared" si="36"/>
        <v/>
      </c>
      <c r="O332" s="720" t="str">
        <f>IF('Set up ~ Config'!$G$32=6,IF(OR($N332=7,$N332=8,$N332=9),1,IF(OR($N332=10,$N332=11,$N332=12),2,IF(OR($N332=1,$N332=2,$N332=3),3,IF(OR($N332=4,$N332=5,$N332=6),4,"")))),IF(OR($N332=9,$N332=10,$N332=11),1,IF(OR($N332=12,$N332=1,$N332=2),2,IF(OR($N332=3,$N332=4,$N332=5),3,IF(OR($N332=6,$N332=7,$N332=8),4,"")))))</f>
        <v/>
      </c>
      <c r="P332" s="99"/>
      <c r="Q332" s="62"/>
      <c r="R332" s="62"/>
      <c r="S332" s="51"/>
      <c r="T332" s="51"/>
      <c r="U332" s="51"/>
      <c r="V332" s="51"/>
      <c r="W332" s="51"/>
      <c r="X332" s="51"/>
      <c r="Y332" s="51"/>
      <c r="Z332" s="51"/>
      <c r="AA332" s="51"/>
      <c r="AB332" s="51"/>
      <c r="AC332" s="51"/>
      <c r="AD332" s="51"/>
      <c r="AE332" s="51"/>
      <c r="AF332" s="51"/>
      <c r="AG332" s="51"/>
      <c r="AH332" s="94"/>
      <c r="AI332" s="94"/>
      <c r="AJ332" s="94"/>
      <c r="AK332" s="94"/>
      <c r="AL332" s="94"/>
      <c r="AM332" s="94"/>
      <c r="AN332" s="94"/>
      <c r="AO332" s="95"/>
      <c r="AP332" s="686">
        <f t="shared" si="37"/>
        <v>0</v>
      </c>
      <c r="AQ332" s="42"/>
      <c r="AR332" s="42"/>
      <c r="AS332" s="42"/>
      <c r="AT332" s="43"/>
      <c r="AU332" s="687">
        <f t="shared" si="38"/>
        <v>0</v>
      </c>
      <c r="AV332" s="42"/>
      <c r="AW332" s="42"/>
      <c r="AX332" s="42"/>
      <c r="AY332" s="43"/>
      <c r="AZ332" s="486"/>
      <c r="BA332" s="51"/>
      <c r="BB332" s="51"/>
      <c r="BC332" s="51"/>
      <c r="BD332" s="51"/>
      <c r="BE332" s="51"/>
      <c r="BF332" s="51"/>
      <c r="BG332" s="51"/>
      <c r="BH332" s="94"/>
      <c r="BI332" s="94"/>
      <c r="BJ332" s="94"/>
      <c r="BK332" s="94"/>
      <c r="BL332" s="94"/>
      <c r="BM332" s="483"/>
      <c r="BN332" s="94"/>
      <c r="BO332" s="94"/>
      <c r="BP332" s="94"/>
      <c r="BQ332" s="94"/>
      <c r="BR332" s="94"/>
      <c r="BS332" s="94"/>
      <c r="BT332" s="94"/>
      <c r="BU332" s="94"/>
      <c r="BV332" s="94"/>
      <c r="BW332" s="688">
        <f t="shared" si="34"/>
        <v>0</v>
      </c>
      <c r="BX332" s="51"/>
      <c r="BY332" s="51"/>
      <c r="BZ332" s="51"/>
      <c r="CA332" s="51"/>
      <c r="CB332" s="51"/>
      <c r="CC332" s="51"/>
      <c r="CD332" s="97"/>
      <c r="CE332" s="479"/>
      <c r="CF332" s="51"/>
      <c r="CG332" s="51"/>
      <c r="CH332" s="62"/>
      <c r="CI332" s="62"/>
      <c r="CJ332" s="51"/>
      <c r="CK332" s="51"/>
      <c r="CL332" s="95"/>
      <c r="CM332" s="93"/>
      <c r="CN332" s="51"/>
      <c r="CO332" s="51"/>
      <c r="CP332" s="51"/>
      <c r="CQ332" s="51"/>
      <c r="CR332" s="51"/>
      <c r="CS332" s="51"/>
      <c r="CT332" s="51"/>
      <c r="CU332" s="95"/>
      <c r="CV332" s="93"/>
      <c r="CW332" s="51"/>
      <c r="CX332" s="51"/>
      <c r="CY332" s="51"/>
      <c r="CZ332" s="51"/>
      <c r="DA332" s="51"/>
      <c r="DB332" s="51"/>
      <c r="DC332" s="51"/>
      <c r="DD332" s="95"/>
      <c r="DE332" s="93"/>
      <c r="DF332" s="51"/>
      <c r="DG332" s="51"/>
      <c r="DH332" s="51"/>
      <c r="DI332" s="51"/>
      <c r="DJ332" s="51"/>
      <c r="DK332" s="51"/>
      <c r="DL332" s="95"/>
      <c r="DM332" s="478"/>
      <c r="DN332" s="682">
        <f t="shared" si="39"/>
        <v>0</v>
      </c>
      <c r="DO332" s="683"/>
    </row>
    <row r="333" spans="1:119" ht="25.5" customHeight="1" thickTop="1" thickBot="1" x14ac:dyDescent="0.2">
      <c r="A333" s="676">
        <f t="shared" si="35"/>
        <v>318</v>
      </c>
      <c r="B333" s="1054"/>
      <c r="C333" s="1055"/>
      <c r="D333" s="83"/>
      <c r="E333" s="954"/>
      <c r="F333" s="52"/>
      <c r="G333" s="103"/>
      <c r="H333" s="1058"/>
      <c r="I333" s="684" t="str">
        <f t="shared" si="32"/>
        <v/>
      </c>
      <c r="J333" s="685">
        <f t="shared" si="33"/>
        <v>0</v>
      </c>
      <c r="K333" s="1258"/>
      <c r="L333" s="1251"/>
      <c r="M333" s="1257"/>
      <c r="N333" s="719" t="str">
        <f t="shared" si="36"/>
        <v/>
      </c>
      <c r="O333" s="720" t="str">
        <f>IF('Set up ~ Config'!$G$32=6,IF(OR($N333=7,$N333=8,$N333=9),1,IF(OR($N333=10,$N333=11,$N333=12),2,IF(OR($N333=1,$N333=2,$N333=3),3,IF(OR($N333=4,$N333=5,$N333=6),4,"")))),IF(OR($N333=9,$N333=10,$N333=11),1,IF(OR($N333=12,$N333=1,$N333=2),2,IF(OR($N333=3,$N333=4,$N333=5),3,IF(OR($N333=6,$N333=7,$N333=8),4,"")))))</f>
        <v/>
      </c>
      <c r="P333" s="99"/>
      <c r="Q333" s="62"/>
      <c r="R333" s="62"/>
      <c r="S333" s="51"/>
      <c r="T333" s="51"/>
      <c r="U333" s="51"/>
      <c r="V333" s="51"/>
      <c r="W333" s="51"/>
      <c r="X333" s="51"/>
      <c r="Y333" s="51"/>
      <c r="Z333" s="51"/>
      <c r="AA333" s="51"/>
      <c r="AB333" s="51"/>
      <c r="AC333" s="51"/>
      <c r="AD333" s="51"/>
      <c r="AE333" s="51"/>
      <c r="AF333" s="51"/>
      <c r="AG333" s="51"/>
      <c r="AH333" s="94"/>
      <c r="AI333" s="94"/>
      <c r="AJ333" s="94"/>
      <c r="AK333" s="94"/>
      <c r="AL333" s="94"/>
      <c r="AM333" s="94"/>
      <c r="AN333" s="94"/>
      <c r="AO333" s="95"/>
      <c r="AP333" s="686">
        <f t="shared" si="37"/>
        <v>0</v>
      </c>
      <c r="AQ333" s="42"/>
      <c r="AR333" s="42"/>
      <c r="AS333" s="42"/>
      <c r="AT333" s="43"/>
      <c r="AU333" s="687">
        <f t="shared" si="38"/>
        <v>0</v>
      </c>
      <c r="AV333" s="42"/>
      <c r="AW333" s="42"/>
      <c r="AX333" s="42"/>
      <c r="AY333" s="43"/>
      <c r="AZ333" s="486"/>
      <c r="BA333" s="51"/>
      <c r="BB333" s="51"/>
      <c r="BC333" s="51"/>
      <c r="BD333" s="51"/>
      <c r="BE333" s="51"/>
      <c r="BF333" s="51"/>
      <c r="BG333" s="51"/>
      <c r="BH333" s="94"/>
      <c r="BI333" s="94"/>
      <c r="BJ333" s="94"/>
      <c r="BK333" s="94"/>
      <c r="BL333" s="94"/>
      <c r="BM333" s="483"/>
      <c r="BN333" s="94"/>
      <c r="BO333" s="94"/>
      <c r="BP333" s="94"/>
      <c r="BQ333" s="94"/>
      <c r="BR333" s="94"/>
      <c r="BS333" s="94"/>
      <c r="BT333" s="94"/>
      <c r="BU333" s="94"/>
      <c r="BV333" s="94"/>
      <c r="BW333" s="688">
        <f t="shared" si="34"/>
        <v>0</v>
      </c>
      <c r="BX333" s="51"/>
      <c r="BY333" s="51"/>
      <c r="BZ333" s="51"/>
      <c r="CA333" s="51"/>
      <c r="CB333" s="51"/>
      <c r="CC333" s="51"/>
      <c r="CD333" s="97"/>
      <c r="CE333" s="479"/>
      <c r="CF333" s="51"/>
      <c r="CG333" s="51"/>
      <c r="CH333" s="62"/>
      <c r="CI333" s="62"/>
      <c r="CJ333" s="51"/>
      <c r="CK333" s="51"/>
      <c r="CL333" s="95"/>
      <c r="CM333" s="93"/>
      <c r="CN333" s="51"/>
      <c r="CO333" s="51"/>
      <c r="CP333" s="51"/>
      <c r="CQ333" s="51"/>
      <c r="CR333" s="51"/>
      <c r="CS333" s="51"/>
      <c r="CT333" s="51"/>
      <c r="CU333" s="95"/>
      <c r="CV333" s="93"/>
      <c r="CW333" s="51"/>
      <c r="CX333" s="51"/>
      <c r="CY333" s="51"/>
      <c r="CZ333" s="51"/>
      <c r="DA333" s="51"/>
      <c r="DB333" s="51"/>
      <c r="DC333" s="51"/>
      <c r="DD333" s="95"/>
      <c r="DE333" s="93"/>
      <c r="DF333" s="51"/>
      <c r="DG333" s="51"/>
      <c r="DH333" s="51"/>
      <c r="DI333" s="51"/>
      <c r="DJ333" s="51"/>
      <c r="DK333" s="51"/>
      <c r="DL333" s="95"/>
      <c r="DM333" s="478"/>
      <c r="DN333" s="682">
        <f t="shared" si="39"/>
        <v>0</v>
      </c>
      <c r="DO333" s="683"/>
    </row>
    <row r="334" spans="1:119" ht="25.5" customHeight="1" thickTop="1" thickBot="1" x14ac:dyDescent="0.2">
      <c r="A334" s="676">
        <f t="shared" si="35"/>
        <v>319</v>
      </c>
      <c r="B334" s="1054"/>
      <c r="C334" s="1055"/>
      <c r="D334" s="83"/>
      <c r="E334" s="954"/>
      <c r="F334" s="52"/>
      <c r="G334" s="103"/>
      <c r="H334" s="1058"/>
      <c r="I334" s="684" t="str">
        <f t="shared" si="32"/>
        <v/>
      </c>
      <c r="J334" s="685">
        <f t="shared" si="33"/>
        <v>0</v>
      </c>
      <c r="K334" s="1258"/>
      <c r="L334" s="1251"/>
      <c r="M334" s="1257"/>
      <c r="N334" s="719" t="str">
        <f t="shared" si="36"/>
        <v/>
      </c>
      <c r="O334" s="720" t="str">
        <f>IF('Set up ~ Config'!$G$32=6,IF(OR($N334=7,$N334=8,$N334=9),1,IF(OR($N334=10,$N334=11,$N334=12),2,IF(OR($N334=1,$N334=2,$N334=3),3,IF(OR($N334=4,$N334=5,$N334=6),4,"")))),IF(OR($N334=9,$N334=10,$N334=11),1,IF(OR($N334=12,$N334=1,$N334=2),2,IF(OR($N334=3,$N334=4,$N334=5),3,IF(OR($N334=6,$N334=7,$N334=8),4,"")))))</f>
        <v/>
      </c>
      <c r="P334" s="99"/>
      <c r="Q334" s="62"/>
      <c r="R334" s="62"/>
      <c r="S334" s="51"/>
      <c r="T334" s="51"/>
      <c r="U334" s="51"/>
      <c r="V334" s="51"/>
      <c r="W334" s="51"/>
      <c r="X334" s="51"/>
      <c r="Y334" s="51"/>
      <c r="Z334" s="51"/>
      <c r="AA334" s="51"/>
      <c r="AB334" s="51"/>
      <c r="AC334" s="51"/>
      <c r="AD334" s="51"/>
      <c r="AE334" s="51"/>
      <c r="AF334" s="51"/>
      <c r="AG334" s="51"/>
      <c r="AH334" s="94"/>
      <c r="AI334" s="94"/>
      <c r="AJ334" s="94"/>
      <c r="AK334" s="94"/>
      <c r="AL334" s="94"/>
      <c r="AM334" s="94"/>
      <c r="AN334" s="94"/>
      <c r="AO334" s="95"/>
      <c r="AP334" s="686">
        <f t="shared" si="37"/>
        <v>0</v>
      </c>
      <c r="AQ334" s="42"/>
      <c r="AR334" s="42"/>
      <c r="AS334" s="42"/>
      <c r="AT334" s="43"/>
      <c r="AU334" s="687">
        <f t="shared" si="38"/>
        <v>0</v>
      </c>
      <c r="AV334" s="42"/>
      <c r="AW334" s="42"/>
      <c r="AX334" s="42"/>
      <c r="AY334" s="43"/>
      <c r="AZ334" s="486"/>
      <c r="BA334" s="51"/>
      <c r="BB334" s="51"/>
      <c r="BC334" s="51"/>
      <c r="BD334" s="51"/>
      <c r="BE334" s="51"/>
      <c r="BF334" s="51"/>
      <c r="BG334" s="51"/>
      <c r="BH334" s="94"/>
      <c r="BI334" s="94"/>
      <c r="BJ334" s="94"/>
      <c r="BK334" s="94"/>
      <c r="BL334" s="94"/>
      <c r="BM334" s="483"/>
      <c r="BN334" s="94"/>
      <c r="BO334" s="94"/>
      <c r="BP334" s="94"/>
      <c r="BQ334" s="94"/>
      <c r="BR334" s="94"/>
      <c r="BS334" s="94"/>
      <c r="BT334" s="94"/>
      <c r="BU334" s="94"/>
      <c r="BV334" s="94"/>
      <c r="BW334" s="688">
        <f t="shared" si="34"/>
        <v>0</v>
      </c>
      <c r="BX334" s="51"/>
      <c r="BY334" s="51"/>
      <c r="BZ334" s="51"/>
      <c r="CA334" s="51"/>
      <c r="CB334" s="51"/>
      <c r="CC334" s="51"/>
      <c r="CD334" s="97"/>
      <c r="CE334" s="479"/>
      <c r="CF334" s="51"/>
      <c r="CG334" s="51"/>
      <c r="CH334" s="62"/>
      <c r="CI334" s="62"/>
      <c r="CJ334" s="51"/>
      <c r="CK334" s="51"/>
      <c r="CL334" s="95"/>
      <c r="CM334" s="93"/>
      <c r="CN334" s="51"/>
      <c r="CO334" s="51"/>
      <c r="CP334" s="51"/>
      <c r="CQ334" s="51"/>
      <c r="CR334" s="51"/>
      <c r="CS334" s="51"/>
      <c r="CT334" s="51"/>
      <c r="CU334" s="95"/>
      <c r="CV334" s="93"/>
      <c r="CW334" s="51"/>
      <c r="CX334" s="51"/>
      <c r="CY334" s="51"/>
      <c r="CZ334" s="51"/>
      <c r="DA334" s="51"/>
      <c r="DB334" s="51"/>
      <c r="DC334" s="51"/>
      <c r="DD334" s="95"/>
      <c r="DE334" s="93"/>
      <c r="DF334" s="51"/>
      <c r="DG334" s="51"/>
      <c r="DH334" s="51"/>
      <c r="DI334" s="51"/>
      <c r="DJ334" s="51"/>
      <c r="DK334" s="51"/>
      <c r="DL334" s="95"/>
      <c r="DM334" s="478"/>
      <c r="DN334" s="682">
        <f t="shared" si="39"/>
        <v>0</v>
      </c>
      <c r="DO334" s="683"/>
    </row>
    <row r="335" spans="1:119" ht="25.5" customHeight="1" thickTop="1" thickBot="1" x14ac:dyDescent="0.2">
      <c r="A335" s="676">
        <f t="shared" si="35"/>
        <v>320</v>
      </c>
      <c r="B335" s="1054"/>
      <c r="C335" s="1055"/>
      <c r="D335" s="83"/>
      <c r="E335" s="954"/>
      <c r="F335" s="52"/>
      <c r="G335" s="103"/>
      <c r="H335" s="1058"/>
      <c r="I335" s="684" t="str">
        <f t="shared" si="32"/>
        <v/>
      </c>
      <c r="J335" s="685">
        <f t="shared" si="33"/>
        <v>0</v>
      </c>
      <c r="K335" s="1258"/>
      <c r="L335" s="1251"/>
      <c r="M335" s="1257"/>
      <c r="N335" s="719" t="str">
        <f t="shared" si="36"/>
        <v/>
      </c>
      <c r="O335" s="720" t="str">
        <f>IF('Set up ~ Config'!$G$32=6,IF(OR($N335=7,$N335=8,$N335=9),1,IF(OR($N335=10,$N335=11,$N335=12),2,IF(OR($N335=1,$N335=2,$N335=3),3,IF(OR($N335=4,$N335=5,$N335=6),4,"")))),IF(OR($N335=9,$N335=10,$N335=11),1,IF(OR($N335=12,$N335=1,$N335=2),2,IF(OR($N335=3,$N335=4,$N335=5),3,IF(OR($N335=6,$N335=7,$N335=8),4,"")))))</f>
        <v/>
      </c>
      <c r="P335" s="99"/>
      <c r="Q335" s="62"/>
      <c r="R335" s="62"/>
      <c r="S335" s="51"/>
      <c r="T335" s="51"/>
      <c r="U335" s="51"/>
      <c r="V335" s="51"/>
      <c r="W335" s="51"/>
      <c r="X335" s="51"/>
      <c r="Y335" s="51"/>
      <c r="Z335" s="51"/>
      <c r="AA335" s="51"/>
      <c r="AB335" s="51"/>
      <c r="AC335" s="51"/>
      <c r="AD335" s="51"/>
      <c r="AE335" s="51"/>
      <c r="AF335" s="51"/>
      <c r="AG335" s="51"/>
      <c r="AH335" s="94"/>
      <c r="AI335" s="94"/>
      <c r="AJ335" s="94"/>
      <c r="AK335" s="94"/>
      <c r="AL335" s="94"/>
      <c r="AM335" s="94"/>
      <c r="AN335" s="94"/>
      <c r="AO335" s="95"/>
      <c r="AP335" s="686">
        <f t="shared" si="37"/>
        <v>0</v>
      </c>
      <c r="AQ335" s="42"/>
      <c r="AR335" s="42"/>
      <c r="AS335" s="42"/>
      <c r="AT335" s="43"/>
      <c r="AU335" s="687">
        <f t="shared" si="38"/>
        <v>0</v>
      </c>
      <c r="AV335" s="42"/>
      <c r="AW335" s="42"/>
      <c r="AX335" s="42"/>
      <c r="AY335" s="43"/>
      <c r="AZ335" s="486"/>
      <c r="BA335" s="51"/>
      <c r="BB335" s="51"/>
      <c r="BC335" s="51"/>
      <c r="BD335" s="51"/>
      <c r="BE335" s="51"/>
      <c r="BF335" s="51"/>
      <c r="BG335" s="51"/>
      <c r="BH335" s="94"/>
      <c r="BI335" s="94"/>
      <c r="BJ335" s="94"/>
      <c r="BK335" s="94"/>
      <c r="BL335" s="94"/>
      <c r="BM335" s="483"/>
      <c r="BN335" s="94"/>
      <c r="BO335" s="94"/>
      <c r="BP335" s="94"/>
      <c r="BQ335" s="94"/>
      <c r="BR335" s="94"/>
      <c r="BS335" s="94"/>
      <c r="BT335" s="94"/>
      <c r="BU335" s="94"/>
      <c r="BV335" s="94"/>
      <c r="BW335" s="688">
        <f t="shared" si="34"/>
        <v>0</v>
      </c>
      <c r="BX335" s="51"/>
      <c r="BY335" s="51"/>
      <c r="BZ335" s="51"/>
      <c r="CA335" s="51"/>
      <c r="CB335" s="51"/>
      <c r="CC335" s="51"/>
      <c r="CD335" s="97"/>
      <c r="CE335" s="479"/>
      <c r="CF335" s="51"/>
      <c r="CG335" s="51"/>
      <c r="CH335" s="62"/>
      <c r="CI335" s="62"/>
      <c r="CJ335" s="51"/>
      <c r="CK335" s="51"/>
      <c r="CL335" s="95"/>
      <c r="CM335" s="93"/>
      <c r="CN335" s="51"/>
      <c r="CO335" s="51"/>
      <c r="CP335" s="51"/>
      <c r="CQ335" s="51"/>
      <c r="CR335" s="51"/>
      <c r="CS335" s="51"/>
      <c r="CT335" s="51"/>
      <c r="CU335" s="95"/>
      <c r="CV335" s="93"/>
      <c r="CW335" s="51"/>
      <c r="CX335" s="51"/>
      <c r="CY335" s="51"/>
      <c r="CZ335" s="51"/>
      <c r="DA335" s="51"/>
      <c r="DB335" s="51"/>
      <c r="DC335" s="51"/>
      <c r="DD335" s="95"/>
      <c r="DE335" s="93"/>
      <c r="DF335" s="51"/>
      <c r="DG335" s="51"/>
      <c r="DH335" s="51"/>
      <c r="DI335" s="51"/>
      <c r="DJ335" s="51"/>
      <c r="DK335" s="51"/>
      <c r="DL335" s="95"/>
      <c r="DM335" s="478"/>
      <c r="DN335" s="682">
        <f t="shared" si="39"/>
        <v>0</v>
      </c>
      <c r="DO335" s="683"/>
    </row>
    <row r="336" spans="1:119" ht="25.5" customHeight="1" thickTop="1" thickBot="1" x14ac:dyDescent="0.2">
      <c r="A336" s="676">
        <f t="shared" si="35"/>
        <v>321</v>
      </c>
      <c r="B336" s="1054"/>
      <c r="C336" s="1055"/>
      <c r="D336" s="83"/>
      <c r="E336" s="954"/>
      <c r="F336" s="52"/>
      <c r="G336" s="103"/>
      <c r="H336" s="1058"/>
      <c r="I336" s="684" t="str">
        <f t="shared" ref="I336:I399" si="40">LEFT(H336,4)</f>
        <v/>
      </c>
      <c r="J336" s="685">
        <f t="shared" ref="J336:J399" si="41">G336-DN336</f>
        <v>0</v>
      </c>
      <c r="K336" s="1258"/>
      <c r="L336" s="1251"/>
      <c r="M336" s="1257"/>
      <c r="N336" s="719" t="str">
        <f t="shared" si="36"/>
        <v/>
      </c>
      <c r="O336" s="720" t="str">
        <f>IF('Set up ~ Config'!$G$32=6,IF(OR($N336=7,$N336=8,$N336=9),1,IF(OR($N336=10,$N336=11,$N336=12),2,IF(OR($N336=1,$N336=2,$N336=3),3,IF(OR($N336=4,$N336=5,$N336=6),4,"")))),IF(OR($N336=9,$N336=10,$N336=11),1,IF(OR($N336=12,$N336=1,$N336=2),2,IF(OR($N336=3,$N336=4,$N336=5),3,IF(OR($N336=6,$N336=7,$N336=8),4,"")))))</f>
        <v/>
      </c>
      <c r="P336" s="99"/>
      <c r="Q336" s="62"/>
      <c r="R336" s="62"/>
      <c r="S336" s="51"/>
      <c r="T336" s="51"/>
      <c r="U336" s="51"/>
      <c r="V336" s="51"/>
      <c r="W336" s="51"/>
      <c r="X336" s="51"/>
      <c r="Y336" s="51"/>
      <c r="Z336" s="51"/>
      <c r="AA336" s="51"/>
      <c r="AB336" s="51"/>
      <c r="AC336" s="51"/>
      <c r="AD336" s="51"/>
      <c r="AE336" s="51"/>
      <c r="AF336" s="51"/>
      <c r="AG336" s="51"/>
      <c r="AH336" s="94"/>
      <c r="AI336" s="94"/>
      <c r="AJ336" s="94"/>
      <c r="AK336" s="94"/>
      <c r="AL336" s="94"/>
      <c r="AM336" s="94"/>
      <c r="AN336" s="94"/>
      <c r="AO336" s="95"/>
      <c r="AP336" s="686">
        <f t="shared" si="37"/>
        <v>0</v>
      </c>
      <c r="AQ336" s="42"/>
      <c r="AR336" s="42"/>
      <c r="AS336" s="42"/>
      <c r="AT336" s="43"/>
      <c r="AU336" s="687">
        <f t="shared" si="38"/>
        <v>0</v>
      </c>
      <c r="AV336" s="42"/>
      <c r="AW336" s="42"/>
      <c r="AX336" s="42"/>
      <c r="AY336" s="43"/>
      <c r="AZ336" s="486"/>
      <c r="BA336" s="51"/>
      <c r="BB336" s="51"/>
      <c r="BC336" s="51"/>
      <c r="BD336" s="51"/>
      <c r="BE336" s="51"/>
      <c r="BF336" s="51"/>
      <c r="BG336" s="51"/>
      <c r="BH336" s="94"/>
      <c r="BI336" s="94"/>
      <c r="BJ336" s="94"/>
      <c r="BK336" s="94"/>
      <c r="BL336" s="94"/>
      <c r="BM336" s="483"/>
      <c r="BN336" s="94"/>
      <c r="BO336" s="94"/>
      <c r="BP336" s="94"/>
      <c r="BQ336" s="94"/>
      <c r="BR336" s="94"/>
      <c r="BS336" s="94"/>
      <c r="BT336" s="94"/>
      <c r="BU336" s="94"/>
      <c r="BV336" s="94"/>
      <c r="BW336" s="688">
        <f t="shared" ref="BW336:BW399" si="42">SUM(BX336:CD336)</f>
        <v>0</v>
      </c>
      <c r="BX336" s="51"/>
      <c r="BY336" s="51"/>
      <c r="BZ336" s="51"/>
      <c r="CA336" s="51"/>
      <c r="CB336" s="51"/>
      <c r="CC336" s="51"/>
      <c r="CD336" s="97"/>
      <c r="CE336" s="479"/>
      <c r="CF336" s="51"/>
      <c r="CG336" s="51"/>
      <c r="CH336" s="62"/>
      <c r="CI336" s="62"/>
      <c r="CJ336" s="51"/>
      <c r="CK336" s="51"/>
      <c r="CL336" s="95"/>
      <c r="CM336" s="93"/>
      <c r="CN336" s="51"/>
      <c r="CO336" s="51"/>
      <c r="CP336" s="51"/>
      <c r="CQ336" s="51"/>
      <c r="CR336" s="51"/>
      <c r="CS336" s="51"/>
      <c r="CT336" s="51"/>
      <c r="CU336" s="95"/>
      <c r="CV336" s="93"/>
      <c r="CW336" s="51"/>
      <c r="CX336" s="51"/>
      <c r="CY336" s="51"/>
      <c r="CZ336" s="51"/>
      <c r="DA336" s="51"/>
      <c r="DB336" s="51"/>
      <c r="DC336" s="51"/>
      <c r="DD336" s="95"/>
      <c r="DE336" s="93"/>
      <c r="DF336" s="51"/>
      <c r="DG336" s="51"/>
      <c r="DH336" s="51"/>
      <c r="DI336" s="51"/>
      <c r="DJ336" s="51"/>
      <c r="DK336" s="51"/>
      <c r="DL336" s="95"/>
      <c r="DM336" s="478"/>
      <c r="DN336" s="682">
        <f t="shared" si="39"/>
        <v>0</v>
      </c>
      <c r="DO336" s="683"/>
    </row>
    <row r="337" spans="1:119" ht="25.5" customHeight="1" thickTop="1" thickBot="1" x14ac:dyDescent="0.2">
      <c r="A337" s="676">
        <f t="shared" ref="A337:A400" si="43">$A336+1</f>
        <v>322</v>
      </c>
      <c r="B337" s="1054"/>
      <c r="C337" s="1055"/>
      <c r="D337" s="83"/>
      <c r="E337" s="954"/>
      <c r="F337" s="52"/>
      <c r="G337" s="103"/>
      <c r="H337" s="1058"/>
      <c r="I337" s="684" t="str">
        <f t="shared" si="40"/>
        <v/>
      </c>
      <c r="J337" s="685">
        <f t="shared" si="41"/>
        <v>0</v>
      </c>
      <c r="K337" s="1258"/>
      <c r="L337" s="1251"/>
      <c r="M337" s="1257"/>
      <c r="N337" s="719" t="str">
        <f t="shared" ref="N337:N400" si="44">IF($E337="","",MONTH($E337))</f>
        <v/>
      </c>
      <c r="O337" s="720" t="str">
        <f>IF('Set up ~ Config'!$G$32=6,IF(OR($N337=7,$N337=8,$N337=9),1,IF(OR($N337=10,$N337=11,$N337=12),2,IF(OR($N337=1,$N337=2,$N337=3),3,IF(OR($N337=4,$N337=5,$N337=6),4,"")))),IF(OR($N337=9,$N337=10,$N337=11),1,IF(OR($N337=12,$N337=1,$N337=2),2,IF(OR($N337=3,$N337=4,$N337=5),3,IF(OR($N337=6,$N337=7,$N337=8),4,"")))))</f>
        <v/>
      </c>
      <c r="P337" s="99"/>
      <c r="Q337" s="62"/>
      <c r="R337" s="62"/>
      <c r="S337" s="51"/>
      <c r="T337" s="51"/>
      <c r="U337" s="51"/>
      <c r="V337" s="51"/>
      <c r="W337" s="51"/>
      <c r="X337" s="51"/>
      <c r="Y337" s="51"/>
      <c r="Z337" s="51"/>
      <c r="AA337" s="51"/>
      <c r="AB337" s="51"/>
      <c r="AC337" s="51"/>
      <c r="AD337" s="51"/>
      <c r="AE337" s="51"/>
      <c r="AF337" s="51"/>
      <c r="AG337" s="51"/>
      <c r="AH337" s="94"/>
      <c r="AI337" s="94"/>
      <c r="AJ337" s="94"/>
      <c r="AK337" s="94"/>
      <c r="AL337" s="94"/>
      <c r="AM337" s="94"/>
      <c r="AN337" s="94"/>
      <c r="AO337" s="95"/>
      <c r="AP337" s="686">
        <f t="shared" ref="AP337:AP400" si="45">SUM(AQ337:AT337)</f>
        <v>0</v>
      </c>
      <c r="AQ337" s="42"/>
      <c r="AR337" s="42"/>
      <c r="AS337" s="42"/>
      <c r="AT337" s="43"/>
      <c r="AU337" s="687">
        <f t="shared" ref="AU337:AU400" si="46">SUM(AV337:AY337)</f>
        <v>0</v>
      </c>
      <c r="AV337" s="42"/>
      <c r="AW337" s="42"/>
      <c r="AX337" s="42"/>
      <c r="AY337" s="43"/>
      <c r="AZ337" s="486"/>
      <c r="BA337" s="51"/>
      <c r="BB337" s="51"/>
      <c r="BC337" s="51"/>
      <c r="BD337" s="51"/>
      <c r="BE337" s="51"/>
      <c r="BF337" s="51"/>
      <c r="BG337" s="51"/>
      <c r="BH337" s="94"/>
      <c r="BI337" s="94"/>
      <c r="BJ337" s="94"/>
      <c r="BK337" s="94"/>
      <c r="BL337" s="94"/>
      <c r="BM337" s="483"/>
      <c r="BN337" s="94"/>
      <c r="BO337" s="94"/>
      <c r="BP337" s="94"/>
      <c r="BQ337" s="94"/>
      <c r="BR337" s="94"/>
      <c r="BS337" s="94"/>
      <c r="BT337" s="94"/>
      <c r="BU337" s="94"/>
      <c r="BV337" s="94"/>
      <c r="BW337" s="688">
        <f t="shared" si="42"/>
        <v>0</v>
      </c>
      <c r="BX337" s="51"/>
      <c r="BY337" s="51"/>
      <c r="BZ337" s="51"/>
      <c r="CA337" s="51"/>
      <c r="CB337" s="51"/>
      <c r="CC337" s="51"/>
      <c r="CD337" s="97"/>
      <c r="CE337" s="479"/>
      <c r="CF337" s="51"/>
      <c r="CG337" s="51"/>
      <c r="CH337" s="62"/>
      <c r="CI337" s="62"/>
      <c r="CJ337" s="51"/>
      <c r="CK337" s="51"/>
      <c r="CL337" s="95"/>
      <c r="CM337" s="93"/>
      <c r="CN337" s="51"/>
      <c r="CO337" s="51"/>
      <c r="CP337" s="51"/>
      <c r="CQ337" s="51"/>
      <c r="CR337" s="51"/>
      <c r="CS337" s="51"/>
      <c r="CT337" s="51"/>
      <c r="CU337" s="95"/>
      <c r="CV337" s="93"/>
      <c r="CW337" s="51"/>
      <c r="CX337" s="51"/>
      <c r="CY337" s="51"/>
      <c r="CZ337" s="51"/>
      <c r="DA337" s="51"/>
      <c r="DB337" s="51"/>
      <c r="DC337" s="51"/>
      <c r="DD337" s="95"/>
      <c r="DE337" s="93"/>
      <c r="DF337" s="51"/>
      <c r="DG337" s="51"/>
      <c r="DH337" s="51"/>
      <c r="DI337" s="51"/>
      <c r="DJ337" s="51"/>
      <c r="DK337" s="51"/>
      <c r="DL337" s="95"/>
      <c r="DM337" s="478"/>
      <c r="DN337" s="682">
        <f t="shared" ref="DN337:DN400" si="47">SUM(P337:AP337,AU337,AZ337:BW337,CE337:DM337)</f>
        <v>0</v>
      </c>
      <c r="DO337" s="683"/>
    </row>
    <row r="338" spans="1:119" ht="25.5" customHeight="1" thickTop="1" thickBot="1" x14ac:dyDescent="0.2">
      <c r="A338" s="676">
        <f t="shared" si="43"/>
        <v>323</v>
      </c>
      <c r="B338" s="1054"/>
      <c r="C338" s="1055"/>
      <c r="D338" s="83"/>
      <c r="E338" s="954"/>
      <c r="F338" s="52"/>
      <c r="G338" s="103"/>
      <c r="H338" s="1058"/>
      <c r="I338" s="684" t="str">
        <f t="shared" si="40"/>
        <v/>
      </c>
      <c r="J338" s="685">
        <f t="shared" si="41"/>
        <v>0</v>
      </c>
      <c r="K338" s="1258"/>
      <c r="L338" s="1251"/>
      <c r="M338" s="1257"/>
      <c r="N338" s="719" t="str">
        <f t="shared" si="44"/>
        <v/>
      </c>
      <c r="O338" s="720" t="str">
        <f>IF('Set up ~ Config'!$G$32=6,IF(OR($N338=7,$N338=8,$N338=9),1,IF(OR($N338=10,$N338=11,$N338=12),2,IF(OR($N338=1,$N338=2,$N338=3),3,IF(OR($N338=4,$N338=5,$N338=6),4,"")))),IF(OR($N338=9,$N338=10,$N338=11),1,IF(OR($N338=12,$N338=1,$N338=2),2,IF(OR($N338=3,$N338=4,$N338=5),3,IF(OR($N338=6,$N338=7,$N338=8),4,"")))))</f>
        <v/>
      </c>
      <c r="P338" s="99"/>
      <c r="Q338" s="62"/>
      <c r="R338" s="62"/>
      <c r="S338" s="51"/>
      <c r="T338" s="51"/>
      <c r="U338" s="51"/>
      <c r="V338" s="51"/>
      <c r="W338" s="51"/>
      <c r="X338" s="51"/>
      <c r="Y338" s="51"/>
      <c r="Z338" s="51"/>
      <c r="AA338" s="51"/>
      <c r="AB338" s="51"/>
      <c r="AC338" s="51"/>
      <c r="AD338" s="51"/>
      <c r="AE338" s="51"/>
      <c r="AF338" s="51"/>
      <c r="AG338" s="51"/>
      <c r="AH338" s="94"/>
      <c r="AI338" s="94"/>
      <c r="AJ338" s="94"/>
      <c r="AK338" s="94"/>
      <c r="AL338" s="94"/>
      <c r="AM338" s="94"/>
      <c r="AN338" s="94"/>
      <c r="AO338" s="95"/>
      <c r="AP338" s="686">
        <f t="shared" si="45"/>
        <v>0</v>
      </c>
      <c r="AQ338" s="42"/>
      <c r="AR338" s="42"/>
      <c r="AS338" s="42"/>
      <c r="AT338" s="43"/>
      <c r="AU338" s="687">
        <f t="shared" si="46"/>
        <v>0</v>
      </c>
      <c r="AV338" s="42"/>
      <c r="AW338" s="42"/>
      <c r="AX338" s="42"/>
      <c r="AY338" s="43"/>
      <c r="AZ338" s="486"/>
      <c r="BA338" s="51"/>
      <c r="BB338" s="51"/>
      <c r="BC338" s="51"/>
      <c r="BD338" s="51"/>
      <c r="BE338" s="51"/>
      <c r="BF338" s="51"/>
      <c r="BG338" s="51"/>
      <c r="BH338" s="94"/>
      <c r="BI338" s="94"/>
      <c r="BJ338" s="94"/>
      <c r="BK338" s="94"/>
      <c r="BL338" s="94"/>
      <c r="BM338" s="483"/>
      <c r="BN338" s="94"/>
      <c r="BO338" s="94"/>
      <c r="BP338" s="94"/>
      <c r="BQ338" s="94"/>
      <c r="BR338" s="94"/>
      <c r="BS338" s="94"/>
      <c r="BT338" s="94"/>
      <c r="BU338" s="94"/>
      <c r="BV338" s="94"/>
      <c r="BW338" s="688">
        <f t="shared" si="42"/>
        <v>0</v>
      </c>
      <c r="BX338" s="51"/>
      <c r="BY338" s="51"/>
      <c r="BZ338" s="51"/>
      <c r="CA338" s="51"/>
      <c r="CB338" s="51"/>
      <c r="CC338" s="51"/>
      <c r="CD338" s="97"/>
      <c r="CE338" s="479"/>
      <c r="CF338" s="51"/>
      <c r="CG338" s="51"/>
      <c r="CH338" s="62"/>
      <c r="CI338" s="62"/>
      <c r="CJ338" s="51"/>
      <c r="CK338" s="51"/>
      <c r="CL338" s="95"/>
      <c r="CM338" s="93"/>
      <c r="CN338" s="51"/>
      <c r="CO338" s="51"/>
      <c r="CP338" s="51"/>
      <c r="CQ338" s="51"/>
      <c r="CR338" s="51"/>
      <c r="CS338" s="51"/>
      <c r="CT338" s="51"/>
      <c r="CU338" s="95"/>
      <c r="CV338" s="93"/>
      <c r="CW338" s="51"/>
      <c r="CX338" s="51"/>
      <c r="CY338" s="51"/>
      <c r="CZ338" s="51"/>
      <c r="DA338" s="51"/>
      <c r="DB338" s="51"/>
      <c r="DC338" s="51"/>
      <c r="DD338" s="95"/>
      <c r="DE338" s="93"/>
      <c r="DF338" s="51"/>
      <c r="DG338" s="51"/>
      <c r="DH338" s="51"/>
      <c r="DI338" s="51"/>
      <c r="DJ338" s="51"/>
      <c r="DK338" s="51"/>
      <c r="DL338" s="95"/>
      <c r="DM338" s="478"/>
      <c r="DN338" s="682">
        <f t="shared" si="47"/>
        <v>0</v>
      </c>
      <c r="DO338" s="683"/>
    </row>
    <row r="339" spans="1:119" ht="25.5" customHeight="1" thickTop="1" thickBot="1" x14ac:dyDescent="0.2">
      <c r="A339" s="676">
        <f t="shared" si="43"/>
        <v>324</v>
      </c>
      <c r="B339" s="1054"/>
      <c r="C339" s="1055"/>
      <c r="D339" s="83"/>
      <c r="E339" s="954"/>
      <c r="F339" s="52"/>
      <c r="G339" s="103"/>
      <c r="H339" s="1058"/>
      <c r="I339" s="684" t="str">
        <f t="shared" si="40"/>
        <v/>
      </c>
      <c r="J339" s="685">
        <f t="shared" si="41"/>
        <v>0</v>
      </c>
      <c r="K339" s="1258"/>
      <c r="L339" s="1251"/>
      <c r="M339" s="1257"/>
      <c r="N339" s="719" t="str">
        <f t="shared" si="44"/>
        <v/>
      </c>
      <c r="O339" s="720" t="str">
        <f>IF('Set up ~ Config'!$G$32=6,IF(OR($N339=7,$N339=8,$N339=9),1,IF(OR($N339=10,$N339=11,$N339=12),2,IF(OR($N339=1,$N339=2,$N339=3),3,IF(OR($N339=4,$N339=5,$N339=6),4,"")))),IF(OR($N339=9,$N339=10,$N339=11),1,IF(OR($N339=12,$N339=1,$N339=2),2,IF(OR($N339=3,$N339=4,$N339=5),3,IF(OR($N339=6,$N339=7,$N339=8),4,"")))))</f>
        <v/>
      </c>
      <c r="P339" s="99"/>
      <c r="Q339" s="62"/>
      <c r="R339" s="62"/>
      <c r="S339" s="51"/>
      <c r="T339" s="51"/>
      <c r="U339" s="51"/>
      <c r="V339" s="51"/>
      <c r="W339" s="51"/>
      <c r="X339" s="51"/>
      <c r="Y339" s="51"/>
      <c r="Z339" s="51"/>
      <c r="AA339" s="51"/>
      <c r="AB339" s="51"/>
      <c r="AC339" s="51"/>
      <c r="AD339" s="51"/>
      <c r="AE339" s="51"/>
      <c r="AF339" s="51"/>
      <c r="AG339" s="51"/>
      <c r="AH339" s="94"/>
      <c r="AI339" s="94"/>
      <c r="AJ339" s="94"/>
      <c r="AK339" s="94"/>
      <c r="AL339" s="94"/>
      <c r="AM339" s="94"/>
      <c r="AN339" s="94"/>
      <c r="AO339" s="95"/>
      <c r="AP339" s="686">
        <f t="shared" si="45"/>
        <v>0</v>
      </c>
      <c r="AQ339" s="42"/>
      <c r="AR339" s="42"/>
      <c r="AS339" s="42"/>
      <c r="AT339" s="43"/>
      <c r="AU339" s="687">
        <f t="shared" si="46"/>
        <v>0</v>
      </c>
      <c r="AV339" s="42"/>
      <c r="AW339" s="42"/>
      <c r="AX339" s="42"/>
      <c r="AY339" s="43"/>
      <c r="AZ339" s="486"/>
      <c r="BA339" s="51"/>
      <c r="BB339" s="51"/>
      <c r="BC339" s="51"/>
      <c r="BD339" s="51"/>
      <c r="BE339" s="51"/>
      <c r="BF339" s="51"/>
      <c r="BG339" s="51"/>
      <c r="BH339" s="94"/>
      <c r="BI339" s="94"/>
      <c r="BJ339" s="94"/>
      <c r="BK339" s="94"/>
      <c r="BL339" s="94"/>
      <c r="BM339" s="483"/>
      <c r="BN339" s="94"/>
      <c r="BO339" s="94"/>
      <c r="BP339" s="94"/>
      <c r="BQ339" s="94"/>
      <c r="BR339" s="94"/>
      <c r="BS339" s="94"/>
      <c r="BT339" s="94"/>
      <c r="BU339" s="94"/>
      <c r="BV339" s="94"/>
      <c r="BW339" s="688">
        <f t="shared" si="42"/>
        <v>0</v>
      </c>
      <c r="BX339" s="51"/>
      <c r="BY339" s="51"/>
      <c r="BZ339" s="51"/>
      <c r="CA339" s="51"/>
      <c r="CB339" s="51"/>
      <c r="CC339" s="51"/>
      <c r="CD339" s="97"/>
      <c r="CE339" s="479"/>
      <c r="CF339" s="51"/>
      <c r="CG339" s="51"/>
      <c r="CH339" s="62"/>
      <c r="CI339" s="62"/>
      <c r="CJ339" s="51"/>
      <c r="CK339" s="51"/>
      <c r="CL339" s="95"/>
      <c r="CM339" s="93"/>
      <c r="CN339" s="51"/>
      <c r="CO339" s="51"/>
      <c r="CP339" s="51"/>
      <c r="CQ339" s="51"/>
      <c r="CR339" s="51"/>
      <c r="CS339" s="51"/>
      <c r="CT339" s="51"/>
      <c r="CU339" s="95"/>
      <c r="CV339" s="93"/>
      <c r="CW339" s="51"/>
      <c r="CX339" s="51"/>
      <c r="CY339" s="51"/>
      <c r="CZ339" s="51"/>
      <c r="DA339" s="51"/>
      <c r="DB339" s="51"/>
      <c r="DC339" s="51"/>
      <c r="DD339" s="95"/>
      <c r="DE339" s="93"/>
      <c r="DF339" s="51"/>
      <c r="DG339" s="51"/>
      <c r="DH339" s="51"/>
      <c r="DI339" s="51"/>
      <c r="DJ339" s="51"/>
      <c r="DK339" s="51"/>
      <c r="DL339" s="95"/>
      <c r="DM339" s="478"/>
      <c r="DN339" s="682">
        <f t="shared" si="47"/>
        <v>0</v>
      </c>
      <c r="DO339" s="683"/>
    </row>
    <row r="340" spans="1:119" ht="25.5" customHeight="1" thickTop="1" thickBot="1" x14ac:dyDescent="0.2">
      <c r="A340" s="676">
        <f t="shared" si="43"/>
        <v>325</v>
      </c>
      <c r="B340" s="1054"/>
      <c r="C340" s="1055"/>
      <c r="D340" s="83"/>
      <c r="E340" s="954"/>
      <c r="F340" s="52"/>
      <c r="G340" s="103"/>
      <c r="H340" s="1058"/>
      <c r="I340" s="684" t="str">
        <f t="shared" si="40"/>
        <v/>
      </c>
      <c r="J340" s="685">
        <f t="shared" si="41"/>
        <v>0</v>
      </c>
      <c r="K340" s="1258"/>
      <c r="L340" s="1251"/>
      <c r="M340" s="1257"/>
      <c r="N340" s="719" t="str">
        <f t="shared" si="44"/>
        <v/>
      </c>
      <c r="O340" s="720" t="str">
        <f>IF('Set up ~ Config'!$G$32=6,IF(OR($N340=7,$N340=8,$N340=9),1,IF(OR($N340=10,$N340=11,$N340=12),2,IF(OR($N340=1,$N340=2,$N340=3),3,IF(OR($N340=4,$N340=5,$N340=6),4,"")))),IF(OR($N340=9,$N340=10,$N340=11),1,IF(OR($N340=12,$N340=1,$N340=2),2,IF(OR($N340=3,$N340=4,$N340=5),3,IF(OR($N340=6,$N340=7,$N340=8),4,"")))))</f>
        <v/>
      </c>
      <c r="P340" s="99"/>
      <c r="Q340" s="62"/>
      <c r="R340" s="62"/>
      <c r="S340" s="51"/>
      <c r="T340" s="51"/>
      <c r="U340" s="51"/>
      <c r="V340" s="51"/>
      <c r="W340" s="51"/>
      <c r="X340" s="51"/>
      <c r="Y340" s="51"/>
      <c r="Z340" s="51"/>
      <c r="AA340" s="51"/>
      <c r="AB340" s="51"/>
      <c r="AC340" s="51"/>
      <c r="AD340" s="51"/>
      <c r="AE340" s="51"/>
      <c r="AF340" s="51"/>
      <c r="AG340" s="51"/>
      <c r="AH340" s="94"/>
      <c r="AI340" s="94"/>
      <c r="AJ340" s="94"/>
      <c r="AK340" s="94"/>
      <c r="AL340" s="94"/>
      <c r="AM340" s="94"/>
      <c r="AN340" s="94"/>
      <c r="AO340" s="95"/>
      <c r="AP340" s="686">
        <f t="shared" si="45"/>
        <v>0</v>
      </c>
      <c r="AQ340" s="42"/>
      <c r="AR340" s="42"/>
      <c r="AS340" s="42"/>
      <c r="AT340" s="43"/>
      <c r="AU340" s="687">
        <f t="shared" si="46"/>
        <v>0</v>
      </c>
      <c r="AV340" s="42"/>
      <c r="AW340" s="42"/>
      <c r="AX340" s="42"/>
      <c r="AY340" s="43"/>
      <c r="AZ340" s="486"/>
      <c r="BA340" s="51"/>
      <c r="BB340" s="51"/>
      <c r="BC340" s="51"/>
      <c r="BD340" s="51"/>
      <c r="BE340" s="51"/>
      <c r="BF340" s="51"/>
      <c r="BG340" s="51"/>
      <c r="BH340" s="94"/>
      <c r="BI340" s="94"/>
      <c r="BJ340" s="94"/>
      <c r="BK340" s="94"/>
      <c r="BL340" s="94"/>
      <c r="BM340" s="483"/>
      <c r="BN340" s="94"/>
      <c r="BO340" s="94"/>
      <c r="BP340" s="94"/>
      <c r="BQ340" s="94"/>
      <c r="BR340" s="94"/>
      <c r="BS340" s="94"/>
      <c r="BT340" s="94"/>
      <c r="BU340" s="94"/>
      <c r="BV340" s="94"/>
      <c r="BW340" s="688">
        <f t="shared" si="42"/>
        <v>0</v>
      </c>
      <c r="BX340" s="51"/>
      <c r="BY340" s="51"/>
      <c r="BZ340" s="51"/>
      <c r="CA340" s="51"/>
      <c r="CB340" s="51"/>
      <c r="CC340" s="51"/>
      <c r="CD340" s="97"/>
      <c r="CE340" s="479"/>
      <c r="CF340" s="51"/>
      <c r="CG340" s="51"/>
      <c r="CH340" s="62"/>
      <c r="CI340" s="62"/>
      <c r="CJ340" s="51"/>
      <c r="CK340" s="51"/>
      <c r="CL340" s="95"/>
      <c r="CM340" s="93"/>
      <c r="CN340" s="51"/>
      <c r="CO340" s="51"/>
      <c r="CP340" s="51"/>
      <c r="CQ340" s="51"/>
      <c r="CR340" s="51"/>
      <c r="CS340" s="51"/>
      <c r="CT340" s="51"/>
      <c r="CU340" s="95"/>
      <c r="CV340" s="93"/>
      <c r="CW340" s="51"/>
      <c r="CX340" s="51"/>
      <c r="CY340" s="51"/>
      <c r="CZ340" s="51"/>
      <c r="DA340" s="51"/>
      <c r="DB340" s="51"/>
      <c r="DC340" s="51"/>
      <c r="DD340" s="95"/>
      <c r="DE340" s="93"/>
      <c r="DF340" s="51"/>
      <c r="DG340" s="51"/>
      <c r="DH340" s="51"/>
      <c r="DI340" s="51"/>
      <c r="DJ340" s="51"/>
      <c r="DK340" s="51"/>
      <c r="DL340" s="95"/>
      <c r="DM340" s="478"/>
      <c r="DN340" s="682">
        <f t="shared" si="47"/>
        <v>0</v>
      </c>
      <c r="DO340" s="683"/>
    </row>
    <row r="341" spans="1:119" ht="25.5" customHeight="1" thickTop="1" thickBot="1" x14ac:dyDescent="0.2">
      <c r="A341" s="676">
        <f t="shared" si="43"/>
        <v>326</v>
      </c>
      <c r="B341" s="1054"/>
      <c r="C341" s="1055"/>
      <c r="D341" s="83"/>
      <c r="E341" s="954"/>
      <c r="F341" s="52"/>
      <c r="G341" s="103"/>
      <c r="H341" s="1058"/>
      <c r="I341" s="684" t="str">
        <f t="shared" si="40"/>
        <v/>
      </c>
      <c r="J341" s="685">
        <f t="shared" si="41"/>
        <v>0</v>
      </c>
      <c r="K341" s="1258"/>
      <c r="L341" s="1251"/>
      <c r="M341" s="1257"/>
      <c r="N341" s="719" t="str">
        <f t="shared" si="44"/>
        <v/>
      </c>
      <c r="O341" s="720" t="str">
        <f>IF('Set up ~ Config'!$G$32=6,IF(OR($N341=7,$N341=8,$N341=9),1,IF(OR($N341=10,$N341=11,$N341=12),2,IF(OR($N341=1,$N341=2,$N341=3),3,IF(OR($N341=4,$N341=5,$N341=6),4,"")))),IF(OR($N341=9,$N341=10,$N341=11),1,IF(OR($N341=12,$N341=1,$N341=2),2,IF(OR($N341=3,$N341=4,$N341=5),3,IF(OR($N341=6,$N341=7,$N341=8),4,"")))))</f>
        <v/>
      </c>
      <c r="P341" s="99"/>
      <c r="Q341" s="62"/>
      <c r="R341" s="62"/>
      <c r="S341" s="51"/>
      <c r="T341" s="51"/>
      <c r="U341" s="51"/>
      <c r="V341" s="51"/>
      <c r="W341" s="51"/>
      <c r="X341" s="51"/>
      <c r="Y341" s="51"/>
      <c r="Z341" s="51"/>
      <c r="AA341" s="51"/>
      <c r="AB341" s="51"/>
      <c r="AC341" s="51"/>
      <c r="AD341" s="51"/>
      <c r="AE341" s="51"/>
      <c r="AF341" s="51"/>
      <c r="AG341" s="51"/>
      <c r="AH341" s="94"/>
      <c r="AI341" s="94"/>
      <c r="AJ341" s="94"/>
      <c r="AK341" s="94"/>
      <c r="AL341" s="94"/>
      <c r="AM341" s="94"/>
      <c r="AN341" s="94"/>
      <c r="AO341" s="95"/>
      <c r="AP341" s="686">
        <f t="shared" si="45"/>
        <v>0</v>
      </c>
      <c r="AQ341" s="42"/>
      <c r="AR341" s="42"/>
      <c r="AS341" s="42"/>
      <c r="AT341" s="43"/>
      <c r="AU341" s="687">
        <f t="shared" si="46"/>
        <v>0</v>
      </c>
      <c r="AV341" s="42"/>
      <c r="AW341" s="42"/>
      <c r="AX341" s="42"/>
      <c r="AY341" s="43"/>
      <c r="AZ341" s="486"/>
      <c r="BA341" s="51"/>
      <c r="BB341" s="51"/>
      <c r="BC341" s="51"/>
      <c r="BD341" s="51"/>
      <c r="BE341" s="51"/>
      <c r="BF341" s="51"/>
      <c r="BG341" s="51"/>
      <c r="BH341" s="94"/>
      <c r="BI341" s="94"/>
      <c r="BJ341" s="94"/>
      <c r="BK341" s="94"/>
      <c r="BL341" s="94"/>
      <c r="BM341" s="483"/>
      <c r="BN341" s="94"/>
      <c r="BO341" s="94"/>
      <c r="BP341" s="94"/>
      <c r="BQ341" s="94"/>
      <c r="BR341" s="94"/>
      <c r="BS341" s="94"/>
      <c r="BT341" s="94"/>
      <c r="BU341" s="94"/>
      <c r="BV341" s="94"/>
      <c r="BW341" s="688">
        <f t="shared" si="42"/>
        <v>0</v>
      </c>
      <c r="BX341" s="51"/>
      <c r="BY341" s="51"/>
      <c r="BZ341" s="51"/>
      <c r="CA341" s="51"/>
      <c r="CB341" s="51"/>
      <c r="CC341" s="51"/>
      <c r="CD341" s="97"/>
      <c r="CE341" s="479"/>
      <c r="CF341" s="51"/>
      <c r="CG341" s="51"/>
      <c r="CH341" s="62"/>
      <c r="CI341" s="62"/>
      <c r="CJ341" s="51"/>
      <c r="CK341" s="51"/>
      <c r="CL341" s="95"/>
      <c r="CM341" s="93"/>
      <c r="CN341" s="51"/>
      <c r="CO341" s="51"/>
      <c r="CP341" s="51"/>
      <c r="CQ341" s="51"/>
      <c r="CR341" s="51"/>
      <c r="CS341" s="51"/>
      <c r="CT341" s="51"/>
      <c r="CU341" s="95"/>
      <c r="CV341" s="93"/>
      <c r="CW341" s="51"/>
      <c r="CX341" s="51"/>
      <c r="CY341" s="51"/>
      <c r="CZ341" s="51"/>
      <c r="DA341" s="51"/>
      <c r="DB341" s="51"/>
      <c r="DC341" s="51"/>
      <c r="DD341" s="95"/>
      <c r="DE341" s="93"/>
      <c r="DF341" s="51"/>
      <c r="DG341" s="51"/>
      <c r="DH341" s="51"/>
      <c r="DI341" s="51"/>
      <c r="DJ341" s="51"/>
      <c r="DK341" s="51"/>
      <c r="DL341" s="95"/>
      <c r="DM341" s="478"/>
      <c r="DN341" s="682">
        <f t="shared" si="47"/>
        <v>0</v>
      </c>
      <c r="DO341" s="683"/>
    </row>
    <row r="342" spans="1:119" ht="25.5" customHeight="1" thickTop="1" thickBot="1" x14ac:dyDescent="0.2">
      <c r="A342" s="676">
        <f t="shared" si="43"/>
        <v>327</v>
      </c>
      <c r="B342" s="1054"/>
      <c r="C342" s="1055"/>
      <c r="D342" s="83"/>
      <c r="E342" s="954"/>
      <c r="F342" s="52"/>
      <c r="G342" s="103"/>
      <c r="H342" s="1058"/>
      <c r="I342" s="684" t="str">
        <f t="shared" si="40"/>
        <v/>
      </c>
      <c r="J342" s="685">
        <f t="shared" si="41"/>
        <v>0</v>
      </c>
      <c r="K342" s="1258"/>
      <c r="L342" s="1251"/>
      <c r="M342" s="1257"/>
      <c r="N342" s="719" t="str">
        <f t="shared" si="44"/>
        <v/>
      </c>
      <c r="O342" s="720" t="str">
        <f>IF('Set up ~ Config'!$G$32=6,IF(OR($N342=7,$N342=8,$N342=9),1,IF(OR($N342=10,$N342=11,$N342=12),2,IF(OR($N342=1,$N342=2,$N342=3),3,IF(OR($N342=4,$N342=5,$N342=6),4,"")))),IF(OR($N342=9,$N342=10,$N342=11),1,IF(OR($N342=12,$N342=1,$N342=2),2,IF(OR($N342=3,$N342=4,$N342=5),3,IF(OR($N342=6,$N342=7,$N342=8),4,"")))))</f>
        <v/>
      </c>
      <c r="P342" s="99"/>
      <c r="Q342" s="62"/>
      <c r="R342" s="62"/>
      <c r="S342" s="51"/>
      <c r="T342" s="51"/>
      <c r="U342" s="51"/>
      <c r="V342" s="51"/>
      <c r="W342" s="51"/>
      <c r="X342" s="51"/>
      <c r="Y342" s="51"/>
      <c r="Z342" s="51"/>
      <c r="AA342" s="51"/>
      <c r="AB342" s="51"/>
      <c r="AC342" s="51"/>
      <c r="AD342" s="51"/>
      <c r="AE342" s="51"/>
      <c r="AF342" s="51"/>
      <c r="AG342" s="51"/>
      <c r="AH342" s="94"/>
      <c r="AI342" s="94"/>
      <c r="AJ342" s="94"/>
      <c r="AK342" s="94"/>
      <c r="AL342" s="94"/>
      <c r="AM342" s="94"/>
      <c r="AN342" s="94"/>
      <c r="AO342" s="95"/>
      <c r="AP342" s="686">
        <f t="shared" si="45"/>
        <v>0</v>
      </c>
      <c r="AQ342" s="42"/>
      <c r="AR342" s="42"/>
      <c r="AS342" s="42"/>
      <c r="AT342" s="43"/>
      <c r="AU342" s="687">
        <f t="shared" si="46"/>
        <v>0</v>
      </c>
      <c r="AV342" s="42"/>
      <c r="AW342" s="42"/>
      <c r="AX342" s="42"/>
      <c r="AY342" s="43"/>
      <c r="AZ342" s="486"/>
      <c r="BA342" s="51"/>
      <c r="BB342" s="51"/>
      <c r="BC342" s="51"/>
      <c r="BD342" s="51"/>
      <c r="BE342" s="51"/>
      <c r="BF342" s="51"/>
      <c r="BG342" s="51"/>
      <c r="BH342" s="94"/>
      <c r="BI342" s="94"/>
      <c r="BJ342" s="94"/>
      <c r="BK342" s="94"/>
      <c r="BL342" s="94"/>
      <c r="BM342" s="483"/>
      <c r="BN342" s="94"/>
      <c r="BO342" s="94"/>
      <c r="BP342" s="94"/>
      <c r="BQ342" s="94"/>
      <c r="BR342" s="94"/>
      <c r="BS342" s="94"/>
      <c r="BT342" s="94"/>
      <c r="BU342" s="94"/>
      <c r="BV342" s="94"/>
      <c r="BW342" s="688">
        <f t="shared" si="42"/>
        <v>0</v>
      </c>
      <c r="BX342" s="51"/>
      <c r="BY342" s="51"/>
      <c r="BZ342" s="51"/>
      <c r="CA342" s="51"/>
      <c r="CB342" s="51"/>
      <c r="CC342" s="51"/>
      <c r="CD342" s="97"/>
      <c r="CE342" s="479"/>
      <c r="CF342" s="51"/>
      <c r="CG342" s="51"/>
      <c r="CH342" s="62"/>
      <c r="CI342" s="62"/>
      <c r="CJ342" s="51"/>
      <c r="CK342" s="51"/>
      <c r="CL342" s="95"/>
      <c r="CM342" s="93"/>
      <c r="CN342" s="51"/>
      <c r="CO342" s="51"/>
      <c r="CP342" s="51"/>
      <c r="CQ342" s="51"/>
      <c r="CR342" s="51"/>
      <c r="CS342" s="51"/>
      <c r="CT342" s="51"/>
      <c r="CU342" s="95"/>
      <c r="CV342" s="93"/>
      <c r="CW342" s="51"/>
      <c r="CX342" s="51"/>
      <c r="CY342" s="51"/>
      <c r="CZ342" s="51"/>
      <c r="DA342" s="51"/>
      <c r="DB342" s="51"/>
      <c r="DC342" s="51"/>
      <c r="DD342" s="95"/>
      <c r="DE342" s="93"/>
      <c r="DF342" s="51"/>
      <c r="DG342" s="51"/>
      <c r="DH342" s="51"/>
      <c r="DI342" s="51"/>
      <c r="DJ342" s="51"/>
      <c r="DK342" s="51"/>
      <c r="DL342" s="95"/>
      <c r="DM342" s="478"/>
      <c r="DN342" s="682">
        <f t="shared" si="47"/>
        <v>0</v>
      </c>
      <c r="DO342" s="683"/>
    </row>
    <row r="343" spans="1:119" ht="25.5" customHeight="1" thickTop="1" thickBot="1" x14ac:dyDescent="0.2">
      <c r="A343" s="676">
        <f t="shared" si="43"/>
        <v>328</v>
      </c>
      <c r="B343" s="1054"/>
      <c r="C343" s="1055"/>
      <c r="D343" s="83"/>
      <c r="E343" s="954"/>
      <c r="F343" s="52"/>
      <c r="G343" s="103"/>
      <c r="H343" s="1058"/>
      <c r="I343" s="684" t="str">
        <f t="shared" si="40"/>
        <v/>
      </c>
      <c r="J343" s="685">
        <f t="shared" si="41"/>
        <v>0</v>
      </c>
      <c r="K343" s="1258"/>
      <c r="L343" s="1251"/>
      <c r="M343" s="1257"/>
      <c r="N343" s="719" t="str">
        <f t="shared" si="44"/>
        <v/>
      </c>
      <c r="O343" s="720" t="str">
        <f>IF('Set up ~ Config'!$G$32=6,IF(OR($N343=7,$N343=8,$N343=9),1,IF(OR($N343=10,$N343=11,$N343=12),2,IF(OR($N343=1,$N343=2,$N343=3),3,IF(OR($N343=4,$N343=5,$N343=6),4,"")))),IF(OR($N343=9,$N343=10,$N343=11),1,IF(OR($N343=12,$N343=1,$N343=2),2,IF(OR($N343=3,$N343=4,$N343=5),3,IF(OR($N343=6,$N343=7,$N343=8),4,"")))))</f>
        <v/>
      </c>
      <c r="P343" s="99"/>
      <c r="Q343" s="62"/>
      <c r="R343" s="62"/>
      <c r="S343" s="51"/>
      <c r="T343" s="51"/>
      <c r="U343" s="51"/>
      <c r="V343" s="51"/>
      <c r="W343" s="51"/>
      <c r="X343" s="51"/>
      <c r="Y343" s="51"/>
      <c r="Z343" s="51"/>
      <c r="AA343" s="51"/>
      <c r="AB343" s="51"/>
      <c r="AC343" s="51"/>
      <c r="AD343" s="51"/>
      <c r="AE343" s="51"/>
      <c r="AF343" s="51"/>
      <c r="AG343" s="51"/>
      <c r="AH343" s="94"/>
      <c r="AI343" s="94"/>
      <c r="AJ343" s="94"/>
      <c r="AK343" s="94"/>
      <c r="AL343" s="94"/>
      <c r="AM343" s="94"/>
      <c r="AN343" s="94"/>
      <c r="AO343" s="95"/>
      <c r="AP343" s="686">
        <f t="shared" si="45"/>
        <v>0</v>
      </c>
      <c r="AQ343" s="42"/>
      <c r="AR343" s="42"/>
      <c r="AS343" s="42"/>
      <c r="AT343" s="43"/>
      <c r="AU343" s="687">
        <f t="shared" si="46"/>
        <v>0</v>
      </c>
      <c r="AV343" s="42"/>
      <c r="AW343" s="42"/>
      <c r="AX343" s="42"/>
      <c r="AY343" s="43"/>
      <c r="AZ343" s="486"/>
      <c r="BA343" s="51"/>
      <c r="BB343" s="51"/>
      <c r="BC343" s="51"/>
      <c r="BD343" s="51"/>
      <c r="BE343" s="51"/>
      <c r="BF343" s="51"/>
      <c r="BG343" s="51"/>
      <c r="BH343" s="94"/>
      <c r="BI343" s="94"/>
      <c r="BJ343" s="94"/>
      <c r="BK343" s="94"/>
      <c r="BL343" s="94"/>
      <c r="BM343" s="483"/>
      <c r="BN343" s="94"/>
      <c r="BO343" s="94"/>
      <c r="BP343" s="94"/>
      <c r="BQ343" s="94"/>
      <c r="BR343" s="94"/>
      <c r="BS343" s="94"/>
      <c r="BT343" s="94"/>
      <c r="BU343" s="94"/>
      <c r="BV343" s="94"/>
      <c r="BW343" s="688">
        <f t="shared" si="42"/>
        <v>0</v>
      </c>
      <c r="BX343" s="51"/>
      <c r="BY343" s="51"/>
      <c r="BZ343" s="51"/>
      <c r="CA343" s="51"/>
      <c r="CB343" s="51"/>
      <c r="CC343" s="51"/>
      <c r="CD343" s="97"/>
      <c r="CE343" s="479"/>
      <c r="CF343" s="51"/>
      <c r="CG343" s="51"/>
      <c r="CH343" s="62"/>
      <c r="CI343" s="62"/>
      <c r="CJ343" s="51"/>
      <c r="CK343" s="51"/>
      <c r="CL343" s="95"/>
      <c r="CM343" s="93"/>
      <c r="CN343" s="51"/>
      <c r="CO343" s="51"/>
      <c r="CP343" s="51"/>
      <c r="CQ343" s="51"/>
      <c r="CR343" s="51"/>
      <c r="CS343" s="51"/>
      <c r="CT343" s="51"/>
      <c r="CU343" s="95"/>
      <c r="CV343" s="93"/>
      <c r="CW343" s="51"/>
      <c r="CX343" s="51"/>
      <c r="CY343" s="51"/>
      <c r="CZ343" s="51"/>
      <c r="DA343" s="51"/>
      <c r="DB343" s="51"/>
      <c r="DC343" s="51"/>
      <c r="DD343" s="95"/>
      <c r="DE343" s="93"/>
      <c r="DF343" s="51"/>
      <c r="DG343" s="51"/>
      <c r="DH343" s="51"/>
      <c r="DI343" s="51"/>
      <c r="DJ343" s="51"/>
      <c r="DK343" s="51"/>
      <c r="DL343" s="95"/>
      <c r="DM343" s="478"/>
      <c r="DN343" s="682">
        <f t="shared" si="47"/>
        <v>0</v>
      </c>
      <c r="DO343" s="683"/>
    </row>
    <row r="344" spans="1:119" ht="25.5" customHeight="1" thickTop="1" thickBot="1" x14ac:dyDescent="0.2">
      <c r="A344" s="676">
        <f t="shared" si="43"/>
        <v>329</v>
      </c>
      <c r="B344" s="1054"/>
      <c r="C344" s="1055"/>
      <c r="D344" s="83"/>
      <c r="E344" s="954"/>
      <c r="F344" s="52"/>
      <c r="G344" s="103"/>
      <c r="H344" s="1058"/>
      <c r="I344" s="684" t="str">
        <f t="shared" si="40"/>
        <v/>
      </c>
      <c r="J344" s="685">
        <f t="shared" si="41"/>
        <v>0</v>
      </c>
      <c r="K344" s="1258"/>
      <c r="L344" s="1251"/>
      <c r="M344" s="1257"/>
      <c r="N344" s="719" t="str">
        <f t="shared" si="44"/>
        <v/>
      </c>
      <c r="O344" s="720" t="str">
        <f>IF('Set up ~ Config'!$G$32=6,IF(OR($N344=7,$N344=8,$N344=9),1,IF(OR($N344=10,$N344=11,$N344=12),2,IF(OR($N344=1,$N344=2,$N344=3),3,IF(OR($N344=4,$N344=5,$N344=6),4,"")))),IF(OR($N344=9,$N344=10,$N344=11),1,IF(OR($N344=12,$N344=1,$N344=2),2,IF(OR($N344=3,$N344=4,$N344=5),3,IF(OR($N344=6,$N344=7,$N344=8),4,"")))))</f>
        <v/>
      </c>
      <c r="P344" s="99"/>
      <c r="Q344" s="62"/>
      <c r="R344" s="62"/>
      <c r="S344" s="51"/>
      <c r="T344" s="51"/>
      <c r="U344" s="51"/>
      <c r="V344" s="51"/>
      <c r="W344" s="51"/>
      <c r="X344" s="51"/>
      <c r="Y344" s="51"/>
      <c r="Z344" s="51"/>
      <c r="AA344" s="51"/>
      <c r="AB344" s="51"/>
      <c r="AC344" s="51"/>
      <c r="AD344" s="51"/>
      <c r="AE344" s="51"/>
      <c r="AF344" s="51"/>
      <c r="AG344" s="51"/>
      <c r="AH344" s="94"/>
      <c r="AI344" s="94"/>
      <c r="AJ344" s="94"/>
      <c r="AK344" s="94"/>
      <c r="AL344" s="94"/>
      <c r="AM344" s="94"/>
      <c r="AN344" s="94"/>
      <c r="AO344" s="95"/>
      <c r="AP344" s="686">
        <f t="shared" si="45"/>
        <v>0</v>
      </c>
      <c r="AQ344" s="42"/>
      <c r="AR344" s="42"/>
      <c r="AS344" s="42"/>
      <c r="AT344" s="43"/>
      <c r="AU344" s="687">
        <f t="shared" si="46"/>
        <v>0</v>
      </c>
      <c r="AV344" s="42"/>
      <c r="AW344" s="42"/>
      <c r="AX344" s="42"/>
      <c r="AY344" s="43"/>
      <c r="AZ344" s="486"/>
      <c r="BA344" s="51"/>
      <c r="BB344" s="51"/>
      <c r="BC344" s="51"/>
      <c r="BD344" s="51"/>
      <c r="BE344" s="51"/>
      <c r="BF344" s="51"/>
      <c r="BG344" s="51"/>
      <c r="BH344" s="94"/>
      <c r="BI344" s="94"/>
      <c r="BJ344" s="94"/>
      <c r="BK344" s="94"/>
      <c r="BL344" s="94"/>
      <c r="BM344" s="483"/>
      <c r="BN344" s="94"/>
      <c r="BO344" s="94"/>
      <c r="BP344" s="94"/>
      <c r="BQ344" s="94"/>
      <c r="BR344" s="94"/>
      <c r="BS344" s="94"/>
      <c r="BT344" s="94"/>
      <c r="BU344" s="94"/>
      <c r="BV344" s="94"/>
      <c r="BW344" s="688">
        <f t="shared" si="42"/>
        <v>0</v>
      </c>
      <c r="BX344" s="51"/>
      <c r="BY344" s="51"/>
      <c r="BZ344" s="51"/>
      <c r="CA344" s="51"/>
      <c r="CB344" s="51"/>
      <c r="CC344" s="51"/>
      <c r="CD344" s="97"/>
      <c r="CE344" s="479"/>
      <c r="CF344" s="51"/>
      <c r="CG344" s="51"/>
      <c r="CH344" s="62"/>
      <c r="CI344" s="62"/>
      <c r="CJ344" s="51"/>
      <c r="CK344" s="51"/>
      <c r="CL344" s="95"/>
      <c r="CM344" s="93"/>
      <c r="CN344" s="51"/>
      <c r="CO344" s="51"/>
      <c r="CP344" s="51"/>
      <c r="CQ344" s="51"/>
      <c r="CR344" s="51"/>
      <c r="CS344" s="51"/>
      <c r="CT344" s="51"/>
      <c r="CU344" s="95"/>
      <c r="CV344" s="93"/>
      <c r="CW344" s="51"/>
      <c r="CX344" s="51"/>
      <c r="CY344" s="51"/>
      <c r="CZ344" s="51"/>
      <c r="DA344" s="51"/>
      <c r="DB344" s="51"/>
      <c r="DC344" s="51"/>
      <c r="DD344" s="95"/>
      <c r="DE344" s="93"/>
      <c r="DF344" s="51"/>
      <c r="DG344" s="51"/>
      <c r="DH344" s="51"/>
      <c r="DI344" s="51"/>
      <c r="DJ344" s="51"/>
      <c r="DK344" s="51"/>
      <c r="DL344" s="95"/>
      <c r="DM344" s="478"/>
      <c r="DN344" s="682">
        <f t="shared" si="47"/>
        <v>0</v>
      </c>
      <c r="DO344" s="683"/>
    </row>
    <row r="345" spans="1:119" ht="25.5" customHeight="1" thickTop="1" thickBot="1" x14ac:dyDescent="0.2">
      <c r="A345" s="676">
        <f t="shared" si="43"/>
        <v>330</v>
      </c>
      <c r="B345" s="1054"/>
      <c r="C345" s="1055"/>
      <c r="D345" s="83"/>
      <c r="E345" s="954"/>
      <c r="F345" s="52"/>
      <c r="G345" s="103"/>
      <c r="H345" s="1058"/>
      <c r="I345" s="684" t="str">
        <f t="shared" si="40"/>
        <v/>
      </c>
      <c r="J345" s="685">
        <f t="shared" si="41"/>
        <v>0</v>
      </c>
      <c r="K345" s="1258"/>
      <c r="L345" s="1251"/>
      <c r="M345" s="1257"/>
      <c r="N345" s="719" t="str">
        <f t="shared" si="44"/>
        <v/>
      </c>
      <c r="O345" s="720" t="str">
        <f>IF('Set up ~ Config'!$G$32=6,IF(OR($N345=7,$N345=8,$N345=9),1,IF(OR($N345=10,$N345=11,$N345=12),2,IF(OR($N345=1,$N345=2,$N345=3),3,IF(OR($N345=4,$N345=5,$N345=6),4,"")))),IF(OR($N345=9,$N345=10,$N345=11),1,IF(OR($N345=12,$N345=1,$N345=2),2,IF(OR($N345=3,$N345=4,$N345=5),3,IF(OR($N345=6,$N345=7,$N345=8),4,"")))))</f>
        <v/>
      </c>
      <c r="P345" s="99"/>
      <c r="Q345" s="62"/>
      <c r="R345" s="62"/>
      <c r="S345" s="51"/>
      <c r="T345" s="51"/>
      <c r="U345" s="51"/>
      <c r="V345" s="51"/>
      <c r="W345" s="51"/>
      <c r="X345" s="51"/>
      <c r="Y345" s="51"/>
      <c r="Z345" s="51"/>
      <c r="AA345" s="51"/>
      <c r="AB345" s="51"/>
      <c r="AC345" s="51"/>
      <c r="AD345" s="51"/>
      <c r="AE345" s="51"/>
      <c r="AF345" s="51"/>
      <c r="AG345" s="51"/>
      <c r="AH345" s="94"/>
      <c r="AI345" s="94"/>
      <c r="AJ345" s="94"/>
      <c r="AK345" s="94"/>
      <c r="AL345" s="94"/>
      <c r="AM345" s="94"/>
      <c r="AN345" s="94"/>
      <c r="AO345" s="95"/>
      <c r="AP345" s="686">
        <f t="shared" si="45"/>
        <v>0</v>
      </c>
      <c r="AQ345" s="42"/>
      <c r="AR345" s="42"/>
      <c r="AS345" s="42"/>
      <c r="AT345" s="43"/>
      <c r="AU345" s="687">
        <f t="shared" si="46"/>
        <v>0</v>
      </c>
      <c r="AV345" s="42"/>
      <c r="AW345" s="42"/>
      <c r="AX345" s="42"/>
      <c r="AY345" s="43"/>
      <c r="AZ345" s="486"/>
      <c r="BA345" s="51"/>
      <c r="BB345" s="51"/>
      <c r="BC345" s="51"/>
      <c r="BD345" s="51"/>
      <c r="BE345" s="51"/>
      <c r="BF345" s="51"/>
      <c r="BG345" s="51"/>
      <c r="BH345" s="94"/>
      <c r="BI345" s="94"/>
      <c r="BJ345" s="94"/>
      <c r="BK345" s="94"/>
      <c r="BL345" s="94"/>
      <c r="BM345" s="483"/>
      <c r="BN345" s="94"/>
      <c r="BO345" s="94"/>
      <c r="BP345" s="94"/>
      <c r="BQ345" s="94"/>
      <c r="BR345" s="94"/>
      <c r="BS345" s="94"/>
      <c r="BT345" s="94"/>
      <c r="BU345" s="94"/>
      <c r="BV345" s="94"/>
      <c r="BW345" s="688">
        <f t="shared" si="42"/>
        <v>0</v>
      </c>
      <c r="BX345" s="51"/>
      <c r="BY345" s="51"/>
      <c r="BZ345" s="51"/>
      <c r="CA345" s="51"/>
      <c r="CB345" s="51"/>
      <c r="CC345" s="51"/>
      <c r="CD345" s="97"/>
      <c r="CE345" s="479"/>
      <c r="CF345" s="51"/>
      <c r="CG345" s="51"/>
      <c r="CH345" s="62"/>
      <c r="CI345" s="62"/>
      <c r="CJ345" s="51"/>
      <c r="CK345" s="51"/>
      <c r="CL345" s="95"/>
      <c r="CM345" s="93"/>
      <c r="CN345" s="51"/>
      <c r="CO345" s="51"/>
      <c r="CP345" s="51"/>
      <c r="CQ345" s="51"/>
      <c r="CR345" s="51"/>
      <c r="CS345" s="51"/>
      <c r="CT345" s="51"/>
      <c r="CU345" s="95"/>
      <c r="CV345" s="93"/>
      <c r="CW345" s="51"/>
      <c r="CX345" s="51"/>
      <c r="CY345" s="51"/>
      <c r="CZ345" s="51"/>
      <c r="DA345" s="51"/>
      <c r="DB345" s="51"/>
      <c r="DC345" s="51"/>
      <c r="DD345" s="95"/>
      <c r="DE345" s="93"/>
      <c r="DF345" s="51"/>
      <c r="DG345" s="51"/>
      <c r="DH345" s="51"/>
      <c r="DI345" s="51"/>
      <c r="DJ345" s="51"/>
      <c r="DK345" s="51"/>
      <c r="DL345" s="95"/>
      <c r="DM345" s="478"/>
      <c r="DN345" s="682">
        <f t="shared" si="47"/>
        <v>0</v>
      </c>
      <c r="DO345" s="683"/>
    </row>
    <row r="346" spans="1:119" ht="25.5" customHeight="1" thickTop="1" thickBot="1" x14ac:dyDescent="0.2">
      <c r="A346" s="676">
        <f t="shared" si="43"/>
        <v>331</v>
      </c>
      <c r="B346" s="1054"/>
      <c r="C346" s="1055"/>
      <c r="D346" s="83"/>
      <c r="E346" s="954"/>
      <c r="F346" s="52"/>
      <c r="G346" s="103"/>
      <c r="H346" s="1058"/>
      <c r="I346" s="684" t="str">
        <f t="shared" si="40"/>
        <v/>
      </c>
      <c r="J346" s="685">
        <f t="shared" si="41"/>
        <v>0</v>
      </c>
      <c r="K346" s="1258"/>
      <c r="L346" s="1251"/>
      <c r="M346" s="1257"/>
      <c r="N346" s="719" t="str">
        <f t="shared" si="44"/>
        <v/>
      </c>
      <c r="O346" s="720" t="str">
        <f>IF('Set up ~ Config'!$G$32=6,IF(OR($N346=7,$N346=8,$N346=9),1,IF(OR($N346=10,$N346=11,$N346=12),2,IF(OR($N346=1,$N346=2,$N346=3),3,IF(OR($N346=4,$N346=5,$N346=6),4,"")))),IF(OR($N346=9,$N346=10,$N346=11),1,IF(OR($N346=12,$N346=1,$N346=2),2,IF(OR($N346=3,$N346=4,$N346=5),3,IF(OR($N346=6,$N346=7,$N346=8),4,"")))))</f>
        <v/>
      </c>
      <c r="P346" s="99"/>
      <c r="Q346" s="62"/>
      <c r="R346" s="62"/>
      <c r="S346" s="51"/>
      <c r="T346" s="51"/>
      <c r="U346" s="51"/>
      <c r="V346" s="51"/>
      <c r="W346" s="51"/>
      <c r="X346" s="51"/>
      <c r="Y346" s="51"/>
      <c r="Z346" s="51"/>
      <c r="AA346" s="51"/>
      <c r="AB346" s="51"/>
      <c r="AC346" s="51"/>
      <c r="AD346" s="51"/>
      <c r="AE346" s="51"/>
      <c r="AF346" s="51"/>
      <c r="AG346" s="51"/>
      <c r="AH346" s="94"/>
      <c r="AI346" s="94"/>
      <c r="AJ346" s="94"/>
      <c r="AK346" s="94"/>
      <c r="AL346" s="94"/>
      <c r="AM346" s="94"/>
      <c r="AN346" s="94"/>
      <c r="AO346" s="95"/>
      <c r="AP346" s="686">
        <f t="shared" si="45"/>
        <v>0</v>
      </c>
      <c r="AQ346" s="42"/>
      <c r="AR346" s="42"/>
      <c r="AS346" s="42"/>
      <c r="AT346" s="43"/>
      <c r="AU346" s="687">
        <f t="shared" si="46"/>
        <v>0</v>
      </c>
      <c r="AV346" s="42"/>
      <c r="AW346" s="42"/>
      <c r="AX346" s="42"/>
      <c r="AY346" s="43"/>
      <c r="AZ346" s="486"/>
      <c r="BA346" s="51"/>
      <c r="BB346" s="51"/>
      <c r="BC346" s="51"/>
      <c r="BD346" s="51"/>
      <c r="BE346" s="51"/>
      <c r="BF346" s="51"/>
      <c r="BG346" s="51"/>
      <c r="BH346" s="94"/>
      <c r="BI346" s="94"/>
      <c r="BJ346" s="94"/>
      <c r="BK346" s="94"/>
      <c r="BL346" s="94"/>
      <c r="BM346" s="483"/>
      <c r="BN346" s="94"/>
      <c r="BO346" s="94"/>
      <c r="BP346" s="94"/>
      <c r="BQ346" s="94"/>
      <c r="BR346" s="94"/>
      <c r="BS346" s="94"/>
      <c r="BT346" s="94"/>
      <c r="BU346" s="94"/>
      <c r="BV346" s="94"/>
      <c r="BW346" s="688">
        <f t="shared" si="42"/>
        <v>0</v>
      </c>
      <c r="BX346" s="51"/>
      <c r="BY346" s="51"/>
      <c r="BZ346" s="51"/>
      <c r="CA346" s="51"/>
      <c r="CB346" s="51"/>
      <c r="CC346" s="51"/>
      <c r="CD346" s="97"/>
      <c r="CE346" s="479"/>
      <c r="CF346" s="51"/>
      <c r="CG346" s="51"/>
      <c r="CH346" s="62"/>
      <c r="CI346" s="62"/>
      <c r="CJ346" s="51"/>
      <c r="CK346" s="51"/>
      <c r="CL346" s="95"/>
      <c r="CM346" s="93"/>
      <c r="CN346" s="51"/>
      <c r="CO346" s="51"/>
      <c r="CP346" s="51"/>
      <c r="CQ346" s="51"/>
      <c r="CR346" s="51"/>
      <c r="CS346" s="51"/>
      <c r="CT346" s="51"/>
      <c r="CU346" s="95"/>
      <c r="CV346" s="93"/>
      <c r="CW346" s="51"/>
      <c r="CX346" s="51"/>
      <c r="CY346" s="51"/>
      <c r="CZ346" s="51"/>
      <c r="DA346" s="51"/>
      <c r="DB346" s="51"/>
      <c r="DC346" s="51"/>
      <c r="DD346" s="95"/>
      <c r="DE346" s="93"/>
      <c r="DF346" s="51"/>
      <c r="DG346" s="51"/>
      <c r="DH346" s="51"/>
      <c r="DI346" s="51"/>
      <c r="DJ346" s="51"/>
      <c r="DK346" s="51"/>
      <c r="DL346" s="95"/>
      <c r="DM346" s="478"/>
      <c r="DN346" s="682">
        <f t="shared" si="47"/>
        <v>0</v>
      </c>
      <c r="DO346" s="683"/>
    </row>
    <row r="347" spans="1:119" ht="25.5" customHeight="1" thickTop="1" thickBot="1" x14ac:dyDescent="0.2">
      <c r="A347" s="676">
        <f t="shared" si="43"/>
        <v>332</v>
      </c>
      <c r="B347" s="1054"/>
      <c r="C347" s="1055"/>
      <c r="D347" s="83"/>
      <c r="E347" s="954"/>
      <c r="F347" s="52"/>
      <c r="G347" s="103"/>
      <c r="H347" s="1058"/>
      <c r="I347" s="684" t="str">
        <f t="shared" si="40"/>
        <v/>
      </c>
      <c r="J347" s="685">
        <f t="shared" si="41"/>
        <v>0</v>
      </c>
      <c r="K347" s="1258"/>
      <c r="L347" s="1251"/>
      <c r="M347" s="1257"/>
      <c r="N347" s="719" t="str">
        <f t="shared" si="44"/>
        <v/>
      </c>
      <c r="O347" s="720" t="str">
        <f>IF('Set up ~ Config'!$G$32=6,IF(OR($N347=7,$N347=8,$N347=9),1,IF(OR($N347=10,$N347=11,$N347=12),2,IF(OR($N347=1,$N347=2,$N347=3),3,IF(OR($N347=4,$N347=5,$N347=6),4,"")))),IF(OR($N347=9,$N347=10,$N347=11),1,IF(OR($N347=12,$N347=1,$N347=2),2,IF(OR($N347=3,$N347=4,$N347=5),3,IF(OR($N347=6,$N347=7,$N347=8),4,"")))))</f>
        <v/>
      </c>
      <c r="P347" s="99"/>
      <c r="Q347" s="62"/>
      <c r="R347" s="62"/>
      <c r="S347" s="51"/>
      <c r="T347" s="51"/>
      <c r="U347" s="51"/>
      <c r="V347" s="51"/>
      <c r="W347" s="51"/>
      <c r="X347" s="51"/>
      <c r="Y347" s="51"/>
      <c r="Z347" s="51"/>
      <c r="AA347" s="51"/>
      <c r="AB347" s="51"/>
      <c r="AC347" s="51"/>
      <c r="AD347" s="51"/>
      <c r="AE347" s="51"/>
      <c r="AF347" s="51"/>
      <c r="AG347" s="51"/>
      <c r="AH347" s="94"/>
      <c r="AI347" s="94"/>
      <c r="AJ347" s="94"/>
      <c r="AK347" s="94"/>
      <c r="AL347" s="94"/>
      <c r="AM347" s="94"/>
      <c r="AN347" s="94"/>
      <c r="AO347" s="95"/>
      <c r="AP347" s="686">
        <f t="shared" si="45"/>
        <v>0</v>
      </c>
      <c r="AQ347" s="42"/>
      <c r="AR347" s="42"/>
      <c r="AS347" s="42"/>
      <c r="AT347" s="43"/>
      <c r="AU347" s="687">
        <f t="shared" si="46"/>
        <v>0</v>
      </c>
      <c r="AV347" s="42"/>
      <c r="AW347" s="42"/>
      <c r="AX347" s="42"/>
      <c r="AY347" s="43"/>
      <c r="AZ347" s="486"/>
      <c r="BA347" s="51"/>
      <c r="BB347" s="51"/>
      <c r="BC347" s="51"/>
      <c r="BD347" s="51"/>
      <c r="BE347" s="51"/>
      <c r="BF347" s="51"/>
      <c r="BG347" s="51"/>
      <c r="BH347" s="94"/>
      <c r="BI347" s="94"/>
      <c r="BJ347" s="94"/>
      <c r="BK347" s="94"/>
      <c r="BL347" s="94"/>
      <c r="BM347" s="483"/>
      <c r="BN347" s="94"/>
      <c r="BO347" s="94"/>
      <c r="BP347" s="94"/>
      <c r="BQ347" s="94"/>
      <c r="BR347" s="94"/>
      <c r="BS347" s="94"/>
      <c r="BT347" s="94"/>
      <c r="BU347" s="94"/>
      <c r="BV347" s="94"/>
      <c r="BW347" s="688">
        <f t="shared" si="42"/>
        <v>0</v>
      </c>
      <c r="BX347" s="51"/>
      <c r="BY347" s="51"/>
      <c r="BZ347" s="51"/>
      <c r="CA347" s="51"/>
      <c r="CB347" s="51"/>
      <c r="CC347" s="51"/>
      <c r="CD347" s="97"/>
      <c r="CE347" s="479"/>
      <c r="CF347" s="51"/>
      <c r="CG347" s="51"/>
      <c r="CH347" s="62"/>
      <c r="CI347" s="62"/>
      <c r="CJ347" s="51"/>
      <c r="CK347" s="51"/>
      <c r="CL347" s="95"/>
      <c r="CM347" s="93"/>
      <c r="CN347" s="51"/>
      <c r="CO347" s="51"/>
      <c r="CP347" s="51"/>
      <c r="CQ347" s="51"/>
      <c r="CR347" s="51"/>
      <c r="CS347" s="51"/>
      <c r="CT347" s="51"/>
      <c r="CU347" s="95"/>
      <c r="CV347" s="93"/>
      <c r="CW347" s="51"/>
      <c r="CX347" s="51"/>
      <c r="CY347" s="51"/>
      <c r="CZ347" s="51"/>
      <c r="DA347" s="51"/>
      <c r="DB347" s="51"/>
      <c r="DC347" s="51"/>
      <c r="DD347" s="95"/>
      <c r="DE347" s="93"/>
      <c r="DF347" s="51"/>
      <c r="DG347" s="51"/>
      <c r="DH347" s="51"/>
      <c r="DI347" s="51"/>
      <c r="DJ347" s="51"/>
      <c r="DK347" s="51"/>
      <c r="DL347" s="95"/>
      <c r="DM347" s="478"/>
      <c r="DN347" s="682">
        <f t="shared" si="47"/>
        <v>0</v>
      </c>
      <c r="DO347" s="683"/>
    </row>
    <row r="348" spans="1:119" ht="25.5" customHeight="1" thickTop="1" thickBot="1" x14ac:dyDescent="0.2">
      <c r="A348" s="676">
        <f t="shared" si="43"/>
        <v>333</v>
      </c>
      <c r="B348" s="1054"/>
      <c r="C348" s="1055"/>
      <c r="D348" s="83"/>
      <c r="E348" s="954"/>
      <c r="F348" s="52"/>
      <c r="G348" s="103"/>
      <c r="H348" s="1058"/>
      <c r="I348" s="684" t="str">
        <f t="shared" si="40"/>
        <v/>
      </c>
      <c r="J348" s="685">
        <f t="shared" si="41"/>
        <v>0</v>
      </c>
      <c r="K348" s="1258"/>
      <c r="L348" s="1251"/>
      <c r="M348" s="1257"/>
      <c r="N348" s="719" t="str">
        <f t="shared" si="44"/>
        <v/>
      </c>
      <c r="O348" s="720" t="str">
        <f>IF('Set up ~ Config'!$G$32=6,IF(OR($N348=7,$N348=8,$N348=9),1,IF(OR($N348=10,$N348=11,$N348=12),2,IF(OR($N348=1,$N348=2,$N348=3),3,IF(OR($N348=4,$N348=5,$N348=6),4,"")))),IF(OR($N348=9,$N348=10,$N348=11),1,IF(OR($N348=12,$N348=1,$N348=2),2,IF(OR($N348=3,$N348=4,$N348=5),3,IF(OR($N348=6,$N348=7,$N348=8),4,"")))))</f>
        <v/>
      </c>
      <c r="P348" s="99"/>
      <c r="Q348" s="62"/>
      <c r="R348" s="62"/>
      <c r="S348" s="51"/>
      <c r="T348" s="51"/>
      <c r="U348" s="51"/>
      <c r="V348" s="51"/>
      <c r="W348" s="51"/>
      <c r="X348" s="51"/>
      <c r="Y348" s="51"/>
      <c r="Z348" s="51"/>
      <c r="AA348" s="51"/>
      <c r="AB348" s="51"/>
      <c r="AC348" s="51"/>
      <c r="AD348" s="51"/>
      <c r="AE348" s="51"/>
      <c r="AF348" s="51"/>
      <c r="AG348" s="51"/>
      <c r="AH348" s="94"/>
      <c r="AI348" s="94"/>
      <c r="AJ348" s="94"/>
      <c r="AK348" s="94"/>
      <c r="AL348" s="94"/>
      <c r="AM348" s="94"/>
      <c r="AN348" s="94"/>
      <c r="AO348" s="95"/>
      <c r="AP348" s="686">
        <f t="shared" si="45"/>
        <v>0</v>
      </c>
      <c r="AQ348" s="42"/>
      <c r="AR348" s="42"/>
      <c r="AS348" s="42"/>
      <c r="AT348" s="43"/>
      <c r="AU348" s="687">
        <f t="shared" si="46"/>
        <v>0</v>
      </c>
      <c r="AV348" s="42"/>
      <c r="AW348" s="42"/>
      <c r="AX348" s="42"/>
      <c r="AY348" s="43"/>
      <c r="AZ348" s="486"/>
      <c r="BA348" s="51"/>
      <c r="BB348" s="51"/>
      <c r="BC348" s="51"/>
      <c r="BD348" s="51"/>
      <c r="BE348" s="51"/>
      <c r="BF348" s="51"/>
      <c r="BG348" s="51"/>
      <c r="BH348" s="94"/>
      <c r="BI348" s="94"/>
      <c r="BJ348" s="94"/>
      <c r="BK348" s="94"/>
      <c r="BL348" s="94"/>
      <c r="BM348" s="483"/>
      <c r="BN348" s="94"/>
      <c r="BO348" s="94"/>
      <c r="BP348" s="94"/>
      <c r="BQ348" s="94"/>
      <c r="BR348" s="94"/>
      <c r="BS348" s="94"/>
      <c r="BT348" s="94"/>
      <c r="BU348" s="94"/>
      <c r="BV348" s="94"/>
      <c r="BW348" s="688">
        <f t="shared" si="42"/>
        <v>0</v>
      </c>
      <c r="BX348" s="51"/>
      <c r="BY348" s="51"/>
      <c r="BZ348" s="51"/>
      <c r="CA348" s="51"/>
      <c r="CB348" s="51"/>
      <c r="CC348" s="51"/>
      <c r="CD348" s="97"/>
      <c r="CE348" s="479"/>
      <c r="CF348" s="51"/>
      <c r="CG348" s="51"/>
      <c r="CH348" s="62"/>
      <c r="CI348" s="62"/>
      <c r="CJ348" s="51"/>
      <c r="CK348" s="51"/>
      <c r="CL348" s="95"/>
      <c r="CM348" s="93"/>
      <c r="CN348" s="51"/>
      <c r="CO348" s="51"/>
      <c r="CP348" s="51"/>
      <c r="CQ348" s="51"/>
      <c r="CR348" s="51"/>
      <c r="CS348" s="51"/>
      <c r="CT348" s="51"/>
      <c r="CU348" s="95"/>
      <c r="CV348" s="93"/>
      <c r="CW348" s="51"/>
      <c r="CX348" s="51"/>
      <c r="CY348" s="51"/>
      <c r="CZ348" s="51"/>
      <c r="DA348" s="51"/>
      <c r="DB348" s="51"/>
      <c r="DC348" s="51"/>
      <c r="DD348" s="95"/>
      <c r="DE348" s="93"/>
      <c r="DF348" s="51"/>
      <c r="DG348" s="51"/>
      <c r="DH348" s="51"/>
      <c r="DI348" s="51"/>
      <c r="DJ348" s="51"/>
      <c r="DK348" s="51"/>
      <c r="DL348" s="95"/>
      <c r="DM348" s="478"/>
      <c r="DN348" s="682">
        <f t="shared" si="47"/>
        <v>0</v>
      </c>
      <c r="DO348" s="683"/>
    </row>
    <row r="349" spans="1:119" ht="25.5" customHeight="1" thickTop="1" thickBot="1" x14ac:dyDescent="0.2">
      <c r="A349" s="676">
        <f t="shared" si="43"/>
        <v>334</v>
      </c>
      <c r="B349" s="1054"/>
      <c r="C349" s="1055"/>
      <c r="D349" s="83"/>
      <c r="E349" s="954"/>
      <c r="F349" s="52"/>
      <c r="G349" s="103"/>
      <c r="H349" s="1058"/>
      <c r="I349" s="684" t="str">
        <f t="shared" si="40"/>
        <v/>
      </c>
      <c r="J349" s="685">
        <f t="shared" si="41"/>
        <v>0</v>
      </c>
      <c r="K349" s="1258"/>
      <c r="L349" s="1251"/>
      <c r="M349" s="1257"/>
      <c r="N349" s="719" t="str">
        <f t="shared" si="44"/>
        <v/>
      </c>
      <c r="O349" s="720" t="str">
        <f>IF('Set up ~ Config'!$G$32=6,IF(OR($N349=7,$N349=8,$N349=9),1,IF(OR($N349=10,$N349=11,$N349=12),2,IF(OR($N349=1,$N349=2,$N349=3),3,IF(OR($N349=4,$N349=5,$N349=6),4,"")))),IF(OR($N349=9,$N349=10,$N349=11),1,IF(OR($N349=12,$N349=1,$N349=2),2,IF(OR($N349=3,$N349=4,$N349=5),3,IF(OR($N349=6,$N349=7,$N349=8),4,"")))))</f>
        <v/>
      </c>
      <c r="P349" s="99"/>
      <c r="Q349" s="62"/>
      <c r="R349" s="62"/>
      <c r="S349" s="51"/>
      <c r="T349" s="51"/>
      <c r="U349" s="51"/>
      <c r="V349" s="51"/>
      <c r="W349" s="51"/>
      <c r="X349" s="51"/>
      <c r="Y349" s="51"/>
      <c r="Z349" s="51"/>
      <c r="AA349" s="51"/>
      <c r="AB349" s="51"/>
      <c r="AC349" s="51"/>
      <c r="AD349" s="51"/>
      <c r="AE349" s="51"/>
      <c r="AF349" s="51"/>
      <c r="AG349" s="51"/>
      <c r="AH349" s="94"/>
      <c r="AI349" s="94"/>
      <c r="AJ349" s="94"/>
      <c r="AK349" s="94"/>
      <c r="AL349" s="94"/>
      <c r="AM349" s="94"/>
      <c r="AN349" s="94"/>
      <c r="AO349" s="95"/>
      <c r="AP349" s="686">
        <f t="shared" si="45"/>
        <v>0</v>
      </c>
      <c r="AQ349" s="42"/>
      <c r="AR349" s="42"/>
      <c r="AS349" s="42"/>
      <c r="AT349" s="43"/>
      <c r="AU349" s="687">
        <f t="shared" si="46"/>
        <v>0</v>
      </c>
      <c r="AV349" s="42"/>
      <c r="AW349" s="42"/>
      <c r="AX349" s="42"/>
      <c r="AY349" s="43"/>
      <c r="AZ349" s="486"/>
      <c r="BA349" s="51"/>
      <c r="BB349" s="51"/>
      <c r="BC349" s="51"/>
      <c r="BD349" s="51"/>
      <c r="BE349" s="51"/>
      <c r="BF349" s="51"/>
      <c r="BG349" s="51"/>
      <c r="BH349" s="94"/>
      <c r="BI349" s="94"/>
      <c r="BJ349" s="94"/>
      <c r="BK349" s="94"/>
      <c r="BL349" s="94"/>
      <c r="BM349" s="483"/>
      <c r="BN349" s="94"/>
      <c r="BO349" s="94"/>
      <c r="BP349" s="94"/>
      <c r="BQ349" s="94"/>
      <c r="BR349" s="94"/>
      <c r="BS349" s="94"/>
      <c r="BT349" s="94"/>
      <c r="BU349" s="94"/>
      <c r="BV349" s="94"/>
      <c r="BW349" s="688">
        <f t="shared" si="42"/>
        <v>0</v>
      </c>
      <c r="BX349" s="51"/>
      <c r="BY349" s="51"/>
      <c r="BZ349" s="51"/>
      <c r="CA349" s="51"/>
      <c r="CB349" s="51"/>
      <c r="CC349" s="51"/>
      <c r="CD349" s="97"/>
      <c r="CE349" s="479"/>
      <c r="CF349" s="51"/>
      <c r="CG349" s="51"/>
      <c r="CH349" s="62"/>
      <c r="CI349" s="62"/>
      <c r="CJ349" s="51"/>
      <c r="CK349" s="51"/>
      <c r="CL349" s="95"/>
      <c r="CM349" s="93"/>
      <c r="CN349" s="51"/>
      <c r="CO349" s="51"/>
      <c r="CP349" s="51"/>
      <c r="CQ349" s="51"/>
      <c r="CR349" s="51"/>
      <c r="CS349" s="51"/>
      <c r="CT349" s="51"/>
      <c r="CU349" s="95"/>
      <c r="CV349" s="93"/>
      <c r="CW349" s="51"/>
      <c r="CX349" s="51"/>
      <c r="CY349" s="51"/>
      <c r="CZ349" s="51"/>
      <c r="DA349" s="51"/>
      <c r="DB349" s="51"/>
      <c r="DC349" s="51"/>
      <c r="DD349" s="95"/>
      <c r="DE349" s="93"/>
      <c r="DF349" s="51"/>
      <c r="DG349" s="51"/>
      <c r="DH349" s="51"/>
      <c r="DI349" s="51"/>
      <c r="DJ349" s="51"/>
      <c r="DK349" s="51"/>
      <c r="DL349" s="95"/>
      <c r="DM349" s="478"/>
      <c r="DN349" s="682">
        <f t="shared" si="47"/>
        <v>0</v>
      </c>
      <c r="DO349" s="683"/>
    </row>
    <row r="350" spans="1:119" ht="25.5" customHeight="1" thickTop="1" thickBot="1" x14ac:dyDescent="0.2">
      <c r="A350" s="676">
        <f t="shared" si="43"/>
        <v>335</v>
      </c>
      <c r="B350" s="1054"/>
      <c r="C350" s="1055"/>
      <c r="D350" s="83"/>
      <c r="E350" s="954"/>
      <c r="F350" s="52"/>
      <c r="G350" s="103"/>
      <c r="H350" s="1058"/>
      <c r="I350" s="684" t="str">
        <f t="shared" si="40"/>
        <v/>
      </c>
      <c r="J350" s="685">
        <f t="shared" si="41"/>
        <v>0</v>
      </c>
      <c r="K350" s="1258"/>
      <c r="L350" s="1251"/>
      <c r="M350" s="1257"/>
      <c r="N350" s="719" t="str">
        <f t="shared" si="44"/>
        <v/>
      </c>
      <c r="O350" s="720" t="str">
        <f>IF('Set up ~ Config'!$G$32=6,IF(OR($N350=7,$N350=8,$N350=9),1,IF(OR($N350=10,$N350=11,$N350=12),2,IF(OR($N350=1,$N350=2,$N350=3),3,IF(OR($N350=4,$N350=5,$N350=6),4,"")))),IF(OR($N350=9,$N350=10,$N350=11),1,IF(OR($N350=12,$N350=1,$N350=2),2,IF(OR($N350=3,$N350=4,$N350=5),3,IF(OR($N350=6,$N350=7,$N350=8),4,"")))))</f>
        <v/>
      </c>
      <c r="P350" s="99"/>
      <c r="Q350" s="62"/>
      <c r="R350" s="62"/>
      <c r="S350" s="51"/>
      <c r="T350" s="51"/>
      <c r="U350" s="51"/>
      <c r="V350" s="51"/>
      <c r="W350" s="51"/>
      <c r="X350" s="51"/>
      <c r="Y350" s="51"/>
      <c r="Z350" s="51"/>
      <c r="AA350" s="51"/>
      <c r="AB350" s="51"/>
      <c r="AC350" s="51"/>
      <c r="AD350" s="51"/>
      <c r="AE350" s="51"/>
      <c r="AF350" s="51"/>
      <c r="AG350" s="51"/>
      <c r="AH350" s="94"/>
      <c r="AI350" s="94"/>
      <c r="AJ350" s="94"/>
      <c r="AK350" s="94"/>
      <c r="AL350" s="94"/>
      <c r="AM350" s="94"/>
      <c r="AN350" s="94"/>
      <c r="AO350" s="95"/>
      <c r="AP350" s="686">
        <f t="shared" si="45"/>
        <v>0</v>
      </c>
      <c r="AQ350" s="42"/>
      <c r="AR350" s="42"/>
      <c r="AS350" s="42"/>
      <c r="AT350" s="43"/>
      <c r="AU350" s="687">
        <f t="shared" si="46"/>
        <v>0</v>
      </c>
      <c r="AV350" s="42"/>
      <c r="AW350" s="42"/>
      <c r="AX350" s="42"/>
      <c r="AY350" s="43"/>
      <c r="AZ350" s="486"/>
      <c r="BA350" s="51"/>
      <c r="BB350" s="51"/>
      <c r="BC350" s="51"/>
      <c r="BD350" s="51"/>
      <c r="BE350" s="51"/>
      <c r="BF350" s="51"/>
      <c r="BG350" s="51"/>
      <c r="BH350" s="94"/>
      <c r="BI350" s="94"/>
      <c r="BJ350" s="94"/>
      <c r="BK350" s="94"/>
      <c r="BL350" s="94"/>
      <c r="BM350" s="483"/>
      <c r="BN350" s="94"/>
      <c r="BO350" s="94"/>
      <c r="BP350" s="94"/>
      <c r="BQ350" s="94"/>
      <c r="BR350" s="94"/>
      <c r="BS350" s="94"/>
      <c r="BT350" s="94"/>
      <c r="BU350" s="94"/>
      <c r="BV350" s="94"/>
      <c r="BW350" s="688">
        <f t="shared" si="42"/>
        <v>0</v>
      </c>
      <c r="BX350" s="51"/>
      <c r="BY350" s="51"/>
      <c r="BZ350" s="51"/>
      <c r="CA350" s="51"/>
      <c r="CB350" s="51"/>
      <c r="CC350" s="51"/>
      <c r="CD350" s="97"/>
      <c r="CE350" s="479"/>
      <c r="CF350" s="51"/>
      <c r="CG350" s="51"/>
      <c r="CH350" s="62"/>
      <c r="CI350" s="62"/>
      <c r="CJ350" s="51"/>
      <c r="CK350" s="51"/>
      <c r="CL350" s="95"/>
      <c r="CM350" s="93"/>
      <c r="CN350" s="51"/>
      <c r="CO350" s="51"/>
      <c r="CP350" s="51"/>
      <c r="CQ350" s="51"/>
      <c r="CR350" s="51"/>
      <c r="CS350" s="51"/>
      <c r="CT350" s="51"/>
      <c r="CU350" s="95"/>
      <c r="CV350" s="93"/>
      <c r="CW350" s="51"/>
      <c r="CX350" s="51"/>
      <c r="CY350" s="51"/>
      <c r="CZ350" s="51"/>
      <c r="DA350" s="51"/>
      <c r="DB350" s="51"/>
      <c r="DC350" s="51"/>
      <c r="DD350" s="95"/>
      <c r="DE350" s="93"/>
      <c r="DF350" s="51"/>
      <c r="DG350" s="51"/>
      <c r="DH350" s="51"/>
      <c r="DI350" s="51"/>
      <c r="DJ350" s="51"/>
      <c r="DK350" s="51"/>
      <c r="DL350" s="95"/>
      <c r="DM350" s="478"/>
      <c r="DN350" s="682">
        <f t="shared" si="47"/>
        <v>0</v>
      </c>
      <c r="DO350" s="683"/>
    </row>
    <row r="351" spans="1:119" ht="25.5" customHeight="1" thickTop="1" thickBot="1" x14ac:dyDescent="0.2">
      <c r="A351" s="676">
        <f t="shared" si="43"/>
        <v>336</v>
      </c>
      <c r="B351" s="1054"/>
      <c r="C351" s="1055"/>
      <c r="D351" s="83"/>
      <c r="E351" s="954"/>
      <c r="F351" s="52"/>
      <c r="G351" s="103"/>
      <c r="H351" s="1058"/>
      <c r="I351" s="684" t="str">
        <f t="shared" si="40"/>
        <v/>
      </c>
      <c r="J351" s="685">
        <f t="shared" si="41"/>
        <v>0</v>
      </c>
      <c r="K351" s="1258"/>
      <c r="L351" s="1251"/>
      <c r="M351" s="1257"/>
      <c r="N351" s="719" t="str">
        <f t="shared" si="44"/>
        <v/>
      </c>
      <c r="O351" s="720" t="str">
        <f>IF('Set up ~ Config'!$G$32=6,IF(OR($N351=7,$N351=8,$N351=9),1,IF(OR($N351=10,$N351=11,$N351=12),2,IF(OR($N351=1,$N351=2,$N351=3),3,IF(OR($N351=4,$N351=5,$N351=6),4,"")))),IF(OR($N351=9,$N351=10,$N351=11),1,IF(OR($N351=12,$N351=1,$N351=2),2,IF(OR($N351=3,$N351=4,$N351=5),3,IF(OR($N351=6,$N351=7,$N351=8),4,"")))))</f>
        <v/>
      </c>
      <c r="P351" s="99"/>
      <c r="Q351" s="62"/>
      <c r="R351" s="62"/>
      <c r="S351" s="51"/>
      <c r="T351" s="51"/>
      <c r="U351" s="51"/>
      <c r="V351" s="51"/>
      <c r="W351" s="51"/>
      <c r="X351" s="51"/>
      <c r="Y351" s="51"/>
      <c r="Z351" s="51"/>
      <c r="AA351" s="51"/>
      <c r="AB351" s="51"/>
      <c r="AC351" s="51"/>
      <c r="AD351" s="51"/>
      <c r="AE351" s="51"/>
      <c r="AF351" s="51"/>
      <c r="AG351" s="51"/>
      <c r="AH351" s="94"/>
      <c r="AI351" s="94"/>
      <c r="AJ351" s="94"/>
      <c r="AK351" s="94"/>
      <c r="AL351" s="94"/>
      <c r="AM351" s="94"/>
      <c r="AN351" s="94"/>
      <c r="AO351" s="95"/>
      <c r="AP351" s="686">
        <f t="shared" si="45"/>
        <v>0</v>
      </c>
      <c r="AQ351" s="42"/>
      <c r="AR351" s="42"/>
      <c r="AS351" s="42"/>
      <c r="AT351" s="43"/>
      <c r="AU351" s="687">
        <f t="shared" si="46"/>
        <v>0</v>
      </c>
      <c r="AV351" s="42"/>
      <c r="AW351" s="42"/>
      <c r="AX351" s="42"/>
      <c r="AY351" s="43"/>
      <c r="AZ351" s="486"/>
      <c r="BA351" s="51"/>
      <c r="BB351" s="51"/>
      <c r="BC351" s="51"/>
      <c r="BD351" s="51"/>
      <c r="BE351" s="51"/>
      <c r="BF351" s="51"/>
      <c r="BG351" s="51"/>
      <c r="BH351" s="94"/>
      <c r="BI351" s="94"/>
      <c r="BJ351" s="94"/>
      <c r="BK351" s="94"/>
      <c r="BL351" s="94"/>
      <c r="BM351" s="483"/>
      <c r="BN351" s="94"/>
      <c r="BO351" s="94"/>
      <c r="BP351" s="94"/>
      <c r="BQ351" s="94"/>
      <c r="BR351" s="94"/>
      <c r="BS351" s="94"/>
      <c r="BT351" s="94"/>
      <c r="BU351" s="94"/>
      <c r="BV351" s="94"/>
      <c r="BW351" s="688">
        <f t="shared" si="42"/>
        <v>0</v>
      </c>
      <c r="BX351" s="51"/>
      <c r="BY351" s="51"/>
      <c r="BZ351" s="51"/>
      <c r="CA351" s="51"/>
      <c r="CB351" s="51"/>
      <c r="CC351" s="51"/>
      <c r="CD351" s="97"/>
      <c r="CE351" s="479"/>
      <c r="CF351" s="51"/>
      <c r="CG351" s="51"/>
      <c r="CH351" s="62"/>
      <c r="CI351" s="62"/>
      <c r="CJ351" s="51"/>
      <c r="CK351" s="51"/>
      <c r="CL351" s="95"/>
      <c r="CM351" s="93"/>
      <c r="CN351" s="51"/>
      <c r="CO351" s="51"/>
      <c r="CP351" s="51"/>
      <c r="CQ351" s="51"/>
      <c r="CR351" s="51"/>
      <c r="CS351" s="51"/>
      <c r="CT351" s="51"/>
      <c r="CU351" s="95"/>
      <c r="CV351" s="93"/>
      <c r="CW351" s="51"/>
      <c r="CX351" s="51"/>
      <c r="CY351" s="51"/>
      <c r="CZ351" s="51"/>
      <c r="DA351" s="51"/>
      <c r="DB351" s="51"/>
      <c r="DC351" s="51"/>
      <c r="DD351" s="95"/>
      <c r="DE351" s="93"/>
      <c r="DF351" s="51"/>
      <c r="DG351" s="51"/>
      <c r="DH351" s="51"/>
      <c r="DI351" s="51"/>
      <c r="DJ351" s="51"/>
      <c r="DK351" s="51"/>
      <c r="DL351" s="95"/>
      <c r="DM351" s="478"/>
      <c r="DN351" s="682">
        <f t="shared" si="47"/>
        <v>0</v>
      </c>
      <c r="DO351" s="683"/>
    </row>
    <row r="352" spans="1:119" ht="25.5" customHeight="1" thickTop="1" thickBot="1" x14ac:dyDescent="0.2">
      <c r="A352" s="676">
        <f t="shared" si="43"/>
        <v>337</v>
      </c>
      <c r="B352" s="1054"/>
      <c r="C352" s="1055"/>
      <c r="D352" s="83"/>
      <c r="E352" s="954"/>
      <c r="F352" s="52"/>
      <c r="G352" s="103"/>
      <c r="H352" s="1058"/>
      <c r="I352" s="684" t="str">
        <f t="shared" si="40"/>
        <v/>
      </c>
      <c r="J352" s="685">
        <f t="shared" si="41"/>
        <v>0</v>
      </c>
      <c r="K352" s="1258"/>
      <c r="L352" s="1251"/>
      <c r="M352" s="1257"/>
      <c r="N352" s="719" t="str">
        <f t="shared" si="44"/>
        <v/>
      </c>
      <c r="O352" s="720" t="str">
        <f>IF('Set up ~ Config'!$G$32=6,IF(OR($N352=7,$N352=8,$N352=9),1,IF(OR($N352=10,$N352=11,$N352=12),2,IF(OR($N352=1,$N352=2,$N352=3),3,IF(OR($N352=4,$N352=5,$N352=6),4,"")))),IF(OR($N352=9,$N352=10,$N352=11),1,IF(OR($N352=12,$N352=1,$N352=2),2,IF(OR($N352=3,$N352=4,$N352=5),3,IF(OR($N352=6,$N352=7,$N352=8),4,"")))))</f>
        <v/>
      </c>
      <c r="P352" s="99"/>
      <c r="Q352" s="62"/>
      <c r="R352" s="62"/>
      <c r="S352" s="51"/>
      <c r="T352" s="51"/>
      <c r="U352" s="51"/>
      <c r="V352" s="51"/>
      <c r="W352" s="51"/>
      <c r="X352" s="51"/>
      <c r="Y352" s="51"/>
      <c r="Z352" s="51"/>
      <c r="AA352" s="51"/>
      <c r="AB352" s="51"/>
      <c r="AC352" s="51"/>
      <c r="AD352" s="51"/>
      <c r="AE352" s="51"/>
      <c r="AF352" s="51"/>
      <c r="AG352" s="51"/>
      <c r="AH352" s="94"/>
      <c r="AI352" s="94"/>
      <c r="AJ352" s="94"/>
      <c r="AK352" s="94"/>
      <c r="AL352" s="94"/>
      <c r="AM352" s="94"/>
      <c r="AN352" s="94"/>
      <c r="AO352" s="95"/>
      <c r="AP352" s="686">
        <f t="shared" si="45"/>
        <v>0</v>
      </c>
      <c r="AQ352" s="42"/>
      <c r="AR352" s="42"/>
      <c r="AS352" s="42"/>
      <c r="AT352" s="43"/>
      <c r="AU352" s="687">
        <f t="shared" si="46"/>
        <v>0</v>
      </c>
      <c r="AV352" s="42"/>
      <c r="AW352" s="42"/>
      <c r="AX352" s="42"/>
      <c r="AY352" s="43"/>
      <c r="AZ352" s="486"/>
      <c r="BA352" s="51"/>
      <c r="BB352" s="51"/>
      <c r="BC352" s="51"/>
      <c r="BD352" s="51"/>
      <c r="BE352" s="51"/>
      <c r="BF352" s="51"/>
      <c r="BG352" s="51"/>
      <c r="BH352" s="94"/>
      <c r="BI352" s="94"/>
      <c r="BJ352" s="94"/>
      <c r="BK352" s="94"/>
      <c r="BL352" s="94"/>
      <c r="BM352" s="483"/>
      <c r="BN352" s="94"/>
      <c r="BO352" s="94"/>
      <c r="BP352" s="94"/>
      <c r="BQ352" s="94"/>
      <c r="BR352" s="94"/>
      <c r="BS352" s="94"/>
      <c r="BT352" s="94"/>
      <c r="BU352" s="94"/>
      <c r="BV352" s="94"/>
      <c r="BW352" s="688">
        <f t="shared" si="42"/>
        <v>0</v>
      </c>
      <c r="BX352" s="51"/>
      <c r="BY352" s="51"/>
      <c r="BZ352" s="51"/>
      <c r="CA352" s="51"/>
      <c r="CB352" s="51"/>
      <c r="CC352" s="51"/>
      <c r="CD352" s="97"/>
      <c r="CE352" s="479"/>
      <c r="CF352" s="51"/>
      <c r="CG352" s="51"/>
      <c r="CH352" s="62"/>
      <c r="CI352" s="62"/>
      <c r="CJ352" s="51"/>
      <c r="CK352" s="51"/>
      <c r="CL352" s="95"/>
      <c r="CM352" s="93"/>
      <c r="CN352" s="51"/>
      <c r="CO352" s="51"/>
      <c r="CP352" s="51"/>
      <c r="CQ352" s="51"/>
      <c r="CR352" s="51"/>
      <c r="CS352" s="51"/>
      <c r="CT352" s="51"/>
      <c r="CU352" s="95"/>
      <c r="CV352" s="93"/>
      <c r="CW352" s="51"/>
      <c r="CX352" s="51"/>
      <c r="CY352" s="51"/>
      <c r="CZ352" s="51"/>
      <c r="DA352" s="51"/>
      <c r="DB352" s="51"/>
      <c r="DC352" s="51"/>
      <c r="DD352" s="95"/>
      <c r="DE352" s="93"/>
      <c r="DF352" s="51"/>
      <c r="DG352" s="51"/>
      <c r="DH352" s="51"/>
      <c r="DI352" s="51"/>
      <c r="DJ352" s="51"/>
      <c r="DK352" s="51"/>
      <c r="DL352" s="95"/>
      <c r="DM352" s="478"/>
      <c r="DN352" s="682">
        <f t="shared" si="47"/>
        <v>0</v>
      </c>
      <c r="DO352" s="683"/>
    </row>
    <row r="353" spans="1:119" ht="25.5" customHeight="1" thickTop="1" thickBot="1" x14ac:dyDescent="0.2">
      <c r="A353" s="676">
        <f t="shared" si="43"/>
        <v>338</v>
      </c>
      <c r="B353" s="1054"/>
      <c r="C353" s="1055"/>
      <c r="D353" s="83"/>
      <c r="E353" s="954"/>
      <c r="F353" s="52"/>
      <c r="G353" s="103"/>
      <c r="H353" s="1058"/>
      <c r="I353" s="684" t="str">
        <f t="shared" si="40"/>
        <v/>
      </c>
      <c r="J353" s="685">
        <f t="shared" si="41"/>
        <v>0</v>
      </c>
      <c r="K353" s="1258"/>
      <c r="L353" s="1251"/>
      <c r="M353" s="1257"/>
      <c r="N353" s="719" t="str">
        <f t="shared" si="44"/>
        <v/>
      </c>
      <c r="O353" s="720" t="str">
        <f>IF('Set up ~ Config'!$G$32=6,IF(OR($N353=7,$N353=8,$N353=9),1,IF(OR($N353=10,$N353=11,$N353=12),2,IF(OR($N353=1,$N353=2,$N353=3),3,IF(OR($N353=4,$N353=5,$N353=6),4,"")))),IF(OR($N353=9,$N353=10,$N353=11),1,IF(OR($N353=12,$N353=1,$N353=2),2,IF(OR($N353=3,$N353=4,$N353=5),3,IF(OR($N353=6,$N353=7,$N353=8),4,"")))))</f>
        <v/>
      </c>
      <c r="P353" s="99"/>
      <c r="Q353" s="62"/>
      <c r="R353" s="62"/>
      <c r="S353" s="51"/>
      <c r="T353" s="51"/>
      <c r="U353" s="51"/>
      <c r="V353" s="51"/>
      <c r="W353" s="51"/>
      <c r="X353" s="51"/>
      <c r="Y353" s="51"/>
      <c r="Z353" s="51"/>
      <c r="AA353" s="51"/>
      <c r="AB353" s="51"/>
      <c r="AC353" s="51"/>
      <c r="AD353" s="51"/>
      <c r="AE353" s="51"/>
      <c r="AF353" s="51"/>
      <c r="AG353" s="51"/>
      <c r="AH353" s="94"/>
      <c r="AI353" s="94"/>
      <c r="AJ353" s="94"/>
      <c r="AK353" s="94"/>
      <c r="AL353" s="94"/>
      <c r="AM353" s="94"/>
      <c r="AN353" s="94"/>
      <c r="AO353" s="95"/>
      <c r="AP353" s="686">
        <f t="shared" si="45"/>
        <v>0</v>
      </c>
      <c r="AQ353" s="42"/>
      <c r="AR353" s="42"/>
      <c r="AS353" s="42"/>
      <c r="AT353" s="43"/>
      <c r="AU353" s="687">
        <f t="shared" si="46"/>
        <v>0</v>
      </c>
      <c r="AV353" s="42"/>
      <c r="AW353" s="42"/>
      <c r="AX353" s="42"/>
      <c r="AY353" s="43"/>
      <c r="AZ353" s="486"/>
      <c r="BA353" s="51"/>
      <c r="BB353" s="51"/>
      <c r="BC353" s="51"/>
      <c r="BD353" s="51"/>
      <c r="BE353" s="51"/>
      <c r="BF353" s="51"/>
      <c r="BG353" s="51"/>
      <c r="BH353" s="94"/>
      <c r="BI353" s="94"/>
      <c r="BJ353" s="94"/>
      <c r="BK353" s="94"/>
      <c r="BL353" s="94"/>
      <c r="BM353" s="483"/>
      <c r="BN353" s="94"/>
      <c r="BO353" s="94"/>
      <c r="BP353" s="94"/>
      <c r="BQ353" s="94"/>
      <c r="BR353" s="94"/>
      <c r="BS353" s="94"/>
      <c r="BT353" s="94"/>
      <c r="BU353" s="94"/>
      <c r="BV353" s="94"/>
      <c r="BW353" s="688">
        <f t="shared" si="42"/>
        <v>0</v>
      </c>
      <c r="BX353" s="51"/>
      <c r="BY353" s="51"/>
      <c r="BZ353" s="51"/>
      <c r="CA353" s="51"/>
      <c r="CB353" s="51"/>
      <c r="CC353" s="51"/>
      <c r="CD353" s="97"/>
      <c r="CE353" s="479"/>
      <c r="CF353" s="51"/>
      <c r="CG353" s="51"/>
      <c r="CH353" s="62"/>
      <c r="CI353" s="62"/>
      <c r="CJ353" s="51"/>
      <c r="CK353" s="51"/>
      <c r="CL353" s="95"/>
      <c r="CM353" s="93"/>
      <c r="CN353" s="51"/>
      <c r="CO353" s="51"/>
      <c r="CP353" s="51"/>
      <c r="CQ353" s="51"/>
      <c r="CR353" s="51"/>
      <c r="CS353" s="51"/>
      <c r="CT353" s="51"/>
      <c r="CU353" s="95"/>
      <c r="CV353" s="93"/>
      <c r="CW353" s="51"/>
      <c r="CX353" s="51"/>
      <c r="CY353" s="51"/>
      <c r="CZ353" s="51"/>
      <c r="DA353" s="51"/>
      <c r="DB353" s="51"/>
      <c r="DC353" s="51"/>
      <c r="DD353" s="95"/>
      <c r="DE353" s="93"/>
      <c r="DF353" s="51"/>
      <c r="DG353" s="51"/>
      <c r="DH353" s="51"/>
      <c r="DI353" s="51"/>
      <c r="DJ353" s="51"/>
      <c r="DK353" s="51"/>
      <c r="DL353" s="95"/>
      <c r="DM353" s="478"/>
      <c r="DN353" s="682">
        <f t="shared" si="47"/>
        <v>0</v>
      </c>
      <c r="DO353" s="683"/>
    </row>
    <row r="354" spans="1:119" ht="25.5" customHeight="1" thickTop="1" thickBot="1" x14ac:dyDescent="0.2">
      <c r="A354" s="676">
        <f t="shared" si="43"/>
        <v>339</v>
      </c>
      <c r="B354" s="1054"/>
      <c r="C354" s="1055"/>
      <c r="D354" s="83"/>
      <c r="E354" s="954"/>
      <c r="F354" s="52"/>
      <c r="G354" s="103"/>
      <c r="H354" s="1058"/>
      <c r="I354" s="684" t="str">
        <f t="shared" si="40"/>
        <v/>
      </c>
      <c r="J354" s="685">
        <f t="shared" si="41"/>
        <v>0</v>
      </c>
      <c r="K354" s="1258"/>
      <c r="L354" s="1251"/>
      <c r="M354" s="1257"/>
      <c r="N354" s="719" t="str">
        <f t="shared" si="44"/>
        <v/>
      </c>
      <c r="O354" s="720" t="str">
        <f>IF('Set up ~ Config'!$G$32=6,IF(OR($N354=7,$N354=8,$N354=9),1,IF(OR($N354=10,$N354=11,$N354=12),2,IF(OR($N354=1,$N354=2,$N354=3),3,IF(OR($N354=4,$N354=5,$N354=6),4,"")))),IF(OR($N354=9,$N354=10,$N354=11),1,IF(OR($N354=12,$N354=1,$N354=2),2,IF(OR($N354=3,$N354=4,$N354=5),3,IF(OR($N354=6,$N354=7,$N354=8),4,"")))))</f>
        <v/>
      </c>
      <c r="P354" s="99"/>
      <c r="Q354" s="62"/>
      <c r="R354" s="62"/>
      <c r="S354" s="51"/>
      <c r="T354" s="51"/>
      <c r="U354" s="51"/>
      <c r="V354" s="51"/>
      <c r="W354" s="51"/>
      <c r="X354" s="51"/>
      <c r="Y354" s="51"/>
      <c r="Z354" s="51"/>
      <c r="AA354" s="51"/>
      <c r="AB354" s="51"/>
      <c r="AC354" s="51"/>
      <c r="AD354" s="51"/>
      <c r="AE354" s="51"/>
      <c r="AF354" s="51"/>
      <c r="AG354" s="51"/>
      <c r="AH354" s="94"/>
      <c r="AI354" s="94"/>
      <c r="AJ354" s="94"/>
      <c r="AK354" s="94"/>
      <c r="AL354" s="94"/>
      <c r="AM354" s="94"/>
      <c r="AN354" s="94"/>
      <c r="AO354" s="95"/>
      <c r="AP354" s="686">
        <f t="shared" si="45"/>
        <v>0</v>
      </c>
      <c r="AQ354" s="42"/>
      <c r="AR354" s="42"/>
      <c r="AS354" s="42"/>
      <c r="AT354" s="43"/>
      <c r="AU354" s="687">
        <f t="shared" si="46"/>
        <v>0</v>
      </c>
      <c r="AV354" s="42"/>
      <c r="AW354" s="42"/>
      <c r="AX354" s="42"/>
      <c r="AY354" s="43"/>
      <c r="AZ354" s="486"/>
      <c r="BA354" s="51"/>
      <c r="BB354" s="51"/>
      <c r="BC354" s="51"/>
      <c r="BD354" s="51"/>
      <c r="BE354" s="51"/>
      <c r="BF354" s="51"/>
      <c r="BG354" s="51"/>
      <c r="BH354" s="94"/>
      <c r="BI354" s="94"/>
      <c r="BJ354" s="94"/>
      <c r="BK354" s="94"/>
      <c r="BL354" s="94"/>
      <c r="BM354" s="483"/>
      <c r="BN354" s="94"/>
      <c r="BO354" s="94"/>
      <c r="BP354" s="94"/>
      <c r="BQ354" s="94"/>
      <c r="BR354" s="94"/>
      <c r="BS354" s="94"/>
      <c r="BT354" s="94"/>
      <c r="BU354" s="94"/>
      <c r="BV354" s="94"/>
      <c r="BW354" s="688">
        <f t="shared" si="42"/>
        <v>0</v>
      </c>
      <c r="BX354" s="51"/>
      <c r="BY354" s="51"/>
      <c r="BZ354" s="51"/>
      <c r="CA354" s="51"/>
      <c r="CB354" s="51"/>
      <c r="CC354" s="51"/>
      <c r="CD354" s="97"/>
      <c r="CE354" s="479"/>
      <c r="CF354" s="51"/>
      <c r="CG354" s="51"/>
      <c r="CH354" s="62"/>
      <c r="CI354" s="62"/>
      <c r="CJ354" s="51"/>
      <c r="CK354" s="51"/>
      <c r="CL354" s="95"/>
      <c r="CM354" s="93"/>
      <c r="CN354" s="51"/>
      <c r="CO354" s="51"/>
      <c r="CP354" s="51"/>
      <c r="CQ354" s="51"/>
      <c r="CR354" s="51"/>
      <c r="CS354" s="51"/>
      <c r="CT354" s="51"/>
      <c r="CU354" s="95"/>
      <c r="CV354" s="93"/>
      <c r="CW354" s="51"/>
      <c r="CX354" s="51"/>
      <c r="CY354" s="51"/>
      <c r="CZ354" s="51"/>
      <c r="DA354" s="51"/>
      <c r="DB354" s="51"/>
      <c r="DC354" s="51"/>
      <c r="DD354" s="95"/>
      <c r="DE354" s="93"/>
      <c r="DF354" s="51"/>
      <c r="DG354" s="51"/>
      <c r="DH354" s="51"/>
      <c r="DI354" s="51"/>
      <c r="DJ354" s="51"/>
      <c r="DK354" s="51"/>
      <c r="DL354" s="95"/>
      <c r="DM354" s="478"/>
      <c r="DN354" s="682">
        <f t="shared" si="47"/>
        <v>0</v>
      </c>
      <c r="DO354" s="683"/>
    </row>
    <row r="355" spans="1:119" ht="25.5" customHeight="1" thickTop="1" thickBot="1" x14ac:dyDescent="0.2">
      <c r="A355" s="676">
        <f t="shared" si="43"/>
        <v>340</v>
      </c>
      <c r="B355" s="1054"/>
      <c r="C355" s="1055"/>
      <c r="D355" s="83"/>
      <c r="E355" s="954"/>
      <c r="F355" s="52"/>
      <c r="G355" s="103"/>
      <c r="H355" s="1058"/>
      <c r="I355" s="684" t="str">
        <f t="shared" si="40"/>
        <v/>
      </c>
      <c r="J355" s="685">
        <f t="shared" si="41"/>
        <v>0</v>
      </c>
      <c r="K355" s="1258"/>
      <c r="L355" s="1251"/>
      <c r="M355" s="1257"/>
      <c r="N355" s="719" t="str">
        <f t="shared" si="44"/>
        <v/>
      </c>
      <c r="O355" s="720" t="str">
        <f>IF('Set up ~ Config'!$G$32=6,IF(OR($N355=7,$N355=8,$N355=9),1,IF(OR($N355=10,$N355=11,$N355=12),2,IF(OR($N355=1,$N355=2,$N355=3),3,IF(OR($N355=4,$N355=5,$N355=6),4,"")))),IF(OR($N355=9,$N355=10,$N355=11),1,IF(OR($N355=12,$N355=1,$N355=2),2,IF(OR($N355=3,$N355=4,$N355=5),3,IF(OR($N355=6,$N355=7,$N355=8),4,"")))))</f>
        <v/>
      </c>
      <c r="P355" s="99"/>
      <c r="Q355" s="62"/>
      <c r="R355" s="62"/>
      <c r="S355" s="51"/>
      <c r="T355" s="51"/>
      <c r="U355" s="51"/>
      <c r="V355" s="51"/>
      <c r="W355" s="51"/>
      <c r="X355" s="51"/>
      <c r="Y355" s="51"/>
      <c r="Z355" s="51"/>
      <c r="AA355" s="51"/>
      <c r="AB355" s="51"/>
      <c r="AC355" s="51"/>
      <c r="AD355" s="51"/>
      <c r="AE355" s="51"/>
      <c r="AF355" s="51"/>
      <c r="AG355" s="51"/>
      <c r="AH355" s="94"/>
      <c r="AI355" s="94"/>
      <c r="AJ355" s="94"/>
      <c r="AK355" s="94"/>
      <c r="AL355" s="94"/>
      <c r="AM355" s="94"/>
      <c r="AN355" s="94"/>
      <c r="AO355" s="95"/>
      <c r="AP355" s="686">
        <f t="shared" si="45"/>
        <v>0</v>
      </c>
      <c r="AQ355" s="42"/>
      <c r="AR355" s="42"/>
      <c r="AS355" s="42"/>
      <c r="AT355" s="43"/>
      <c r="AU355" s="687">
        <f t="shared" si="46"/>
        <v>0</v>
      </c>
      <c r="AV355" s="42"/>
      <c r="AW355" s="42"/>
      <c r="AX355" s="42"/>
      <c r="AY355" s="43"/>
      <c r="AZ355" s="486"/>
      <c r="BA355" s="51"/>
      <c r="BB355" s="51"/>
      <c r="BC355" s="51"/>
      <c r="BD355" s="51"/>
      <c r="BE355" s="51"/>
      <c r="BF355" s="51"/>
      <c r="BG355" s="51"/>
      <c r="BH355" s="94"/>
      <c r="BI355" s="94"/>
      <c r="BJ355" s="94"/>
      <c r="BK355" s="94"/>
      <c r="BL355" s="94"/>
      <c r="BM355" s="483"/>
      <c r="BN355" s="94"/>
      <c r="BO355" s="94"/>
      <c r="BP355" s="94"/>
      <c r="BQ355" s="94"/>
      <c r="BR355" s="94"/>
      <c r="BS355" s="94"/>
      <c r="BT355" s="94"/>
      <c r="BU355" s="94"/>
      <c r="BV355" s="94"/>
      <c r="BW355" s="688">
        <f t="shared" si="42"/>
        <v>0</v>
      </c>
      <c r="BX355" s="51"/>
      <c r="BY355" s="51"/>
      <c r="BZ355" s="51"/>
      <c r="CA355" s="51"/>
      <c r="CB355" s="51"/>
      <c r="CC355" s="51"/>
      <c r="CD355" s="97"/>
      <c r="CE355" s="479"/>
      <c r="CF355" s="51"/>
      <c r="CG355" s="51"/>
      <c r="CH355" s="62"/>
      <c r="CI355" s="62"/>
      <c r="CJ355" s="51"/>
      <c r="CK355" s="51"/>
      <c r="CL355" s="95"/>
      <c r="CM355" s="93"/>
      <c r="CN355" s="51"/>
      <c r="CO355" s="51"/>
      <c r="CP355" s="51"/>
      <c r="CQ355" s="51"/>
      <c r="CR355" s="51"/>
      <c r="CS355" s="51"/>
      <c r="CT355" s="51"/>
      <c r="CU355" s="95"/>
      <c r="CV355" s="93"/>
      <c r="CW355" s="51"/>
      <c r="CX355" s="51"/>
      <c r="CY355" s="51"/>
      <c r="CZ355" s="51"/>
      <c r="DA355" s="51"/>
      <c r="DB355" s="51"/>
      <c r="DC355" s="51"/>
      <c r="DD355" s="95"/>
      <c r="DE355" s="93"/>
      <c r="DF355" s="51"/>
      <c r="DG355" s="51"/>
      <c r="DH355" s="51"/>
      <c r="DI355" s="51"/>
      <c r="DJ355" s="51"/>
      <c r="DK355" s="51"/>
      <c r="DL355" s="95"/>
      <c r="DM355" s="478"/>
      <c r="DN355" s="682">
        <f t="shared" si="47"/>
        <v>0</v>
      </c>
      <c r="DO355" s="683"/>
    </row>
    <row r="356" spans="1:119" ht="25.5" customHeight="1" thickTop="1" thickBot="1" x14ac:dyDescent="0.2">
      <c r="A356" s="676">
        <f t="shared" si="43"/>
        <v>341</v>
      </c>
      <c r="B356" s="1054"/>
      <c r="C356" s="1055"/>
      <c r="D356" s="83"/>
      <c r="E356" s="954"/>
      <c r="F356" s="52"/>
      <c r="G356" s="103"/>
      <c r="H356" s="1058"/>
      <c r="I356" s="684" t="str">
        <f t="shared" si="40"/>
        <v/>
      </c>
      <c r="J356" s="685">
        <f t="shared" si="41"/>
        <v>0</v>
      </c>
      <c r="K356" s="1258"/>
      <c r="L356" s="1251"/>
      <c r="M356" s="1257"/>
      <c r="N356" s="719" t="str">
        <f t="shared" si="44"/>
        <v/>
      </c>
      <c r="O356" s="720" t="str">
        <f>IF('Set up ~ Config'!$G$32=6,IF(OR($N356=7,$N356=8,$N356=9),1,IF(OR($N356=10,$N356=11,$N356=12),2,IF(OR($N356=1,$N356=2,$N356=3),3,IF(OR($N356=4,$N356=5,$N356=6),4,"")))),IF(OR($N356=9,$N356=10,$N356=11),1,IF(OR($N356=12,$N356=1,$N356=2),2,IF(OR($N356=3,$N356=4,$N356=5),3,IF(OR($N356=6,$N356=7,$N356=8),4,"")))))</f>
        <v/>
      </c>
      <c r="P356" s="99"/>
      <c r="Q356" s="62"/>
      <c r="R356" s="62"/>
      <c r="S356" s="51"/>
      <c r="T356" s="51"/>
      <c r="U356" s="51"/>
      <c r="V356" s="51"/>
      <c r="W356" s="51"/>
      <c r="X356" s="51"/>
      <c r="Y356" s="51"/>
      <c r="Z356" s="51"/>
      <c r="AA356" s="51"/>
      <c r="AB356" s="51"/>
      <c r="AC356" s="51"/>
      <c r="AD356" s="51"/>
      <c r="AE356" s="51"/>
      <c r="AF356" s="51"/>
      <c r="AG356" s="51"/>
      <c r="AH356" s="94"/>
      <c r="AI356" s="94"/>
      <c r="AJ356" s="94"/>
      <c r="AK356" s="94"/>
      <c r="AL356" s="94"/>
      <c r="AM356" s="94"/>
      <c r="AN356" s="94"/>
      <c r="AO356" s="95"/>
      <c r="AP356" s="686">
        <f t="shared" si="45"/>
        <v>0</v>
      </c>
      <c r="AQ356" s="42"/>
      <c r="AR356" s="42"/>
      <c r="AS356" s="42"/>
      <c r="AT356" s="43"/>
      <c r="AU356" s="687">
        <f t="shared" si="46"/>
        <v>0</v>
      </c>
      <c r="AV356" s="42"/>
      <c r="AW356" s="42"/>
      <c r="AX356" s="42"/>
      <c r="AY356" s="43"/>
      <c r="AZ356" s="486"/>
      <c r="BA356" s="51"/>
      <c r="BB356" s="51"/>
      <c r="BC356" s="51"/>
      <c r="BD356" s="51"/>
      <c r="BE356" s="51"/>
      <c r="BF356" s="51"/>
      <c r="BG356" s="51"/>
      <c r="BH356" s="94"/>
      <c r="BI356" s="94"/>
      <c r="BJ356" s="94"/>
      <c r="BK356" s="94"/>
      <c r="BL356" s="94"/>
      <c r="BM356" s="483"/>
      <c r="BN356" s="94"/>
      <c r="BO356" s="94"/>
      <c r="BP356" s="94"/>
      <c r="BQ356" s="94"/>
      <c r="BR356" s="94"/>
      <c r="BS356" s="94"/>
      <c r="BT356" s="94"/>
      <c r="BU356" s="94"/>
      <c r="BV356" s="94"/>
      <c r="BW356" s="688">
        <f t="shared" si="42"/>
        <v>0</v>
      </c>
      <c r="BX356" s="51"/>
      <c r="BY356" s="51"/>
      <c r="BZ356" s="51"/>
      <c r="CA356" s="51"/>
      <c r="CB356" s="51"/>
      <c r="CC356" s="51"/>
      <c r="CD356" s="97"/>
      <c r="CE356" s="479"/>
      <c r="CF356" s="51"/>
      <c r="CG356" s="51"/>
      <c r="CH356" s="62"/>
      <c r="CI356" s="62"/>
      <c r="CJ356" s="51"/>
      <c r="CK356" s="51"/>
      <c r="CL356" s="95"/>
      <c r="CM356" s="93"/>
      <c r="CN356" s="51"/>
      <c r="CO356" s="51"/>
      <c r="CP356" s="51"/>
      <c r="CQ356" s="51"/>
      <c r="CR356" s="51"/>
      <c r="CS356" s="51"/>
      <c r="CT356" s="51"/>
      <c r="CU356" s="95"/>
      <c r="CV356" s="93"/>
      <c r="CW356" s="51"/>
      <c r="CX356" s="51"/>
      <c r="CY356" s="51"/>
      <c r="CZ356" s="51"/>
      <c r="DA356" s="51"/>
      <c r="DB356" s="51"/>
      <c r="DC356" s="51"/>
      <c r="DD356" s="95"/>
      <c r="DE356" s="93"/>
      <c r="DF356" s="51"/>
      <c r="DG356" s="51"/>
      <c r="DH356" s="51"/>
      <c r="DI356" s="51"/>
      <c r="DJ356" s="51"/>
      <c r="DK356" s="51"/>
      <c r="DL356" s="95"/>
      <c r="DM356" s="478"/>
      <c r="DN356" s="682">
        <f t="shared" si="47"/>
        <v>0</v>
      </c>
      <c r="DO356" s="683"/>
    </row>
    <row r="357" spans="1:119" ht="25.5" customHeight="1" thickTop="1" thickBot="1" x14ac:dyDescent="0.2">
      <c r="A357" s="676">
        <f t="shared" si="43"/>
        <v>342</v>
      </c>
      <c r="B357" s="1054"/>
      <c r="C357" s="1055"/>
      <c r="D357" s="83"/>
      <c r="E357" s="954"/>
      <c r="F357" s="52"/>
      <c r="G357" s="103"/>
      <c r="H357" s="1058"/>
      <c r="I357" s="684" t="str">
        <f t="shared" si="40"/>
        <v/>
      </c>
      <c r="J357" s="685">
        <f t="shared" si="41"/>
        <v>0</v>
      </c>
      <c r="K357" s="1258"/>
      <c r="L357" s="1251"/>
      <c r="M357" s="1257"/>
      <c r="N357" s="719" t="str">
        <f t="shared" si="44"/>
        <v/>
      </c>
      <c r="O357" s="720" t="str">
        <f>IF('Set up ~ Config'!$G$32=6,IF(OR($N357=7,$N357=8,$N357=9),1,IF(OR($N357=10,$N357=11,$N357=12),2,IF(OR($N357=1,$N357=2,$N357=3),3,IF(OR($N357=4,$N357=5,$N357=6),4,"")))),IF(OR($N357=9,$N357=10,$N357=11),1,IF(OR($N357=12,$N357=1,$N357=2),2,IF(OR($N357=3,$N357=4,$N357=5),3,IF(OR($N357=6,$N357=7,$N357=8),4,"")))))</f>
        <v/>
      </c>
      <c r="P357" s="99"/>
      <c r="Q357" s="62"/>
      <c r="R357" s="62"/>
      <c r="S357" s="51"/>
      <c r="T357" s="51"/>
      <c r="U357" s="51"/>
      <c r="V357" s="51"/>
      <c r="W357" s="51"/>
      <c r="X357" s="51"/>
      <c r="Y357" s="51"/>
      <c r="Z357" s="51"/>
      <c r="AA357" s="51"/>
      <c r="AB357" s="51"/>
      <c r="AC357" s="51"/>
      <c r="AD357" s="51"/>
      <c r="AE357" s="51"/>
      <c r="AF357" s="51"/>
      <c r="AG357" s="51"/>
      <c r="AH357" s="94"/>
      <c r="AI357" s="94"/>
      <c r="AJ357" s="94"/>
      <c r="AK357" s="94"/>
      <c r="AL357" s="94"/>
      <c r="AM357" s="94"/>
      <c r="AN357" s="94"/>
      <c r="AO357" s="95"/>
      <c r="AP357" s="686">
        <f t="shared" si="45"/>
        <v>0</v>
      </c>
      <c r="AQ357" s="42"/>
      <c r="AR357" s="42"/>
      <c r="AS357" s="42"/>
      <c r="AT357" s="43"/>
      <c r="AU357" s="687">
        <f t="shared" si="46"/>
        <v>0</v>
      </c>
      <c r="AV357" s="42"/>
      <c r="AW357" s="42"/>
      <c r="AX357" s="42"/>
      <c r="AY357" s="43"/>
      <c r="AZ357" s="486"/>
      <c r="BA357" s="51"/>
      <c r="BB357" s="51"/>
      <c r="BC357" s="51"/>
      <c r="BD357" s="51"/>
      <c r="BE357" s="51"/>
      <c r="BF357" s="51"/>
      <c r="BG357" s="51"/>
      <c r="BH357" s="94"/>
      <c r="BI357" s="94"/>
      <c r="BJ357" s="94"/>
      <c r="BK357" s="94"/>
      <c r="BL357" s="94"/>
      <c r="BM357" s="483"/>
      <c r="BN357" s="94"/>
      <c r="BO357" s="94"/>
      <c r="BP357" s="94"/>
      <c r="BQ357" s="94"/>
      <c r="BR357" s="94"/>
      <c r="BS357" s="94"/>
      <c r="BT357" s="94"/>
      <c r="BU357" s="94"/>
      <c r="BV357" s="94"/>
      <c r="BW357" s="688">
        <f t="shared" si="42"/>
        <v>0</v>
      </c>
      <c r="BX357" s="51"/>
      <c r="BY357" s="51"/>
      <c r="BZ357" s="51"/>
      <c r="CA357" s="51"/>
      <c r="CB357" s="51"/>
      <c r="CC357" s="51"/>
      <c r="CD357" s="97"/>
      <c r="CE357" s="479"/>
      <c r="CF357" s="51"/>
      <c r="CG357" s="51"/>
      <c r="CH357" s="62"/>
      <c r="CI357" s="62"/>
      <c r="CJ357" s="51"/>
      <c r="CK357" s="51"/>
      <c r="CL357" s="95"/>
      <c r="CM357" s="93"/>
      <c r="CN357" s="51"/>
      <c r="CO357" s="51"/>
      <c r="CP357" s="51"/>
      <c r="CQ357" s="51"/>
      <c r="CR357" s="51"/>
      <c r="CS357" s="51"/>
      <c r="CT357" s="51"/>
      <c r="CU357" s="95"/>
      <c r="CV357" s="93"/>
      <c r="CW357" s="51"/>
      <c r="CX357" s="51"/>
      <c r="CY357" s="51"/>
      <c r="CZ357" s="51"/>
      <c r="DA357" s="51"/>
      <c r="DB357" s="51"/>
      <c r="DC357" s="51"/>
      <c r="DD357" s="95"/>
      <c r="DE357" s="93"/>
      <c r="DF357" s="51"/>
      <c r="DG357" s="51"/>
      <c r="DH357" s="51"/>
      <c r="DI357" s="51"/>
      <c r="DJ357" s="51"/>
      <c r="DK357" s="51"/>
      <c r="DL357" s="95"/>
      <c r="DM357" s="478"/>
      <c r="DN357" s="682">
        <f t="shared" si="47"/>
        <v>0</v>
      </c>
      <c r="DO357" s="683"/>
    </row>
    <row r="358" spans="1:119" ht="25.5" customHeight="1" thickTop="1" thickBot="1" x14ac:dyDescent="0.2">
      <c r="A358" s="676">
        <f t="shared" si="43"/>
        <v>343</v>
      </c>
      <c r="B358" s="1054"/>
      <c r="C358" s="1055"/>
      <c r="D358" s="83"/>
      <c r="E358" s="954"/>
      <c r="F358" s="52"/>
      <c r="G358" s="103"/>
      <c r="H358" s="1058"/>
      <c r="I358" s="684" t="str">
        <f t="shared" si="40"/>
        <v/>
      </c>
      <c r="J358" s="685">
        <f t="shared" si="41"/>
        <v>0</v>
      </c>
      <c r="K358" s="1258"/>
      <c r="L358" s="1251"/>
      <c r="M358" s="1257"/>
      <c r="N358" s="719" t="str">
        <f t="shared" si="44"/>
        <v/>
      </c>
      <c r="O358" s="720" t="str">
        <f>IF('Set up ~ Config'!$G$32=6,IF(OR($N358=7,$N358=8,$N358=9),1,IF(OR($N358=10,$N358=11,$N358=12),2,IF(OR($N358=1,$N358=2,$N358=3),3,IF(OR($N358=4,$N358=5,$N358=6),4,"")))),IF(OR($N358=9,$N358=10,$N358=11),1,IF(OR($N358=12,$N358=1,$N358=2),2,IF(OR($N358=3,$N358=4,$N358=5),3,IF(OR($N358=6,$N358=7,$N358=8),4,"")))))</f>
        <v/>
      </c>
      <c r="P358" s="99"/>
      <c r="Q358" s="62"/>
      <c r="R358" s="62"/>
      <c r="S358" s="51"/>
      <c r="T358" s="51"/>
      <c r="U358" s="51"/>
      <c r="V358" s="51"/>
      <c r="W358" s="51"/>
      <c r="X358" s="51"/>
      <c r="Y358" s="51"/>
      <c r="Z358" s="51"/>
      <c r="AA358" s="51"/>
      <c r="AB358" s="51"/>
      <c r="AC358" s="51"/>
      <c r="AD358" s="51"/>
      <c r="AE358" s="51"/>
      <c r="AF358" s="51"/>
      <c r="AG358" s="51"/>
      <c r="AH358" s="94"/>
      <c r="AI358" s="94"/>
      <c r="AJ358" s="94"/>
      <c r="AK358" s="94"/>
      <c r="AL358" s="94"/>
      <c r="AM358" s="94"/>
      <c r="AN358" s="94"/>
      <c r="AO358" s="95"/>
      <c r="AP358" s="686">
        <f t="shared" si="45"/>
        <v>0</v>
      </c>
      <c r="AQ358" s="42"/>
      <c r="AR358" s="42"/>
      <c r="AS358" s="42"/>
      <c r="AT358" s="43"/>
      <c r="AU358" s="687">
        <f t="shared" si="46"/>
        <v>0</v>
      </c>
      <c r="AV358" s="42"/>
      <c r="AW358" s="42"/>
      <c r="AX358" s="42"/>
      <c r="AY358" s="43"/>
      <c r="AZ358" s="486"/>
      <c r="BA358" s="51"/>
      <c r="BB358" s="51"/>
      <c r="BC358" s="51"/>
      <c r="BD358" s="51"/>
      <c r="BE358" s="51"/>
      <c r="BF358" s="51"/>
      <c r="BG358" s="51"/>
      <c r="BH358" s="94"/>
      <c r="BI358" s="94"/>
      <c r="BJ358" s="94"/>
      <c r="BK358" s="94"/>
      <c r="BL358" s="94"/>
      <c r="BM358" s="483"/>
      <c r="BN358" s="94"/>
      <c r="BO358" s="94"/>
      <c r="BP358" s="94"/>
      <c r="BQ358" s="94"/>
      <c r="BR358" s="94"/>
      <c r="BS358" s="94"/>
      <c r="BT358" s="94"/>
      <c r="BU358" s="94"/>
      <c r="BV358" s="94"/>
      <c r="BW358" s="688">
        <f t="shared" si="42"/>
        <v>0</v>
      </c>
      <c r="BX358" s="51"/>
      <c r="BY358" s="51"/>
      <c r="BZ358" s="51"/>
      <c r="CA358" s="51"/>
      <c r="CB358" s="51"/>
      <c r="CC358" s="51"/>
      <c r="CD358" s="97"/>
      <c r="CE358" s="479"/>
      <c r="CF358" s="51"/>
      <c r="CG358" s="51"/>
      <c r="CH358" s="62"/>
      <c r="CI358" s="62"/>
      <c r="CJ358" s="51"/>
      <c r="CK358" s="51"/>
      <c r="CL358" s="95"/>
      <c r="CM358" s="93"/>
      <c r="CN358" s="51"/>
      <c r="CO358" s="51"/>
      <c r="CP358" s="51"/>
      <c r="CQ358" s="51"/>
      <c r="CR358" s="51"/>
      <c r="CS358" s="51"/>
      <c r="CT358" s="51"/>
      <c r="CU358" s="95"/>
      <c r="CV358" s="93"/>
      <c r="CW358" s="51"/>
      <c r="CX358" s="51"/>
      <c r="CY358" s="51"/>
      <c r="CZ358" s="51"/>
      <c r="DA358" s="51"/>
      <c r="DB358" s="51"/>
      <c r="DC358" s="51"/>
      <c r="DD358" s="95"/>
      <c r="DE358" s="93"/>
      <c r="DF358" s="51"/>
      <c r="DG358" s="51"/>
      <c r="DH358" s="51"/>
      <c r="DI358" s="51"/>
      <c r="DJ358" s="51"/>
      <c r="DK358" s="51"/>
      <c r="DL358" s="95"/>
      <c r="DM358" s="478"/>
      <c r="DN358" s="682">
        <f t="shared" si="47"/>
        <v>0</v>
      </c>
      <c r="DO358" s="683"/>
    </row>
    <row r="359" spans="1:119" ht="25.5" customHeight="1" thickTop="1" thickBot="1" x14ac:dyDescent="0.2">
      <c r="A359" s="676">
        <f t="shared" si="43"/>
        <v>344</v>
      </c>
      <c r="B359" s="1054"/>
      <c r="C359" s="1055"/>
      <c r="D359" s="83"/>
      <c r="E359" s="954"/>
      <c r="F359" s="52"/>
      <c r="G359" s="103"/>
      <c r="H359" s="1058"/>
      <c r="I359" s="684" t="str">
        <f t="shared" si="40"/>
        <v/>
      </c>
      <c r="J359" s="685">
        <f t="shared" si="41"/>
        <v>0</v>
      </c>
      <c r="K359" s="1258"/>
      <c r="L359" s="1251"/>
      <c r="M359" s="1257"/>
      <c r="N359" s="719" t="str">
        <f t="shared" si="44"/>
        <v/>
      </c>
      <c r="O359" s="720" t="str">
        <f>IF('Set up ~ Config'!$G$32=6,IF(OR($N359=7,$N359=8,$N359=9),1,IF(OR($N359=10,$N359=11,$N359=12),2,IF(OR($N359=1,$N359=2,$N359=3),3,IF(OR($N359=4,$N359=5,$N359=6),4,"")))),IF(OR($N359=9,$N359=10,$N359=11),1,IF(OR($N359=12,$N359=1,$N359=2),2,IF(OR($N359=3,$N359=4,$N359=5),3,IF(OR($N359=6,$N359=7,$N359=8),4,"")))))</f>
        <v/>
      </c>
      <c r="P359" s="99"/>
      <c r="Q359" s="62"/>
      <c r="R359" s="62"/>
      <c r="S359" s="51"/>
      <c r="T359" s="51"/>
      <c r="U359" s="51"/>
      <c r="V359" s="51"/>
      <c r="W359" s="51"/>
      <c r="X359" s="51"/>
      <c r="Y359" s="51"/>
      <c r="Z359" s="51"/>
      <c r="AA359" s="51"/>
      <c r="AB359" s="51"/>
      <c r="AC359" s="51"/>
      <c r="AD359" s="51"/>
      <c r="AE359" s="51"/>
      <c r="AF359" s="51"/>
      <c r="AG359" s="51"/>
      <c r="AH359" s="94"/>
      <c r="AI359" s="94"/>
      <c r="AJ359" s="94"/>
      <c r="AK359" s="94"/>
      <c r="AL359" s="94"/>
      <c r="AM359" s="94"/>
      <c r="AN359" s="94"/>
      <c r="AO359" s="95"/>
      <c r="AP359" s="686">
        <f t="shared" si="45"/>
        <v>0</v>
      </c>
      <c r="AQ359" s="42"/>
      <c r="AR359" s="42"/>
      <c r="AS359" s="42"/>
      <c r="AT359" s="43"/>
      <c r="AU359" s="687">
        <f t="shared" si="46"/>
        <v>0</v>
      </c>
      <c r="AV359" s="42"/>
      <c r="AW359" s="42"/>
      <c r="AX359" s="42"/>
      <c r="AY359" s="43"/>
      <c r="AZ359" s="486"/>
      <c r="BA359" s="51"/>
      <c r="BB359" s="51"/>
      <c r="BC359" s="51"/>
      <c r="BD359" s="51"/>
      <c r="BE359" s="51"/>
      <c r="BF359" s="51"/>
      <c r="BG359" s="51"/>
      <c r="BH359" s="94"/>
      <c r="BI359" s="94"/>
      <c r="BJ359" s="94"/>
      <c r="BK359" s="94"/>
      <c r="BL359" s="94"/>
      <c r="BM359" s="483"/>
      <c r="BN359" s="94"/>
      <c r="BO359" s="94"/>
      <c r="BP359" s="94"/>
      <c r="BQ359" s="94"/>
      <c r="BR359" s="94"/>
      <c r="BS359" s="94"/>
      <c r="BT359" s="94"/>
      <c r="BU359" s="94"/>
      <c r="BV359" s="94"/>
      <c r="BW359" s="688">
        <f t="shared" si="42"/>
        <v>0</v>
      </c>
      <c r="BX359" s="51"/>
      <c r="BY359" s="51"/>
      <c r="BZ359" s="51"/>
      <c r="CA359" s="51"/>
      <c r="CB359" s="51"/>
      <c r="CC359" s="51"/>
      <c r="CD359" s="97"/>
      <c r="CE359" s="479"/>
      <c r="CF359" s="51"/>
      <c r="CG359" s="51"/>
      <c r="CH359" s="62"/>
      <c r="CI359" s="62"/>
      <c r="CJ359" s="51"/>
      <c r="CK359" s="51"/>
      <c r="CL359" s="95"/>
      <c r="CM359" s="93"/>
      <c r="CN359" s="51"/>
      <c r="CO359" s="51"/>
      <c r="CP359" s="51"/>
      <c r="CQ359" s="51"/>
      <c r="CR359" s="51"/>
      <c r="CS359" s="51"/>
      <c r="CT359" s="51"/>
      <c r="CU359" s="95"/>
      <c r="CV359" s="93"/>
      <c r="CW359" s="51"/>
      <c r="CX359" s="51"/>
      <c r="CY359" s="51"/>
      <c r="CZ359" s="51"/>
      <c r="DA359" s="51"/>
      <c r="DB359" s="51"/>
      <c r="DC359" s="51"/>
      <c r="DD359" s="95"/>
      <c r="DE359" s="93"/>
      <c r="DF359" s="51"/>
      <c r="DG359" s="51"/>
      <c r="DH359" s="51"/>
      <c r="DI359" s="51"/>
      <c r="DJ359" s="51"/>
      <c r="DK359" s="51"/>
      <c r="DL359" s="95"/>
      <c r="DM359" s="478"/>
      <c r="DN359" s="682">
        <f t="shared" si="47"/>
        <v>0</v>
      </c>
      <c r="DO359" s="683"/>
    </row>
    <row r="360" spans="1:119" ht="25.5" customHeight="1" thickTop="1" thickBot="1" x14ac:dyDescent="0.2">
      <c r="A360" s="676">
        <f t="shared" si="43"/>
        <v>345</v>
      </c>
      <c r="B360" s="1054"/>
      <c r="C360" s="1055"/>
      <c r="D360" s="83"/>
      <c r="E360" s="954"/>
      <c r="F360" s="52"/>
      <c r="G360" s="103"/>
      <c r="H360" s="1058"/>
      <c r="I360" s="684" t="str">
        <f t="shared" si="40"/>
        <v/>
      </c>
      <c r="J360" s="685">
        <f t="shared" si="41"/>
        <v>0</v>
      </c>
      <c r="K360" s="1258"/>
      <c r="L360" s="1251"/>
      <c r="M360" s="1257"/>
      <c r="N360" s="719" t="str">
        <f t="shared" si="44"/>
        <v/>
      </c>
      <c r="O360" s="720" t="str">
        <f>IF('Set up ~ Config'!$G$32=6,IF(OR($N360=7,$N360=8,$N360=9),1,IF(OR($N360=10,$N360=11,$N360=12),2,IF(OR($N360=1,$N360=2,$N360=3),3,IF(OR($N360=4,$N360=5,$N360=6),4,"")))),IF(OR($N360=9,$N360=10,$N360=11),1,IF(OR($N360=12,$N360=1,$N360=2),2,IF(OR($N360=3,$N360=4,$N360=5),3,IF(OR($N360=6,$N360=7,$N360=8),4,"")))))</f>
        <v/>
      </c>
      <c r="P360" s="99"/>
      <c r="Q360" s="62"/>
      <c r="R360" s="62"/>
      <c r="S360" s="51"/>
      <c r="T360" s="51"/>
      <c r="U360" s="51"/>
      <c r="V360" s="51"/>
      <c r="W360" s="51"/>
      <c r="X360" s="51"/>
      <c r="Y360" s="51"/>
      <c r="Z360" s="51"/>
      <c r="AA360" s="51"/>
      <c r="AB360" s="51"/>
      <c r="AC360" s="51"/>
      <c r="AD360" s="51"/>
      <c r="AE360" s="51"/>
      <c r="AF360" s="51"/>
      <c r="AG360" s="51"/>
      <c r="AH360" s="94"/>
      <c r="AI360" s="94"/>
      <c r="AJ360" s="94"/>
      <c r="AK360" s="94"/>
      <c r="AL360" s="94"/>
      <c r="AM360" s="94"/>
      <c r="AN360" s="94"/>
      <c r="AO360" s="95"/>
      <c r="AP360" s="686">
        <f t="shared" si="45"/>
        <v>0</v>
      </c>
      <c r="AQ360" s="42"/>
      <c r="AR360" s="42"/>
      <c r="AS360" s="42"/>
      <c r="AT360" s="43"/>
      <c r="AU360" s="687">
        <f t="shared" si="46"/>
        <v>0</v>
      </c>
      <c r="AV360" s="42"/>
      <c r="AW360" s="42"/>
      <c r="AX360" s="42"/>
      <c r="AY360" s="43"/>
      <c r="AZ360" s="486"/>
      <c r="BA360" s="51"/>
      <c r="BB360" s="51"/>
      <c r="BC360" s="51"/>
      <c r="BD360" s="51"/>
      <c r="BE360" s="51"/>
      <c r="BF360" s="51"/>
      <c r="BG360" s="51"/>
      <c r="BH360" s="94"/>
      <c r="BI360" s="94"/>
      <c r="BJ360" s="94"/>
      <c r="BK360" s="94"/>
      <c r="BL360" s="94"/>
      <c r="BM360" s="483"/>
      <c r="BN360" s="94"/>
      <c r="BO360" s="94"/>
      <c r="BP360" s="94"/>
      <c r="BQ360" s="94"/>
      <c r="BR360" s="94"/>
      <c r="BS360" s="94"/>
      <c r="BT360" s="94"/>
      <c r="BU360" s="94"/>
      <c r="BV360" s="94"/>
      <c r="BW360" s="688">
        <f t="shared" si="42"/>
        <v>0</v>
      </c>
      <c r="BX360" s="51"/>
      <c r="BY360" s="51"/>
      <c r="BZ360" s="51"/>
      <c r="CA360" s="51"/>
      <c r="CB360" s="51"/>
      <c r="CC360" s="51"/>
      <c r="CD360" s="97"/>
      <c r="CE360" s="479"/>
      <c r="CF360" s="51"/>
      <c r="CG360" s="51"/>
      <c r="CH360" s="62"/>
      <c r="CI360" s="62"/>
      <c r="CJ360" s="51"/>
      <c r="CK360" s="51"/>
      <c r="CL360" s="95"/>
      <c r="CM360" s="93"/>
      <c r="CN360" s="51"/>
      <c r="CO360" s="51"/>
      <c r="CP360" s="51"/>
      <c r="CQ360" s="51"/>
      <c r="CR360" s="51"/>
      <c r="CS360" s="51"/>
      <c r="CT360" s="51"/>
      <c r="CU360" s="95"/>
      <c r="CV360" s="93"/>
      <c r="CW360" s="51"/>
      <c r="CX360" s="51"/>
      <c r="CY360" s="51"/>
      <c r="CZ360" s="51"/>
      <c r="DA360" s="51"/>
      <c r="DB360" s="51"/>
      <c r="DC360" s="51"/>
      <c r="DD360" s="95"/>
      <c r="DE360" s="93"/>
      <c r="DF360" s="51"/>
      <c r="DG360" s="51"/>
      <c r="DH360" s="51"/>
      <c r="DI360" s="51"/>
      <c r="DJ360" s="51"/>
      <c r="DK360" s="51"/>
      <c r="DL360" s="95"/>
      <c r="DM360" s="478"/>
      <c r="DN360" s="682">
        <f t="shared" si="47"/>
        <v>0</v>
      </c>
      <c r="DO360" s="683"/>
    </row>
    <row r="361" spans="1:119" ht="25.5" customHeight="1" thickTop="1" thickBot="1" x14ac:dyDescent="0.2">
      <c r="A361" s="676">
        <f t="shared" si="43"/>
        <v>346</v>
      </c>
      <c r="B361" s="1054"/>
      <c r="C361" s="1055"/>
      <c r="D361" s="83"/>
      <c r="E361" s="954"/>
      <c r="F361" s="52"/>
      <c r="G361" s="103"/>
      <c r="H361" s="1058"/>
      <c r="I361" s="684" t="str">
        <f t="shared" si="40"/>
        <v/>
      </c>
      <c r="J361" s="685">
        <f t="shared" si="41"/>
        <v>0</v>
      </c>
      <c r="K361" s="1258"/>
      <c r="L361" s="1251"/>
      <c r="M361" s="1257"/>
      <c r="N361" s="719" t="str">
        <f t="shared" si="44"/>
        <v/>
      </c>
      <c r="O361" s="720" t="str">
        <f>IF('Set up ~ Config'!$G$32=6,IF(OR($N361=7,$N361=8,$N361=9),1,IF(OR($N361=10,$N361=11,$N361=12),2,IF(OR($N361=1,$N361=2,$N361=3),3,IF(OR($N361=4,$N361=5,$N361=6),4,"")))),IF(OR($N361=9,$N361=10,$N361=11),1,IF(OR($N361=12,$N361=1,$N361=2),2,IF(OR($N361=3,$N361=4,$N361=5),3,IF(OR($N361=6,$N361=7,$N361=8),4,"")))))</f>
        <v/>
      </c>
      <c r="P361" s="99"/>
      <c r="Q361" s="62"/>
      <c r="R361" s="62"/>
      <c r="S361" s="51"/>
      <c r="T361" s="51"/>
      <c r="U361" s="51"/>
      <c r="V361" s="51"/>
      <c r="W361" s="51"/>
      <c r="X361" s="51"/>
      <c r="Y361" s="51"/>
      <c r="Z361" s="51"/>
      <c r="AA361" s="51"/>
      <c r="AB361" s="51"/>
      <c r="AC361" s="51"/>
      <c r="AD361" s="51"/>
      <c r="AE361" s="51"/>
      <c r="AF361" s="51"/>
      <c r="AG361" s="51"/>
      <c r="AH361" s="94"/>
      <c r="AI361" s="94"/>
      <c r="AJ361" s="94"/>
      <c r="AK361" s="94"/>
      <c r="AL361" s="94"/>
      <c r="AM361" s="94"/>
      <c r="AN361" s="94"/>
      <c r="AO361" s="95"/>
      <c r="AP361" s="686">
        <f t="shared" si="45"/>
        <v>0</v>
      </c>
      <c r="AQ361" s="42"/>
      <c r="AR361" s="42"/>
      <c r="AS361" s="42"/>
      <c r="AT361" s="43"/>
      <c r="AU361" s="687">
        <f t="shared" si="46"/>
        <v>0</v>
      </c>
      <c r="AV361" s="42"/>
      <c r="AW361" s="42"/>
      <c r="AX361" s="42"/>
      <c r="AY361" s="43"/>
      <c r="AZ361" s="486"/>
      <c r="BA361" s="51"/>
      <c r="BB361" s="51"/>
      <c r="BC361" s="51"/>
      <c r="BD361" s="51"/>
      <c r="BE361" s="51"/>
      <c r="BF361" s="51"/>
      <c r="BG361" s="51"/>
      <c r="BH361" s="94"/>
      <c r="BI361" s="94"/>
      <c r="BJ361" s="94"/>
      <c r="BK361" s="94"/>
      <c r="BL361" s="94"/>
      <c r="BM361" s="483"/>
      <c r="BN361" s="94"/>
      <c r="BO361" s="94"/>
      <c r="BP361" s="94"/>
      <c r="BQ361" s="94"/>
      <c r="BR361" s="94"/>
      <c r="BS361" s="94"/>
      <c r="BT361" s="94"/>
      <c r="BU361" s="94"/>
      <c r="BV361" s="94"/>
      <c r="BW361" s="688">
        <f t="shared" si="42"/>
        <v>0</v>
      </c>
      <c r="BX361" s="51"/>
      <c r="BY361" s="51"/>
      <c r="BZ361" s="51"/>
      <c r="CA361" s="51"/>
      <c r="CB361" s="51"/>
      <c r="CC361" s="51"/>
      <c r="CD361" s="97"/>
      <c r="CE361" s="479"/>
      <c r="CF361" s="51"/>
      <c r="CG361" s="51"/>
      <c r="CH361" s="62"/>
      <c r="CI361" s="62"/>
      <c r="CJ361" s="51"/>
      <c r="CK361" s="51"/>
      <c r="CL361" s="95"/>
      <c r="CM361" s="93"/>
      <c r="CN361" s="51"/>
      <c r="CO361" s="51"/>
      <c r="CP361" s="51"/>
      <c r="CQ361" s="51"/>
      <c r="CR361" s="51"/>
      <c r="CS361" s="51"/>
      <c r="CT361" s="51"/>
      <c r="CU361" s="95"/>
      <c r="CV361" s="93"/>
      <c r="CW361" s="51"/>
      <c r="CX361" s="51"/>
      <c r="CY361" s="51"/>
      <c r="CZ361" s="51"/>
      <c r="DA361" s="51"/>
      <c r="DB361" s="51"/>
      <c r="DC361" s="51"/>
      <c r="DD361" s="95"/>
      <c r="DE361" s="93"/>
      <c r="DF361" s="51"/>
      <c r="DG361" s="51"/>
      <c r="DH361" s="51"/>
      <c r="DI361" s="51"/>
      <c r="DJ361" s="51"/>
      <c r="DK361" s="51"/>
      <c r="DL361" s="95"/>
      <c r="DM361" s="478"/>
      <c r="DN361" s="682">
        <f t="shared" si="47"/>
        <v>0</v>
      </c>
      <c r="DO361" s="683"/>
    </row>
    <row r="362" spans="1:119" ht="25.5" customHeight="1" thickTop="1" thickBot="1" x14ac:dyDescent="0.2">
      <c r="A362" s="676">
        <f t="shared" si="43"/>
        <v>347</v>
      </c>
      <c r="B362" s="1054"/>
      <c r="C362" s="1055"/>
      <c r="D362" s="83"/>
      <c r="E362" s="954"/>
      <c r="F362" s="52"/>
      <c r="G362" s="103"/>
      <c r="H362" s="1058"/>
      <c r="I362" s="684" t="str">
        <f t="shared" si="40"/>
        <v/>
      </c>
      <c r="J362" s="685">
        <f t="shared" si="41"/>
        <v>0</v>
      </c>
      <c r="K362" s="1258"/>
      <c r="L362" s="1251"/>
      <c r="M362" s="1257"/>
      <c r="N362" s="719" t="str">
        <f t="shared" si="44"/>
        <v/>
      </c>
      <c r="O362" s="720" t="str">
        <f>IF('Set up ~ Config'!$G$32=6,IF(OR($N362=7,$N362=8,$N362=9),1,IF(OR($N362=10,$N362=11,$N362=12),2,IF(OR($N362=1,$N362=2,$N362=3),3,IF(OR($N362=4,$N362=5,$N362=6),4,"")))),IF(OR($N362=9,$N362=10,$N362=11),1,IF(OR($N362=12,$N362=1,$N362=2),2,IF(OR($N362=3,$N362=4,$N362=5),3,IF(OR($N362=6,$N362=7,$N362=8),4,"")))))</f>
        <v/>
      </c>
      <c r="P362" s="99"/>
      <c r="Q362" s="62"/>
      <c r="R362" s="62"/>
      <c r="S362" s="51"/>
      <c r="T362" s="51"/>
      <c r="U362" s="51"/>
      <c r="V362" s="51"/>
      <c r="W362" s="51"/>
      <c r="X362" s="51"/>
      <c r="Y362" s="51"/>
      <c r="Z362" s="51"/>
      <c r="AA362" s="51"/>
      <c r="AB362" s="51"/>
      <c r="AC362" s="51"/>
      <c r="AD362" s="51"/>
      <c r="AE362" s="51"/>
      <c r="AF362" s="51"/>
      <c r="AG362" s="51"/>
      <c r="AH362" s="94"/>
      <c r="AI362" s="94"/>
      <c r="AJ362" s="94"/>
      <c r="AK362" s="94"/>
      <c r="AL362" s="94"/>
      <c r="AM362" s="94"/>
      <c r="AN362" s="94"/>
      <c r="AO362" s="95"/>
      <c r="AP362" s="686">
        <f t="shared" si="45"/>
        <v>0</v>
      </c>
      <c r="AQ362" s="42"/>
      <c r="AR362" s="42"/>
      <c r="AS362" s="42"/>
      <c r="AT362" s="43"/>
      <c r="AU362" s="687">
        <f t="shared" si="46"/>
        <v>0</v>
      </c>
      <c r="AV362" s="42"/>
      <c r="AW362" s="42"/>
      <c r="AX362" s="42"/>
      <c r="AY362" s="43"/>
      <c r="AZ362" s="486"/>
      <c r="BA362" s="51"/>
      <c r="BB362" s="51"/>
      <c r="BC362" s="51"/>
      <c r="BD362" s="51"/>
      <c r="BE362" s="51"/>
      <c r="BF362" s="51"/>
      <c r="BG362" s="51"/>
      <c r="BH362" s="94"/>
      <c r="BI362" s="94"/>
      <c r="BJ362" s="94"/>
      <c r="BK362" s="94"/>
      <c r="BL362" s="94"/>
      <c r="BM362" s="483"/>
      <c r="BN362" s="94"/>
      <c r="BO362" s="94"/>
      <c r="BP362" s="94"/>
      <c r="BQ362" s="94"/>
      <c r="BR362" s="94"/>
      <c r="BS362" s="94"/>
      <c r="BT362" s="94"/>
      <c r="BU362" s="94"/>
      <c r="BV362" s="94"/>
      <c r="BW362" s="688">
        <f t="shared" si="42"/>
        <v>0</v>
      </c>
      <c r="BX362" s="51"/>
      <c r="BY362" s="51"/>
      <c r="BZ362" s="51"/>
      <c r="CA362" s="51"/>
      <c r="CB362" s="51"/>
      <c r="CC362" s="51"/>
      <c r="CD362" s="97"/>
      <c r="CE362" s="479"/>
      <c r="CF362" s="51"/>
      <c r="CG362" s="51"/>
      <c r="CH362" s="62"/>
      <c r="CI362" s="62"/>
      <c r="CJ362" s="51"/>
      <c r="CK362" s="51"/>
      <c r="CL362" s="95"/>
      <c r="CM362" s="93"/>
      <c r="CN362" s="51"/>
      <c r="CO362" s="51"/>
      <c r="CP362" s="51"/>
      <c r="CQ362" s="51"/>
      <c r="CR362" s="51"/>
      <c r="CS362" s="51"/>
      <c r="CT362" s="51"/>
      <c r="CU362" s="95"/>
      <c r="CV362" s="93"/>
      <c r="CW362" s="51"/>
      <c r="CX362" s="51"/>
      <c r="CY362" s="51"/>
      <c r="CZ362" s="51"/>
      <c r="DA362" s="51"/>
      <c r="DB362" s="51"/>
      <c r="DC362" s="51"/>
      <c r="DD362" s="95"/>
      <c r="DE362" s="93"/>
      <c r="DF362" s="51"/>
      <c r="DG362" s="51"/>
      <c r="DH362" s="51"/>
      <c r="DI362" s="51"/>
      <c r="DJ362" s="51"/>
      <c r="DK362" s="51"/>
      <c r="DL362" s="95"/>
      <c r="DM362" s="478"/>
      <c r="DN362" s="682">
        <f t="shared" si="47"/>
        <v>0</v>
      </c>
      <c r="DO362" s="683"/>
    </row>
    <row r="363" spans="1:119" ht="25.5" customHeight="1" thickTop="1" thickBot="1" x14ac:dyDescent="0.2">
      <c r="A363" s="676">
        <f t="shared" si="43"/>
        <v>348</v>
      </c>
      <c r="B363" s="1054"/>
      <c r="C363" s="1055"/>
      <c r="D363" s="83"/>
      <c r="E363" s="954"/>
      <c r="F363" s="52"/>
      <c r="G363" s="103"/>
      <c r="H363" s="1058"/>
      <c r="I363" s="684" t="str">
        <f t="shared" si="40"/>
        <v/>
      </c>
      <c r="J363" s="685">
        <f t="shared" si="41"/>
        <v>0</v>
      </c>
      <c r="K363" s="1258"/>
      <c r="L363" s="1251"/>
      <c r="M363" s="1257"/>
      <c r="N363" s="719" t="str">
        <f t="shared" si="44"/>
        <v/>
      </c>
      <c r="O363" s="720" t="str">
        <f>IF('Set up ~ Config'!$G$32=6,IF(OR($N363=7,$N363=8,$N363=9),1,IF(OR($N363=10,$N363=11,$N363=12),2,IF(OR($N363=1,$N363=2,$N363=3),3,IF(OR($N363=4,$N363=5,$N363=6),4,"")))),IF(OR($N363=9,$N363=10,$N363=11),1,IF(OR($N363=12,$N363=1,$N363=2),2,IF(OR($N363=3,$N363=4,$N363=5),3,IF(OR($N363=6,$N363=7,$N363=8),4,"")))))</f>
        <v/>
      </c>
      <c r="P363" s="99"/>
      <c r="Q363" s="62"/>
      <c r="R363" s="62"/>
      <c r="S363" s="51"/>
      <c r="T363" s="51"/>
      <c r="U363" s="51"/>
      <c r="V363" s="51"/>
      <c r="W363" s="51"/>
      <c r="X363" s="51"/>
      <c r="Y363" s="51"/>
      <c r="Z363" s="51"/>
      <c r="AA363" s="51"/>
      <c r="AB363" s="51"/>
      <c r="AC363" s="51"/>
      <c r="AD363" s="51"/>
      <c r="AE363" s="51"/>
      <c r="AF363" s="51"/>
      <c r="AG363" s="51"/>
      <c r="AH363" s="94"/>
      <c r="AI363" s="94"/>
      <c r="AJ363" s="94"/>
      <c r="AK363" s="94"/>
      <c r="AL363" s="94"/>
      <c r="AM363" s="94"/>
      <c r="AN363" s="94"/>
      <c r="AO363" s="95"/>
      <c r="AP363" s="686">
        <f t="shared" si="45"/>
        <v>0</v>
      </c>
      <c r="AQ363" s="42"/>
      <c r="AR363" s="42"/>
      <c r="AS363" s="42"/>
      <c r="AT363" s="43"/>
      <c r="AU363" s="687">
        <f t="shared" si="46"/>
        <v>0</v>
      </c>
      <c r="AV363" s="42"/>
      <c r="AW363" s="42"/>
      <c r="AX363" s="42"/>
      <c r="AY363" s="43"/>
      <c r="AZ363" s="486"/>
      <c r="BA363" s="51"/>
      <c r="BB363" s="51"/>
      <c r="BC363" s="51"/>
      <c r="BD363" s="51"/>
      <c r="BE363" s="51"/>
      <c r="BF363" s="51"/>
      <c r="BG363" s="51"/>
      <c r="BH363" s="94"/>
      <c r="BI363" s="94"/>
      <c r="BJ363" s="94"/>
      <c r="BK363" s="94"/>
      <c r="BL363" s="94"/>
      <c r="BM363" s="483"/>
      <c r="BN363" s="94"/>
      <c r="BO363" s="94"/>
      <c r="BP363" s="94"/>
      <c r="BQ363" s="94"/>
      <c r="BR363" s="94"/>
      <c r="BS363" s="94"/>
      <c r="BT363" s="94"/>
      <c r="BU363" s="94"/>
      <c r="BV363" s="94"/>
      <c r="BW363" s="688">
        <f t="shared" si="42"/>
        <v>0</v>
      </c>
      <c r="BX363" s="51"/>
      <c r="BY363" s="51"/>
      <c r="BZ363" s="51"/>
      <c r="CA363" s="51"/>
      <c r="CB363" s="51"/>
      <c r="CC363" s="51"/>
      <c r="CD363" s="97"/>
      <c r="CE363" s="479"/>
      <c r="CF363" s="51"/>
      <c r="CG363" s="51"/>
      <c r="CH363" s="62"/>
      <c r="CI363" s="62"/>
      <c r="CJ363" s="51"/>
      <c r="CK363" s="51"/>
      <c r="CL363" s="95"/>
      <c r="CM363" s="93"/>
      <c r="CN363" s="51"/>
      <c r="CO363" s="51"/>
      <c r="CP363" s="51"/>
      <c r="CQ363" s="51"/>
      <c r="CR363" s="51"/>
      <c r="CS363" s="51"/>
      <c r="CT363" s="51"/>
      <c r="CU363" s="95"/>
      <c r="CV363" s="93"/>
      <c r="CW363" s="51"/>
      <c r="CX363" s="51"/>
      <c r="CY363" s="51"/>
      <c r="CZ363" s="51"/>
      <c r="DA363" s="51"/>
      <c r="DB363" s="51"/>
      <c r="DC363" s="51"/>
      <c r="DD363" s="95"/>
      <c r="DE363" s="93"/>
      <c r="DF363" s="51"/>
      <c r="DG363" s="51"/>
      <c r="DH363" s="51"/>
      <c r="DI363" s="51"/>
      <c r="DJ363" s="51"/>
      <c r="DK363" s="51"/>
      <c r="DL363" s="95"/>
      <c r="DM363" s="478"/>
      <c r="DN363" s="682">
        <f t="shared" si="47"/>
        <v>0</v>
      </c>
      <c r="DO363" s="683"/>
    </row>
    <row r="364" spans="1:119" ht="25.5" customHeight="1" thickTop="1" thickBot="1" x14ac:dyDescent="0.2">
      <c r="A364" s="676">
        <f t="shared" si="43"/>
        <v>349</v>
      </c>
      <c r="B364" s="1054"/>
      <c r="C364" s="1055"/>
      <c r="D364" s="83"/>
      <c r="E364" s="954"/>
      <c r="F364" s="52"/>
      <c r="G364" s="103"/>
      <c r="H364" s="1058"/>
      <c r="I364" s="684" t="str">
        <f t="shared" si="40"/>
        <v/>
      </c>
      <c r="J364" s="685">
        <f t="shared" si="41"/>
        <v>0</v>
      </c>
      <c r="K364" s="1258"/>
      <c r="L364" s="1251"/>
      <c r="M364" s="1257"/>
      <c r="N364" s="719" t="str">
        <f t="shared" si="44"/>
        <v/>
      </c>
      <c r="O364" s="720" t="str">
        <f>IF('Set up ~ Config'!$G$32=6,IF(OR($N364=7,$N364=8,$N364=9),1,IF(OR($N364=10,$N364=11,$N364=12),2,IF(OR($N364=1,$N364=2,$N364=3),3,IF(OR($N364=4,$N364=5,$N364=6),4,"")))),IF(OR($N364=9,$N364=10,$N364=11),1,IF(OR($N364=12,$N364=1,$N364=2),2,IF(OR($N364=3,$N364=4,$N364=5),3,IF(OR($N364=6,$N364=7,$N364=8),4,"")))))</f>
        <v/>
      </c>
      <c r="P364" s="99"/>
      <c r="Q364" s="62"/>
      <c r="R364" s="62"/>
      <c r="S364" s="51"/>
      <c r="T364" s="51"/>
      <c r="U364" s="51"/>
      <c r="V364" s="51"/>
      <c r="W364" s="51"/>
      <c r="X364" s="51"/>
      <c r="Y364" s="51"/>
      <c r="Z364" s="51"/>
      <c r="AA364" s="51"/>
      <c r="AB364" s="51"/>
      <c r="AC364" s="51"/>
      <c r="AD364" s="51"/>
      <c r="AE364" s="51"/>
      <c r="AF364" s="51"/>
      <c r="AG364" s="51"/>
      <c r="AH364" s="94"/>
      <c r="AI364" s="94"/>
      <c r="AJ364" s="94"/>
      <c r="AK364" s="94"/>
      <c r="AL364" s="94"/>
      <c r="AM364" s="94"/>
      <c r="AN364" s="94"/>
      <c r="AO364" s="95"/>
      <c r="AP364" s="686">
        <f t="shared" si="45"/>
        <v>0</v>
      </c>
      <c r="AQ364" s="42"/>
      <c r="AR364" s="42"/>
      <c r="AS364" s="42"/>
      <c r="AT364" s="43"/>
      <c r="AU364" s="687">
        <f t="shared" si="46"/>
        <v>0</v>
      </c>
      <c r="AV364" s="42"/>
      <c r="AW364" s="42"/>
      <c r="AX364" s="42"/>
      <c r="AY364" s="43"/>
      <c r="AZ364" s="486"/>
      <c r="BA364" s="51"/>
      <c r="BB364" s="51"/>
      <c r="BC364" s="51"/>
      <c r="BD364" s="51"/>
      <c r="BE364" s="51"/>
      <c r="BF364" s="51"/>
      <c r="BG364" s="51"/>
      <c r="BH364" s="94"/>
      <c r="BI364" s="94"/>
      <c r="BJ364" s="94"/>
      <c r="BK364" s="94"/>
      <c r="BL364" s="94"/>
      <c r="BM364" s="483"/>
      <c r="BN364" s="94"/>
      <c r="BO364" s="94"/>
      <c r="BP364" s="94"/>
      <c r="BQ364" s="94"/>
      <c r="BR364" s="94"/>
      <c r="BS364" s="94"/>
      <c r="BT364" s="94"/>
      <c r="BU364" s="94"/>
      <c r="BV364" s="94"/>
      <c r="BW364" s="688">
        <f t="shared" si="42"/>
        <v>0</v>
      </c>
      <c r="BX364" s="51"/>
      <c r="BY364" s="51"/>
      <c r="BZ364" s="51"/>
      <c r="CA364" s="51"/>
      <c r="CB364" s="51"/>
      <c r="CC364" s="51"/>
      <c r="CD364" s="97"/>
      <c r="CE364" s="479"/>
      <c r="CF364" s="51"/>
      <c r="CG364" s="51"/>
      <c r="CH364" s="62"/>
      <c r="CI364" s="62"/>
      <c r="CJ364" s="51"/>
      <c r="CK364" s="51"/>
      <c r="CL364" s="95"/>
      <c r="CM364" s="93"/>
      <c r="CN364" s="51"/>
      <c r="CO364" s="51"/>
      <c r="CP364" s="51"/>
      <c r="CQ364" s="51"/>
      <c r="CR364" s="51"/>
      <c r="CS364" s="51"/>
      <c r="CT364" s="51"/>
      <c r="CU364" s="95"/>
      <c r="CV364" s="93"/>
      <c r="CW364" s="51"/>
      <c r="CX364" s="51"/>
      <c r="CY364" s="51"/>
      <c r="CZ364" s="51"/>
      <c r="DA364" s="51"/>
      <c r="DB364" s="51"/>
      <c r="DC364" s="51"/>
      <c r="DD364" s="95"/>
      <c r="DE364" s="93"/>
      <c r="DF364" s="51"/>
      <c r="DG364" s="51"/>
      <c r="DH364" s="51"/>
      <c r="DI364" s="51"/>
      <c r="DJ364" s="51"/>
      <c r="DK364" s="51"/>
      <c r="DL364" s="95"/>
      <c r="DM364" s="478"/>
      <c r="DN364" s="682">
        <f t="shared" si="47"/>
        <v>0</v>
      </c>
      <c r="DO364" s="683"/>
    </row>
    <row r="365" spans="1:119" ht="25.5" customHeight="1" thickTop="1" thickBot="1" x14ac:dyDescent="0.2">
      <c r="A365" s="676">
        <f t="shared" si="43"/>
        <v>350</v>
      </c>
      <c r="B365" s="1054"/>
      <c r="C365" s="1055"/>
      <c r="D365" s="83"/>
      <c r="E365" s="954"/>
      <c r="F365" s="52"/>
      <c r="G365" s="103"/>
      <c r="H365" s="1058"/>
      <c r="I365" s="684" t="str">
        <f t="shared" si="40"/>
        <v/>
      </c>
      <c r="J365" s="685">
        <f t="shared" si="41"/>
        <v>0</v>
      </c>
      <c r="K365" s="1258"/>
      <c r="L365" s="1251"/>
      <c r="M365" s="1257"/>
      <c r="N365" s="719" t="str">
        <f t="shared" si="44"/>
        <v/>
      </c>
      <c r="O365" s="720" t="str">
        <f>IF('Set up ~ Config'!$G$32=6,IF(OR($N365=7,$N365=8,$N365=9),1,IF(OR($N365=10,$N365=11,$N365=12),2,IF(OR($N365=1,$N365=2,$N365=3),3,IF(OR($N365=4,$N365=5,$N365=6),4,"")))),IF(OR($N365=9,$N365=10,$N365=11),1,IF(OR($N365=12,$N365=1,$N365=2),2,IF(OR($N365=3,$N365=4,$N365=5),3,IF(OR($N365=6,$N365=7,$N365=8),4,"")))))</f>
        <v/>
      </c>
      <c r="P365" s="99"/>
      <c r="Q365" s="62"/>
      <c r="R365" s="62"/>
      <c r="S365" s="51"/>
      <c r="T365" s="51"/>
      <c r="U365" s="51"/>
      <c r="V365" s="51"/>
      <c r="W365" s="51"/>
      <c r="X365" s="51"/>
      <c r="Y365" s="51"/>
      <c r="Z365" s="51"/>
      <c r="AA365" s="51"/>
      <c r="AB365" s="51"/>
      <c r="AC365" s="51"/>
      <c r="AD365" s="51"/>
      <c r="AE365" s="51"/>
      <c r="AF365" s="51"/>
      <c r="AG365" s="51"/>
      <c r="AH365" s="94"/>
      <c r="AI365" s="94"/>
      <c r="AJ365" s="94"/>
      <c r="AK365" s="94"/>
      <c r="AL365" s="94"/>
      <c r="AM365" s="94"/>
      <c r="AN365" s="94"/>
      <c r="AO365" s="95"/>
      <c r="AP365" s="686">
        <f t="shared" si="45"/>
        <v>0</v>
      </c>
      <c r="AQ365" s="42"/>
      <c r="AR365" s="42"/>
      <c r="AS365" s="42"/>
      <c r="AT365" s="43"/>
      <c r="AU365" s="687">
        <f t="shared" si="46"/>
        <v>0</v>
      </c>
      <c r="AV365" s="42"/>
      <c r="AW365" s="42"/>
      <c r="AX365" s="42"/>
      <c r="AY365" s="43"/>
      <c r="AZ365" s="486"/>
      <c r="BA365" s="51"/>
      <c r="BB365" s="51"/>
      <c r="BC365" s="51"/>
      <c r="BD365" s="51"/>
      <c r="BE365" s="51"/>
      <c r="BF365" s="51"/>
      <c r="BG365" s="51"/>
      <c r="BH365" s="94"/>
      <c r="BI365" s="94"/>
      <c r="BJ365" s="94"/>
      <c r="BK365" s="94"/>
      <c r="BL365" s="94"/>
      <c r="BM365" s="483"/>
      <c r="BN365" s="94"/>
      <c r="BO365" s="94"/>
      <c r="BP365" s="94"/>
      <c r="BQ365" s="94"/>
      <c r="BR365" s="94"/>
      <c r="BS365" s="94"/>
      <c r="BT365" s="94"/>
      <c r="BU365" s="94"/>
      <c r="BV365" s="94"/>
      <c r="BW365" s="688">
        <f t="shared" si="42"/>
        <v>0</v>
      </c>
      <c r="BX365" s="51"/>
      <c r="BY365" s="51"/>
      <c r="BZ365" s="51"/>
      <c r="CA365" s="51"/>
      <c r="CB365" s="51"/>
      <c r="CC365" s="51"/>
      <c r="CD365" s="97"/>
      <c r="CE365" s="479"/>
      <c r="CF365" s="51"/>
      <c r="CG365" s="51"/>
      <c r="CH365" s="62"/>
      <c r="CI365" s="62"/>
      <c r="CJ365" s="51"/>
      <c r="CK365" s="51"/>
      <c r="CL365" s="95"/>
      <c r="CM365" s="93"/>
      <c r="CN365" s="51"/>
      <c r="CO365" s="51"/>
      <c r="CP365" s="51"/>
      <c r="CQ365" s="51"/>
      <c r="CR365" s="51"/>
      <c r="CS365" s="51"/>
      <c r="CT365" s="51"/>
      <c r="CU365" s="95"/>
      <c r="CV365" s="93"/>
      <c r="CW365" s="51"/>
      <c r="CX365" s="51"/>
      <c r="CY365" s="51"/>
      <c r="CZ365" s="51"/>
      <c r="DA365" s="51"/>
      <c r="DB365" s="51"/>
      <c r="DC365" s="51"/>
      <c r="DD365" s="95"/>
      <c r="DE365" s="93"/>
      <c r="DF365" s="51"/>
      <c r="DG365" s="51"/>
      <c r="DH365" s="51"/>
      <c r="DI365" s="51"/>
      <c r="DJ365" s="51"/>
      <c r="DK365" s="51"/>
      <c r="DL365" s="95"/>
      <c r="DM365" s="478"/>
      <c r="DN365" s="682">
        <f t="shared" si="47"/>
        <v>0</v>
      </c>
      <c r="DO365" s="683"/>
    </row>
    <row r="366" spans="1:119" ht="25.5" customHeight="1" thickTop="1" thickBot="1" x14ac:dyDescent="0.2">
      <c r="A366" s="676">
        <f t="shared" si="43"/>
        <v>351</v>
      </c>
      <c r="B366" s="1054"/>
      <c r="C366" s="1055"/>
      <c r="D366" s="83"/>
      <c r="E366" s="954"/>
      <c r="F366" s="52"/>
      <c r="G366" s="103"/>
      <c r="H366" s="1058"/>
      <c r="I366" s="684" t="str">
        <f t="shared" si="40"/>
        <v/>
      </c>
      <c r="J366" s="685">
        <f t="shared" si="41"/>
        <v>0</v>
      </c>
      <c r="K366" s="1258"/>
      <c r="L366" s="1251"/>
      <c r="M366" s="1257"/>
      <c r="N366" s="719" t="str">
        <f t="shared" si="44"/>
        <v/>
      </c>
      <c r="O366" s="720" t="str">
        <f>IF('Set up ~ Config'!$G$32=6,IF(OR($N366=7,$N366=8,$N366=9),1,IF(OR($N366=10,$N366=11,$N366=12),2,IF(OR($N366=1,$N366=2,$N366=3),3,IF(OR($N366=4,$N366=5,$N366=6),4,"")))),IF(OR($N366=9,$N366=10,$N366=11),1,IF(OR($N366=12,$N366=1,$N366=2),2,IF(OR($N366=3,$N366=4,$N366=5),3,IF(OR($N366=6,$N366=7,$N366=8),4,"")))))</f>
        <v/>
      </c>
      <c r="P366" s="99"/>
      <c r="Q366" s="62"/>
      <c r="R366" s="62"/>
      <c r="S366" s="51"/>
      <c r="T366" s="51"/>
      <c r="U366" s="51"/>
      <c r="V366" s="51"/>
      <c r="W366" s="51"/>
      <c r="X366" s="51"/>
      <c r="Y366" s="51"/>
      <c r="Z366" s="51"/>
      <c r="AA366" s="51"/>
      <c r="AB366" s="51"/>
      <c r="AC366" s="51"/>
      <c r="AD366" s="51"/>
      <c r="AE366" s="51"/>
      <c r="AF366" s="51"/>
      <c r="AG366" s="51"/>
      <c r="AH366" s="94"/>
      <c r="AI366" s="94"/>
      <c r="AJ366" s="94"/>
      <c r="AK366" s="94"/>
      <c r="AL366" s="94"/>
      <c r="AM366" s="94"/>
      <c r="AN366" s="94"/>
      <c r="AO366" s="95"/>
      <c r="AP366" s="686">
        <f t="shared" si="45"/>
        <v>0</v>
      </c>
      <c r="AQ366" s="42"/>
      <c r="AR366" s="42"/>
      <c r="AS366" s="42"/>
      <c r="AT366" s="43"/>
      <c r="AU366" s="687">
        <f t="shared" si="46"/>
        <v>0</v>
      </c>
      <c r="AV366" s="42"/>
      <c r="AW366" s="42"/>
      <c r="AX366" s="42"/>
      <c r="AY366" s="43"/>
      <c r="AZ366" s="486"/>
      <c r="BA366" s="51"/>
      <c r="BB366" s="51"/>
      <c r="BC366" s="51"/>
      <c r="BD366" s="51"/>
      <c r="BE366" s="51"/>
      <c r="BF366" s="51"/>
      <c r="BG366" s="51"/>
      <c r="BH366" s="94"/>
      <c r="BI366" s="94"/>
      <c r="BJ366" s="94"/>
      <c r="BK366" s="94"/>
      <c r="BL366" s="94"/>
      <c r="BM366" s="483"/>
      <c r="BN366" s="94"/>
      <c r="BO366" s="94"/>
      <c r="BP366" s="94"/>
      <c r="BQ366" s="94"/>
      <c r="BR366" s="94"/>
      <c r="BS366" s="94"/>
      <c r="BT366" s="94"/>
      <c r="BU366" s="94"/>
      <c r="BV366" s="94"/>
      <c r="BW366" s="688">
        <f t="shared" si="42"/>
        <v>0</v>
      </c>
      <c r="BX366" s="51"/>
      <c r="BY366" s="51"/>
      <c r="BZ366" s="51"/>
      <c r="CA366" s="51"/>
      <c r="CB366" s="51"/>
      <c r="CC366" s="51"/>
      <c r="CD366" s="97"/>
      <c r="CE366" s="479"/>
      <c r="CF366" s="51"/>
      <c r="CG366" s="51"/>
      <c r="CH366" s="62"/>
      <c r="CI366" s="62"/>
      <c r="CJ366" s="51"/>
      <c r="CK366" s="51"/>
      <c r="CL366" s="95"/>
      <c r="CM366" s="93"/>
      <c r="CN366" s="51"/>
      <c r="CO366" s="51"/>
      <c r="CP366" s="51"/>
      <c r="CQ366" s="51"/>
      <c r="CR366" s="51"/>
      <c r="CS366" s="51"/>
      <c r="CT366" s="51"/>
      <c r="CU366" s="95"/>
      <c r="CV366" s="93"/>
      <c r="CW366" s="51"/>
      <c r="CX366" s="51"/>
      <c r="CY366" s="51"/>
      <c r="CZ366" s="51"/>
      <c r="DA366" s="51"/>
      <c r="DB366" s="51"/>
      <c r="DC366" s="51"/>
      <c r="DD366" s="95"/>
      <c r="DE366" s="93"/>
      <c r="DF366" s="51"/>
      <c r="DG366" s="51"/>
      <c r="DH366" s="51"/>
      <c r="DI366" s="51"/>
      <c r="DJ366" s="51"/>
      <c r="DK366" s="51"/>
      <c r="DL366" s="95"/>
      <c r="DM366" s="478"/>
      <c r="DN366" s="682">
        <f t="shared" si="47"/>
        <v>0</v>
      </c>
      <c r="DO366" s="683"/>
    </row>
    <row r="367" spans="1:119" ht="25.5" customHeight="1" thickTop="1" thickBot="1" x14ac:dyDescent="0.2">
      <c r="A367" s="676">
        <f t="shared" si="43"/>
        <v>352</v>
      </c>
      <c r="B367" s="1054"/>
      <c r="C367" s="1055"/>
      <c r="D367" s="83"/>
      <c r="E367" s="954"/>
      <c r="F367" s="52"/>
      <c r="G367" s="103"/>
      <c r="H367" s="1058"/>
      <c r="I367" s="684" t="str">
        <f t="shared" si="40"/>
        <v/>
      </c>
      <c r="J367" s="685">
        <f t="shared" si="41"/>
        <v>0</v>
      </c>
      <c r="K367" s="1258"/>
      <c r="L367" s="1251"/>
      <c r="M367" s="1257"/>
      <c r="N367" s="719" t="str">
        <f t="shared" si="44"/>
        <v/>
      </c>
      <c r="O367" s="720" t="str">
        <f>IF('Set up ~ Config'!$G$32=6,IF(OR($N367=7,$N367=8,$N367=9),1,IF(OR($N367=10,$N367=11,$N367=12),2,IF(OR($N367=1,$N367=2,$N367=3),3,IF(OR($N367=4,$N367=5,$N367=6),4,"")))),IF(OR($N367=9,$N367=10,$N367=11),1,IF(OR($N367=12,$N367=1,$N367=2),2,IF(OR($N367=3,$N367=4,$N367=5),3,IF(OR($N367=6,$N367=7,$N367=8),4,"")))))</f>
        <v/>
      </c>
      <c r="P367" s="99"/>
      <c r="Q367" s="62"/>
      <c r="R367" s="62"/>
      <c r="S367" s="51"/>
      <c r="T367" s="51"/>
      <c r="U367" s="51"/>
      <c r="V367" s="51"/>
      <c r="W367" s="51"/>
      <c r="X367" s="51"/>
      <c r="Y367" s="51"/>
      <c r="Z367" s="51"/>
      <c r="AA367" s="51"/>
      <c r="AB367" s="51"/>
      <c r="AC367" s="51"/>
      <c r="AD367" s="51"/>
      <c r="AE367" s="51"/>
      <c r="AF367" s="51"/>
      <c r="AG367" s="51"/>
      <c r="AH367" s="94"/>
      <c r="AI367" s="94"/>
      <c r="AJ367" s="94"/>
      <c r="AK367" s="94"/>
      <c r="AL367" s="94"/>
      <c r="AM367" s="94"/>
      <c r="AN367" s="94"/>
      <c r="AO367" s="95"/>
      <c r="AP367" s="686">
        <f t="shared" si="45"/>
        <v>0</v>
      </c>
      <c r="AQ367" s="42"/>
      <c r="AR367" s="42"/>
      <c r="AS367" s="42"/>
      <c r="AT367" s="43"/>
      <c r="AU367" s="687">
        <f t="shared" si="46"/>
        <v>0</v>
      </c>
      <c r="AV367" s="42"/>
      <c r="AW367" s="42"/>
      <c r="AX367" s="42"/>
      <c r="AY367" s="43"/>
      <c r="AZ367" s="486"/>
      <c r="BA367" s="51"/>
      <c r="BB367" s="51"/>
      <c r="BC367" s="51"/>
      <c r="BD367" s="51"/>
      <c r="BE367" s="51"/>
      <c r="BF367" s="51"/>
      <c r="BG367" s="51"/>
      <c r="BH367" s="94"/>
      <c r="BI367" s="94"/>
      <c r="BJ367" s="94"/>
      <c r="BK367" s="94"/>
      <c r="BL367" s="94"/>
      <c r="BM367" s="483"/>
      <c r="BN367" s="94"/>
      <c r="BO367" s="94"/>
      <c r="BP367" s="94"/>
      <c r="BQ367" s="94"/>
      <c r="BR367" s="94"/>
      <c r="BS367" s="94"/>
      <c r="BT367" s="94"/>
      <c r="BU367" s="94"/>
      <c r="BV367" s="94"/>
      <c r="BW367" s="688">
        <f t="shared" si="42"/>
        <v>0</v>
      </c>
      <c r="BX367" s="51"/>
      <c r="BY367" s="51"/>
      <c r="BZ367" s="51"/>
      <c r="CA367" s="51"/>
      <c r="CB367" s="51"/>
      <c r="CC367" s="51"/>
      <c r="CD367" s="97"/>
      <c r="CE367" s="479"/>
      <c r="CF367" s="51"/>
      <c r="CG367" s="51"/>
      <c r="CH367" s="62"/>
      <c r="CI367" s="62"/>
      <c r="CJ367" s="51"/>
      <c r="CK367" s="51"/>
      <c r="CL367" s="95"/>
      <c r="CM367" s="93"/>
      <c r="CN367" s="51"/>
      <c r="CO367" s="51"/>
      <c r="CP367" s="51"/>
      <c r="CQ367" s="51"/>
      <c r="CR367" s="51"/>
      <c r="CS367" s="51"/>
      <c r="CT367" s="51"/>
      <c r="CU367" s="95"/>
      <c r="CV367" s="93"/>
      <c r="CW367" s="51"/>
      <c r="CX367" s="51"/>
      <c r="CY367" s="51"/>
      <c r="CZ367" s="51"/>
      <c r="DA367" s="51"/>
      <c r="DB367" s="51"/>
      <c r="DC367" s="51"/>
      <c r="DD367" s="95"/>
      <c r="DE367" s="93"/>
      <c r="DF367" s="51"/>
      <c r="DG367" s="51"/>
      <c r="DH367" s="51"/>
      <c r="DI367" s="51"/>
      <c r="DJ367" s="51"/>
      <c r="DK367" s="51"/>
      <c r="DL367" s="95"/>
      <c r="DM367" s="478"/>
      <c r="DN367" s="682">
        <f t="shared" si="47"/>
        <v>0</v>
      </c>
      <c r="DO367" s="683"/>
    </row>
    <row r="368" spans="1:119" ht="25.5" customHeight="1" thickTop="1" thickBot="1" x14ac:dyDescent="0.2">
      <c r="A368" s="676">
        <f t="shared" si="43"/>
        <v>353</v>
      </c>
      <c r="B368" s="1054"/>
      <c r="C368" s="1055"/>
      <c r="D368" s="83"/>
      <c r="E368" s="954"/>
      <c r="F368" s="52"/>
      <c r="G368" s="103"/>
      <c r="H368" s="1058"/>
      <c r="I368" s="684" t="str">
        <f t="shared" si="40"/>
        <v/>
      </c>
      <c r="J368" s="685">
        <f t="shared" si="41"/>
        <v>0</v>
      </c>
      <c r="K368" s="1258"/>
      <c r="L368" s="1251"/>
      <c r="M368" s="1257"/>
      <c r="N368" s="719" t="str">
        <f t="shared" si="44"/>
        <v/>
      </c>
      <c r="O368" s="720" t="str">
        <f>IF('Set up ~ Config'!$G$32=6,IF(OR($N368=7,$N368=8,$N368=9),1,IF(OR($N368=10,$N368=11,$N368=12),2,IF(OR($N368=1,$N368=2,$N368=3),3,IF(OR($N368=4,$N368=5,$N368=6),4,"")))),IF(OR($N368=9,$N368=10,$N368=11),1,IF(OR($N368=12,$N368=1,$N368=2),2,IF(OR($N368=3,$N368=4,$N368=5),3,IF(OR($N368=6,$N368=7,$N368=8),4,"")))))</f>
        <v/>
      </c>
      <c r="P368" s="99"/>
      <c r="Q368" s="62"/>
      <c r="R368" s="62"/>
      <c r="S368" s="51"/>
      <c r="T368" s="51"/>
      <c r="U368" s="51"/>
      <c r="V368" s="51"/>
      <c r="W368" s="51"/>
      <c r="X368" s="51"/>
      <c r="Y368" s="51"/>
      <c r="Z368" s="51"/>
      <c r="AA368" s="51"/>
      <c r="AB368" s="51"/>
      <c r="AC368" s="51"/>
      <c r="AD368" s="51"/>
      <c r="AE368" s="51"/>
      <c r="AF368" s="51"/>
      <c r="AG368" s="51"/>
      <c r="AH368" s="94"/>
      <c r="AI368" s="94"/>
      <c r="AJ368" s="94"/>
      <c r="AK368" s="94"/>
      <c r="AL368" s="94"/>
      <c r="AM368" s="94"/>
      <c r="AN368" s="94"/>
      <c r="AO368" s="95"/>
      <c r="AP368" s="686">
        <f t="shared" si="45"/>
        <v>0</v>
      </c>
      <c r="AQ368" s="42"/>
      <c r="AR368" s="42"/>
      <c r="AS368" s="42"/>
      <c r="AT368" s="43"/>
      <c r="AU368" s="687">
        <f t="shared" si="46"/>
        <v>0</v>
      </c>
      <c r="AV368" s="42"/>
      <c r="AW368" s="42"/>
      <c r="AX368" s="42"/>
      <c r="AY368" s="43"/>
      <c r="AZ368" s="486"/>
      <c r="BA368" s="51"/>
      <c r="BB368" s="51"/>
      <c r="BC368" s="51"/>
      <c r="BD368" s="51"/>
      <c r="BE368" s="51"/>
      <c r="BF368" s="51"/>
      <c r="BG368" s="51"/>
      <c r="BH368" s="94"/>
      <c r="BI368" s="94"/>
      <c r="BJ368" s="94"/>
      <c r="BK368" s="94"/>
      <c r="BL368" s="94"/>
      <c r="BM368" s="483"/>
      <c r="BN368" s="94"/>
      <c r="BO368" s="94"/>
      <c r="BP368" s="94"/>
      <c r="BQ368" s="94"/>
      <c r="BR368" s="94"/>
      <c r="BS368" s="94"/>
      <c r="BT368" s="94"/>
      <c r="BU368" s="94"/>
      <c r="BV368" s="94"/>
      <c r="BW368" s="688">
        <f t="shared" si="42"/>
        <v>0</v>
      </c>
      <c r="BX368" s="51"/>
      <c r="BY368" s="51"/>
      <c r="BZ368" s="51"/>
      <c r="CA368" s="51"/>
      <c r="CB368" s="51"/>
      <c r="CC368" s="51"/>
      <c r="CD368" s="97"/>
      <c r="CE368" s="479"/>
      <c r="CF368" s="51"/>
      <c r="CG368" s="51"/>
      <c r="CH368" s="62"/>
      <c r="CI368" s="62"/>
      <c r="CJ368" s="51"/>
      <c r="CK368" s="51"/>
      <c r="CL368" s="95"/>
      <c r="CM368" s="93"/>
      <c r="CN368" s="51"/>
      <c r="CO368" s="51"/>
      <c r="CP368" s="51"/>
      <c r="CQ368" s="51"/>
      <c r="CR368" s="51"/>
      <c r="CS368" s="51"/>
      <c r="CT368" s="51"/>
      <c r="CU368" s="95"/>
      <c r="CV368" s="93"/>
      <c r="CW368" s="51"/>
      <c r="CX368" s="51"/>
      <c r="CY368" s="51"/>
      <c r="CZ368" s="51"/>
      <c r="DA368" s="51"/>
      <c r="DB368" s="51"/>
      <c r="DC368" s="51"/>
      <c r="DD368" s="95"/>
      <c r="DE368" s="93"/>
      <c r="DF368" s="51"/>
      <c r="DG368" s="51"/>
      <c r="DH368" s="51"/>
      <c r="DI368" s="51"/>
      <c r="DJ368" s="51"/>
      <c r="DK368" s="51"/>
      <c r="DL368" s="95"/>
      <c r="DM368" s="478"/>
      <c r="DN368" s="682">
        <f t="shared" si="47"/>
        <v>0</v>
      </c>
      <c r="DO368" s="683"/>
    </row>
    <row r="369" spans="1:119" ht="25.5" customHeight="1" thickTop="1" thickBot="1" x14ac:dyDescent="0.2">
      <c r="A369" s="676">
        <f t="shared" si="43"/>
        <v>354</v>
      </c>
      <c r="B369" s="1054"/>
      <c r="C369" s="1055"/>
      <c r="D369" s="83"/>
      <c r="E369" s="954"/>
      <c r="F369" s="52"/>
      <c r="G369" s="103"/>
      <c r="H369" s="1058"/>
      <c r="I369" s="684" t="str">
        <f t="shared" si="40"/>
        <v/>
      </c>
      <c r="J369" s="685">
        <f t="shared" si="41"/>
        <v>0</v>
      </c>
      <c r="K369" s="1258"/>
      <c r="L369" s="1251"/>
      <c r="M369" s="1257"/>
      <c r="N369" s="719" t="str">
        <f t="shared" si="44"/>
        <v/>
      </c>
      <c r="O369" s="720" t="str">
        <f>IF('Set up ~ Config'!$G$32=6,IF(OR($N369=7,$N369=8,$N369=9),1,IF(OR($N369=10,$N369=11,$N369=12),2,IF(OR($N369=1,$N369=2,$N369=3),3,IF(OR($N369=4,$N369=5,$N369=6),4,"")))),IF(OR($N369=9,$N369=10,$N369=11),1,IF(OR($N369=12,$N369=1,$N369=2),2,IF(OR($N369=3,$N369=4,$N369=5),3,IF(OR($N369=6,$N369=7,$N369=8),4,"")))))</f>
        <v/>
      </c>
      <c r="P369" s="99"/>
      <c r="Q369" s="62"/>
      <c r="R369" s="62"/>
      <c r="S369" s="51"/>
      <c r="T369" s="51"/>
      <c r="U369" s="51"/>
      <c r="V369" s="51"/>
      <c r="W369" s="51"/>
      <c r="X369" s="51"/>
      <c r="Y369" s="51"/>
      <c r="Z369" s="51"/>
      <c r="AA369" s="51"/>
      <c r="AB369" s="51"/>
      <c r="AC369" s="51"/>
      <c r="AD369" s="51"/>
      <c r="AE369" s="51"/>
      <c r="AF369" s="51"/>
      <c r="AG369" s="51"/>
      <c r="AH369" s="94"/>
      <c r="AI369" s="94"/>
      <c r="AJ369" s="94"/>
      <c r="AK369" s="94"/>
      <c r="AL369" s="94"/>
      <c r="AM369" s="94"/>
      <c r="AN369" s="94"/>
      <c r="AO369" s="95"/>
      <c r="AP369" s="686">
        <f t="shared" si="45"/>
        <v>0</v>
      </c>
      <c r="AQ369" s="42"/>
      <c r="AR369" s="42"/>
      <c r="AS369" s="42"/>
      <c r="AT369" s="43"/>
      <c r="AU369" s="687">
        <f t="shared" si="46"/>
        <v>0</v>
      </c>
      <c r="AV369" s="42"/>
      <c r="AW369" s="42"/>
      <c r="AX369" s="42"/>
      <c r="AY369" s="43"/>
      <c r="AZ369" s="486"/>
      <c r="BA369" s="51"/>
      <c r="BB369" s="51"/>
      <c r="BC369" s="51"/>
      <c r="BD369" s="51"/>
      <c r="BE369" s="51"/>
      <c r="BF369" s="51"/>
      <c r="BG369" s="51"/>
      <c r="BH369" s="94"/>
      <c r="BI369" s="94"/>
      <c r="BJ369" s="94"/>
      <c r="BK369" s="94"/>
      <c r="BL369" s="94"/>
      <c r="BM369" s="483"/>
      <c r="BN369" s="94"/>
      <c r="BO369" s="94"/>
      <c r="BP369" s="94"/>
      <c r="BQ369" s="94"/>
      <c r="BR369" s="94"/>
      <c r="BS369" s="94"/>
      <c r="BT369" s="94"/>
      <c r="BU369" s="94"/>
      <c r="BV369" s="94"/>
      <c r="BW369" s="688">
        <f t="shared" si="42"/>
        <v>0</v>
      </c>
      <c r="BX369" s="51"/>
      <c r="BY369" s="51"/>
      <c r="BZ369" s="51"/>
      <c r="CA369" s="51"/>
      <c r="CB369" s="51"/>
      <c r="CC369" s="51"/>
      <c r="CD369" s="97"/>
      <c r="CE369" s="479"/>
      <c r="CF369" s="51"/>
      <c r="CG369" s="51"/>
      <c r="CH369" s="62"/>
      <c r="CI369" s="62"/>
      <c r="CJ369" s="51"/>
      <c r="CK369" s="51"/>
      <c r="CL369" s="95"/>
      <c r="CM369" s="93"/>
      <c r="CN369" s="51"/>
      <c r="CO369" s="51"/>
      <c r="CP369" s="51"/>
      <c r="CQ369" s="51"/>
      <c r="CR369" s="51"/>
      <c r="CS369" s="51"/>
      <c r="CT369" s="51"/>
      <c r="CU369" s="95"/>
      <c r="CV369" s="93"/>
      <c r="CW369" s="51"/>
      <c r="CX369" s="51"/>
      <c r="CY369" s="51"/>
      <c r="CZ369" s="51"/>
      <c r="DA369" s="51"/>
      <c r="DB369" s="51"/>
      <c r="DC369" s="51"/>
      <c r="DD369" s="95"/>
      <c r="DE369" s="93"/>
      <c r="DF369" s="51"/>
      <c r="DG369" s="51"/>
      <c r="DH369" s="51"/>
      <c r="DI369" s="51"/>
      <c r="DJ369" s="51"/>
      <c r="DK369" s="51"/>
      <c r="DL369" s="95"/>
      <c r="DM369" s="478"/>
      <c r="DN369" s="682">
        <f t="shared" si="47"/>
        <v>0</v>
      </c>
      <c r="DO369" s="683"/>
    </row>
    <row r="370" spans="1:119" ht="25.5" customHeight="1" thickTop="1" thickBot="1" x14ac:dyDescent="0.2">
      <c r="A370" s="676">
        <f t="shared" si="43"/>
        <v>355</v>
      </c>
      <c r="B370" s="1054"/>
      <c r="C370" s="1055"/>
      <c r="D370" s="83"/>
      <c r="E370" s="954"/>
      <c r="F370" s="52"/>
      <c r="G370" s="103"/>
      <c r="H370" s="1058"/>
      <c r="I370" s="684" t="str">
        <f t="shared" si="40"/>
        <v/>
      </c>
      <c r="J370" s="685">
        <f t="shared" si="41"/>
        <v>0</v>
      </c>
      <c r="K370" s="1258"/>
      <c r="L370" s="1251"/>
      <c r="M370" s="1257"/>
      <c r="N370" s="719" t="str">
        <f t="shared" si="44"/>
        <v/>
      </c>
      <c r="O370" s="720" t="str">
        <f>IF('Set up ~ Config'!$G$32=6,IF(OR($N370=7,$N370=8,$N370=9),1,IF(OR($N370=10,$N370=11,$N370=12),2,IF(OR($N370=1,$N370=2,$N370=3),3,IF(OR($N370=4,$N370=5,$N370=6),4,"")))),IF(OR($N370=9,$N370=10,$N370=11),1,IF(OR($N370=12,$N370=1,$N370=2),2,IF(OR($N370=3,$N370=4,$N370=5),3,IF(OR($N370=6,$N370=7,$N370=8),4,"")))))</f>
        <v/>
      </c>
      <c r="P370" s="99"/>
      <c r="Q370" s="62"/>
      <c r="R370" s="62"/>
      <c r="S370" s="51"/>
      <c r="T370" s="51"/>
      <c r="U370" s="51"/>
      <c r="V370" s="51"/>
      <c r="W370" s="51"/>
      <c r="X370" s="51"/>
      <c r="Y370" s="51"/>
      <c r="Z370" s="51"/>
      <c r="AA370" s="51"/>
      <c r="AB370" s="51"/>
      <c r="AC370" s="51"/>
      <c r="AD370" s="51"/>
      <c r="AE370" s="51"/>
      <c r="AF370" s="51"/>
      <c r="AG370" s="51"/>
      <c r="AH370" s="94"/>
      <c r="AI370" s="94"/>
      <c r="AJ370" s="94"/>
      <c r="AK370" s="94"/>
      <c r="AL370" s="94"/>
      <c r="AM370" s="94"/>
      <c r="AN370" s="94"/>
      <c r="AO370" s="95"/>
      <c r="AP370" s="686">
        <f t="shared" si="45"/>
        <v>0</v>
      </c>
      <c r="AQ370" s="42"/>
      <c r="AR370" s="42"/>
      <c r="AS370" s="42"/>
      <c r="AT370" s="43"/>
      <c r="AU370" s="687">
        <f t="shared" si="46"/>
        <v>0</v>
      </c>
      <c r="AV370" s="42"/>
      <c r="AW370" s="42"/>
      <c r="AX370" s="42"/>
      <c r="AY370" s="43"/>
      <c r="AZ370" s="486"/>
      <c r="BA370" s="51"/>
      <c r="BB370" s="51"/>
      <c r="BC370" s="51"/>
      <c r="BD370" s="51"/>
      <c r="BE370" s="51"/>
      <c r="BF370" s="51"/>
      <c r="BG370" s="51"/>
      <c r="BH370" s="94"/>
      <c r="BI370" s="94"/>
      <c r="BJ370" s="94"/>
      <c r="BK370" s="94"/>
      <c r="BL370" s="94"/>
      <c r="BM370" s="483"/>
      <c r="BN370" s="94"/>
      <c r="BO370" s="94"/>
      <c r="BP370" s="94"/>
      <c r="BQ370" s="94"/>
      <c r="BR370" s="94"/>
      <c r="BS370" s="94"/>
      <c r="BT370" s="94"/>
      <c r="BU370" s="94"/>
      <c r="BV370" s="94"/>
      <c r="BW370" s="688">
        <f t="shared" si="42"/>
        <v>0</v>
      </c>
      <c r="BX370" s="51"/>
      <c r="BY370" s="51"/>
      <c r="BZ370" s="51"/>
      <c r="CA370" s="51"/>
      <c r="CB370" s="51"/>
      <c r="CC370" s="51"/>
      <c r="CD370" s="97"/>
      <c r="CE370" s="479"/>
      <c r="CF370" s="51"/>
      <c r="CG370" s="51"/>
      <c r="CH370" s="62"/>
      <c r="CI370" s="62"/>
      <c r="CJ370" s="51"/>
      <c r="CK370" s="51"/>
      <c r="CL370" s="95"/>
      <c r="CM370" s="93"/>
      <c r="CN370" s="51"/>
      <c r="CO370" s="51"/>
      <c r="CP370" s="51"/>
      <c r="CQ370" s="51"/>
      <c r="CR370" s="51"/>
      <c r="CS370" s="51"/>
      <c r="CT370" s="51"/>
      <c r="CU370" s="95"/>
      <c r="CV370" s="93"/>
      <c r="CW370" s="51"/>
      <c r="CX370" s="51"/>
      <c r="CY370" s="51"/>
      <c r="CZ370" s="51"/>
      <c r="DA370" s="51"/>
      <c r="DB370" s="51"/>
      <c r="DC370" s="51"/>
      <c r="DD370" s="95"/>
      <c r="DE370" s="93"/>
      <c r="DF370" s="51"/>
      <c r="DG370" s="51"/>
      <c r="DH370" s="51"/>
      <c r="DI370" s="51"/>
      <c r="DJ370" s="51"/>
      <c r="DK370" s="51"/>
      <c r="DL370" s="95"/>
      <c r="DM370" s="478"/>
      <c r="DN370" s="682">
        <f t="shared" si="47"/>
        <v>0</v>
      </c>
      <c r="DO370" s="683"/>
    </row>
    <row r="371" spans="1:119" ht="25.5" customHeight="1" thickTop="1" thickBot="1" x14ac:dyDescent="0.2">
      <c r="A371" s="676">
        <f t="shared" si="43"/>
        <v>356</v>
      </c>
      <c r="B371" s="1054"/>
      <c r="C371" s="1055"/>
      <c r="D371" s="83"/>
      <c r="E371" s="954"/>
      <c r="F371" s="52"/>
      <c r="G371" s="103"/>
      <c r="H371" s="1058"/>
      <c r="I371" s="684" t="str">
        <f t="shared" si="40"/>
        <v/>
      </c>
      <c r="J371" s="685">
        <f t="shared" si="41"/>
        <v>0</v>
      </c>
      <c r="K371" s="1258"/>
      <c r="L371" s="1251"/>
      <c r="M371" s="1257"/>
      <c r="N371" s="719" t="str">
        <f t="shared" si="44"/>
        <v/>
      </c>
      <c r="O371" s="720" t="str">
        <f>IF('Set up ~ Config'!$G$32=6,IF(OR($N371=7,$N371=8,$N371=9),1,IF(OR($N371=10,$N371=11,$N371=12),2,IF(OR($N371=1,$N371=2,$N371=3),3,IF(OR($N371=4,$N371=5,$N371=6),4,"")))),IF(OR($N371=9,$N371=10,$N371=11),1,IF(OR($N371=12,$N371=1,$N371=2),2,IF(OR($N371=3,$N371=4,$N371=5),3,IF(OR($N371=6,$N371=7,$N371=8),4,"")))))</f>
        <v/>
      </c>
      <c r="P371" s="99"/>
      <c r="Q371" s="62"/>
      <c r="R371" s="62"/>
      <c r="S371" s="51"/>
      <c r="T371" s="51"/>
      <c r="U371" s="51"/>
      <c r="V371" s="51"/>
      <c r="W371" s="51"/>
      <c r="X371" s="51"/>
      <c r="Y371" s="51"/>
      <c r="Z371" s="51"/>
      <c r="AA371" s="51"/>
      <c r="AB371" s="51"/>
      <c r="AC371" s="51"/>
      <c r="AD371" s="51"/>
      <c r="AE371" s="51"/>
      <c r="AF371" s="51"/>
      <c r="AG371" s="51"/>
      <c r="AH371" s="94"/>
      <c r="AI371" s="94"/>
      <c r="AJ371" s="94"/>
      <c r="AK371" s="94"/>
      <c r="AL371" s="94"/>
      <c r="AM371" s="94"/>
      <c r="AN371" s="94"/>
      <c r="AO371" s="95"/>
      <c r="AP371" s="686">
        <f t="shared" si="45"/>
        <v>0</v>
      </c>
      <c r="AQ371" s="42"/>
      <c r="AR371" s="42"/>
      <c r="AS371" s="42"/>
      <c r="AT371" s="43"/>
      <c r="AU371" s="687">
        <f t="shared" si="46"/>
        <v>0</v>
      </c>
      <c r="AV371" s="42"/>
      <c r="AW371" s="42"/>
      <c r="AX371" s="42"/>
      <c r="AY371" s="43"/>
      <c r="AZ371" s="486"/>
      <c r="BA371" s="51"/>
      <c r="BB371" s="51"/>
      <c r="BC371" s="51"/>
      <c r="BD371" s="51"/>
      <c r="BE371" s="51"/>
      <c r="BF371" s="51"/>
      <c r="BG371" s="51"/>
      <c r="BH371" s="94"/>
      <c r="BI371" s="94"/>
      <c r="BJ371" s="94"/>
      <c r="BK371" s="94"/>
      <c r="BL371" s="94"/>
      <c r="BM371" s="483"/>
      <c r="BN371" s="94"/>
      <c r="BO371" s="94"/>
      <c r="BP371" s="94"/>
      <c r="BQ371" s="94"/>
      <c r="BR371" s="94"/>
      <c r="BS371" s="94"/>
      <c r="BT371" s="94"/>
      <c r="BU371" s="94"/>
      <c r="BV371" s="94"/>
      <c r="BW371" s="688">
        <f t="shared" si="42"/>
        <v>0</v>
      </c>
      <c r="BX371" s="51"/>
      <c r="BY371" s="51"/>
      <c r="BZ371" s="51"/>
      <c r="CA371" s="51"/>
      <c r="CB371" s="51"/>
      <c r="CC371" s="51"/>
      <c r="CD371" s="97"/>
      <c r="CE371" s="479"/>
      <c r="CF371" s="51"/>
      <c r="CG371" s="51"/>
      <c r="CH371" s="62"/>
      <c r="CI371" s="62"/>
      <c r="CJ371" s="51"/>
      <c r="CK371" s="51"/>
      <c r="CL371" s="95"/>
      <c r="CM371" s="93"/>
      <c r="CN371" s="51"/>
      <c r="CO371" s="51"/>
      <c r="CP371" s="51"/>
      <c r="CQ371" s="51"/>
      <c r="CR371" s="51"/>
      <c r="CS371" s="51"/>
      <c r="CT371" s="51"/>
      <c r="CU371" s="95"/>
      <c r="CV371" s="93"/>
      <c r="CW371" s="51"/>
      <c r="CX371" s="51"/>
      <c r="CY371" s="51"/>
      <c r="CZ371" s="51"/>
      <c r="DA371" s="51"/>
      <c r="DB371" s="51"/>
      <c r="DC371" s="51"/>
      <c r="DD371" s="95"/>
      <c r="DE371" s="93"/>
      <c r="DF371" s="51"/>
      <c r="DG371" s="51"/>
      <c r="DH371" s="51"/>
      <c r="DI371" s="51"/>
      <c r="DJ371" s="51"/>
      <c r="DK371" s="51"/>
      <c r="DL371" s="95"/>
      <c r="DM371" s="478"/>
      <c r="DN371" s="682">
        <f t="shared" si="47"/>
        <v>0</v>
      </c>
      <c r="DO371" s="683"/>
    </row>
    <row r="372" spans="1:119" ht="25.5" customHeight="1" thickTop="1" thickBot="1" x14ac:dyDescent="0.2">
      <c r="A372" s="676">
        <f t="shared" si="43"/>
        <v>357</v>
      </c>
      <c r="B372" s="1054"/>
      <c r="C372" s="1055"/>
      <c r="D372" s="83"/>
      <c r="E372" s="954"/>
      <c r="F372" s="52"/>
      <c r="G372" s="103"/>
      <c r="H372" s="1058"/>
      <c r="I372" s="684" t="str">
        <f t="shared" si="40"/>
        <v/>
      </c>
      <c r="J372" s="685">
        <f t="shared" si="41"/>
        <v>0</v>
      </c>
      <c r="K372" s="1258"/>
      <c r="L372" s="1251"/>
      <c r="M372" s="1257"/>
      <c r="N372" s="719" t="str">
        <f t="shared" si="44"/>
        <v/>
      </c>
      <c r="O372" s="720" t="str">
        <f>IF('Set up ~ Config'!$G$32=6,IF(OR($N372=7,$N372=8,$N372=9),1,IF(OR($N372=10,$N372=11,$N372=12),2,IF(OR($N372=1,$N372=2,$N372=3),3,IF(OR($N372=4,$N372=5,$N372=6),4,"")))),IF(OR($N372=9,$N372=10,$N372=11),1,IF(OR($N372=12,$N372=1,$N372=2),2,IF(OR($N372=3,$N372=4,$N372=5),3,IF(OR($N372=6,$N372=7,$N372=8),4,"")))))</f>
        <v/>
      </c>
      <c r="P372" s="99"/>
      <c r="Q372" s="62"/>
      <c r="R372" s="62"/>
      <c r="S372" s="51"/>
      <c r="T372" s="51"/>
      <c r="U372" s="51"/>
      <c r="V372" s="51"/>
      <c r="W372" s="51"/>
      <c r="X372" s="51"/>
      <c r="Y372" s="51"/>
      <c r="Z372" s="51"/>
      <c r="AA372" s="51"/>
      <c r="AB372" s="51"/>
      <c r="AC372" s="51"/>
      <c r="AD372" s="51"/>
      <c r="AE372" s="51"/>
      <c r="AF372" s="51"/>
      <c r="AG372" s="51"/>
      <c r="AH372" s="94"/>
      <c r="AI372" s="94"/>
      <c r="AJ372" s="94"/>
      <c r="AK372" s="94"/>
      <c r="AL372" s="94"/>
      <c r="AM372" s="94"/>
      <c r="AN372" s="94"/>
      <c r="AO372" s="95"/>
      <c r="AP372" s="686">
        <f t="shared" si="45"/>
        <v>0</v>
      </c>
      <c r="AQ372" s="42"/>
      <c r="AR372" s="42"/>
      <c r="AS372" s="42"/>
      <c r="AT372" s="43"/>
      <c r="AU372" s="687">
        <f t="shared" si="46"/>
        <v>0</v>
      </c>
      <c r="AV372" s="42"/>
      <c r="AW372" s="42"/>
      <c r="AX372" s="42"/>
      <c r="AY372" s="43"/>
      <c r="AZ372" s="486"/>
      <c r="BA372" s="51"/>
      <c r="BB372" s="51"/>
      <c r="BC372" s="51"/>
      <c r="BD372" s="51"/>
      <c r="BE372" s="51"/>
      <c r="BF372" s="51"/>
      <c r="BG372" s="51"/>
      <c r="BH372" s="94"/>
      <c r="BI372" s="94"/>
      <c r="BJ372" s="94"/>
      <c r="BK372" s="94"/>
      <c r="BL372" s="94"/>
      <c r="BM372" s="483"/>
      <c r="BN372" s="94"/>
      <c r="BO372" s="94"/>
      <c r="BP372" s="94"/>
      <c r="BQ372" s="94"/>
      <c r="BR372" s="94"/>
      <c r="BS372" s="94"/>
      <c r="BT372" s="94"/>
      <c r="BU372" s="94"/>
      <c r="BV372" s="94"/>
      <c r="BW372" s="688">
        <f t="shared" si="42"/>
        <v>0</v>
      </c>
      <c r="BX372" s="51"/>
      <c r="BY372" s="51"/>
      <c r="BZ372" s="51"/>
      <c r="CA372" s="51"/>
      <c r="CB372" s="51"/>
      <c r="CC372" s="51"/>
      <c r="CD372" s="97"/>
      <c r="CE372" s="479"/>
      <c r="CF372" s="51"/>
      <c r="CG372" s="51"/>
      <c r="CH372" s="62"/>
      <c r="CI372" s="62"/>
      <c r="CJ372" s="51"/>
      <c r="CK372" s="51"/>
      <c r="CL372" s="95"/>
      <c r="CM372" s="93"/>
      <c r="CN372" s="51"/>
      <c r="CO372" s="51"/>
      <c r="CP372" s="51"/>
      <c r="CQ372" s="51"/>
      <c r="CR372" s="51"/>
      <c r="CS372" s="51"/>
      <c r="CT372" s="51"/>
      <c r="CU372" s="95"/>
      <c r="CV372" s="93"/>
      <c r="CW372" s="51"/>
      <c r="CX372" s="51"/>
      <c r="CY372" s="51"/>
      <c r="CZ372" s="51"/>
      <c r="DA372" s="51"/>
      <c r="DB372" s="51"/>
      <c r="DC372" s="51"/>
      <c r="DD372" s="95"/>
      <c r="DE372" s="93"/>
      <c r="DF372" s="51"/>
      <c r="DG372" s="51"/>
      <c r="DH372" s="51"/>
      <c r="DI372" s="51"/>
      <c r="DJ372" s="51"/>
      <c r="DK372" s="51"/>
      <c r="DL372" s="95"/>
      <c r="DM372" s="478"/>
      <c r="DN372" s="682">
        <f t="shared" si="47"/>
        <v>0</v>
      </c>
      <c r="DO372" s="683"/>
    </row>
    <row r="373" spans="1:119" ht="25.5" customHeight="1" thickTop="1" thickBot="1" x14ac:dyDescent="0.2">
      <c r="A373" s="676">
        <f t="shared" si="43"/>
        <v>358</v>
      </c>
      <c r="B373" s="1054"/>
      <c r="C373" s="1055"/>
      <c r="D373" s="83"/>
      <c r="E373" s="954"/>
      <c r="F373" s="52"/>
      <c r="G373" s="103"/>
      <c r="H373" s="1058"/>
      <c r="I373" s="684" t="str">
        <f t="shared" si="40"/>
        <v/>
      </c>
      <c r="J373" s="685">
        <f t="shared" si="41"/>
        <v>0</v>
      </c>
      <c r="K373" s="1258"/>
      <c r="L373" s="1251"/>
      <c r="M373" s="1257"/>
      <c r="N373" s="719" t="str">
        <f t="shared" si="44"/>
        <v/>
      </c>
      <c r="O373" s="720" t="str">
        <f>IF('Set up ~ Config'!$G$32=6,IF(OR($N373=7,$N373=8,$N373=9),1,IF(OR($N373=10,$N373=11,$N373=12),2,IF(OR($N373=1,$N373=2,$N373=3),3,IF(OR($N373=4,$N373=5,$N373=6),4,"")))),IF(OR($N373=9,$N373=10,$N373=11),1,IF(OR($N373=12,$N373=1,$N373=2),2,IF(OR($N373=3,$N373=4,$N373=5),3,IF(OR($N373=6,$N373=7,$N373=8),4,"")))))</f>
        <v/>
      </c>
      <c r="P373" s="99"/>
      <c r="Q373" s="62"/>
      <c r="R373" s="62"/>
      <c r="S373" s="51"/>
      <c r="T373" s="51"/>
      <c r="U373" s="51"/>
      <c r="V373" s="51"/>
      <c r="W373" s="51"/>
      <c r="X373" s="51"/>
      <c r="Y373" s="51"/>
      <c r="Z373" s="51"/>
      <c r="AA373" s="51"/>
      <c r="AB373" s="51"/>
      <c r="AC373" s="51"/>
      <c r="AD373" s="51"/>
      <c r="AE373" s="51"/>
      <c r="AF373" s="51"/>
      <c r="AG373" s="51"/>
      <c r="AH373" s="94"/>
      <c r="AI373" s="94"/>
      <c r="AJ373" s="94"/>
      <c r="AK373" s="94"/>
      <c r="AL373" s="94"/>
      <c r="AM373" s="94"/>
      <c r="AN373" s="94"/>
      <c r="AO373" s="95"/>
      <c r="AP373" s="686">
        <f t="shared" si="45"/>
        <v>0</v>
      </c>
      <c r="AQ373" s="42"/>
      <c r="AR373" s="42"/>
      <c r="AS373" s="42"/>
      <c r="AT373" s="43"/>
      <c r="AU373" s="687">
        <f t="shared" si="46"/>
        <v>0</v>
      </c>
      <c r="AV373" s="42"/>
      <c r="AW373" s="42"/>
      <c r="AX373" s="42"/>
      <c r="AY373" s="43"/>
      <c r="AZ373" s="486"/>
      <c r="BA373" s="51"/>
      <c r="BB373" s="51"/>
      <c r="BC373" s="51"/>
      <c r="BD373" s="51"/>
      <c r="BE373" s="51"/>
      <c r="BF373" s="51"/>
      <c r="BG373" s="51"/>
      <c r="BH373" s="94"/>
      <c r="BI373" s="94"/>
      <c r="BJ373" s="94"/>
      <c r="BK373" s="94"/>
      <c r="BL373" s="94"/>
      <c r="BM373" s="483"/>
      <c r="BN373" s="94"/>
      <c r="BO373" s="94"/>
      <c r="BP373" s="94"/>
      <c r="BQ373" s="94"/>
      <c r="BR373" s="94"/>
      <c r="BS373" s="94"/>
      <c r="BT373" s="94"/>
      <c r="BU373" s="94"/>
      <c r="BV373" s="94"/>
      <c r="BW373" s="688">
        <f t="shared" si="42"/>
        <v>0</v>
      </c>
      <c r="BX373" s="51"/>
      <c r="BY373" s="51"/>
      <c r="BZ373" s="51"/>
      <c r="CA373" s="51"/>
      <c r="CB373" s="51"/>
      <c r="CC373" s="51"/>
      <c r="CD373" s="97"/>
      <c r="CE373" s="479"/>
      <c r="CF373" s="51"/>
      <c r="CG373" s="51"/>
      <c r="CH373" s="62"/>
      <c r="CI373" s="62"/>
      <c r="CJ373" s="51"/>
      <c r="CK373" s="51"/>
      <c r="CL373" s="95"/>
      <c r="CM373" s="93"/>
      <c r="CN373" s="51"/>
      <c r="CO373" s="51"/>
      <c r="CP373" s="51"/>
      <c r="CQ373" s="51"/>
      <c r="CR373" s="51"/>
      <c r="CS373" s="51"/>
      <c r="CT373" s="51"/>
      <c r="CU373" s="95"/>
      <c r="CV373" s="93"/>
      <c r="CW373" s="51"/>
      <c r="CX373" s="51"/>
      <c r="CY373" s="51"/>
      <c r="CZ373" s="51"/>
      <c r="DA373" s="51"/>
      <c r="DB373" s="51"/>
      <c r="DC373" s="51"/>
      <c r="DD373" s="95"/>
      <c r="DE373" s="93"/>
      <c r="DF373" s="51"/>
      <c r="DG373" s="51"/>
      <c r="DH373" s="51"/>
      <c r="DI373" s="51"/>
      <c r="DJ373" s="51"/>
      <c r="DK373" s="51"/>
      <c r="DL373" s="95"/>
      <c r="DM373" s="478"/>
      <c r="DN373" s="682">
        <f t="shared" si="47"/>
        <v>0</v>
      </c>
      <c r="DO373" s="683"/>
    </row>
    <row r="374" spans="1:119" ht="25.5" customHeight="1" thickTop="1" thickBot="1" x14ac:dyDescent="0.2">
      <c r="A374" s="676">
        <f t="shared" si="43"/>
        <v>359</v>
      </c>
      <c r="B374" s="1054"/>
      <c r="C374" s="1055"/>
      <c r="D374" s="83"/>
      <c r="E374" s="954"/>
      <c r="F374" s="52"/>
      <c r="G374" s="103"/>
      <c r="H374" s="1058"/>
      <c r="I374" s="684" t="str">
        <f t="shared" si="40"/>
        <v/>
      </c>
      <c r="J374" s="685">
        <f t="shared" si="41"/>
        <v>0</v>
      </c>
      <c r="K374" s="1258"/>
      <c r="L374" s="1251"/>
      <c r="M374" s="1257"/>
      <c r="N374" s="719" t="str">
        <f t="shared" si="44"/>
        <v/>
      </c>
      <c r="O374" s="720" t="str">
        <f>IF('Set up ~ Config'!$G$32=6,IF(OR($N374=7,$N374=8,$N374=9),1,IF(OR($N374=10,$N374=11,$N374=12),2,IF(OR($N374=1,$N374=2,$N374=3),3,IF(OR($N374=4,$N374=5,$N374=6),4,"")))),IF(OR($N374=9,$N374=10,$N374=11),1,IF(OR($N374=12,$N374=1,$N374=2),2,IF(OR($N374=3,$N374=4,$N374=5),3,IF(OR($N374=6,$N374=7,$N374=8),4,"")))))</f>
        <v/>
      </c>
      <c r="P374" s="99"/>
      <c r="Q374" s="62"/>
      <c r="R374" s="62"/>
      <c r="S374" s="51"/>
      <c r="T374" s="51"/>
      <c r="U374" s="51"/>
      <c r="V374" s="51"/>
      <c r="W374" s="51"/>
      <c r="X374" s="51"/>
      <c r="Y374" s="51"/>
      <c r="Z374" s="51"/>
      <c r="AA374" s="51"/>
      <c r="AB374" s="51"/>
      <c r="AC374" s="51"/>
      <c r="AD374" s="51"/>
      <c r="AE374" s="51"/>
      <c r="AF374" s="51"/>
      <c r="AG374" s="51"/>
      <c r="AH374" s="94"/>
      <c r="AI374" s="94"/>
      <c r="AJ374" s="94"/>
      <c r="AK374" s="94"/>
      <c r="AL374" s="94"/>
      <c r="AM374" s="94"/>
      <c r="AN374" s="94"/>
      <c r="AO374" s="95"/>
      <c r="AP374" s="686">
        <f t="shared" si="45"/>
        <v>0</v>
      </c>
      <c r="AQ374" s="42"/>
      <c r="AR374" s="42"/>
      <c r="AS374" s="42"/>
      <c r="AT374" s="43"/>
      <c r="AU374" s="687">
        <f t="shared" si="46"/>
        <v>0</v>
      </c>
      <c r="AV374" s="42"/>
      <c r="AW374" s="42"/>
      <c r="AX374" s="42"/>
      <c r="AY374" s="43"/>
      <c r="AZ374" s="486"/>
      <c r="BA374" s="51"/>
      <c r="BB374" s="51"/>
      <c r="BC374" s="51"/>
      <c r="BD374" s="51"/>
      <c r="BE374" s="51"/>
      <c r="BF374" s="51"/>
      <c r="BG374" s="51"/>
      <c r="BH374" s="94"/>
      <c r="BI374" s="94"/>
      <c r="BJ374" s="94"/>
      <c r="BK374" s="94"/>
      <c r="BL374" s="94"/>
      <c r="BM374" s="483"/>
      <c r="BN374" s="94"/>
      <c r="BO374" s="94"/>
      <c r="BP374" s="94"/>
      <c r="BQ374" s="94"/>
      <c r="BR374" s="94"/>
      <c r="BS374" s="94"/>
      <c r="BT374" s="94"/>
      <c r="BU374" s="94"/>
      <c r="BV374" s="94"/>
      <c r="BW374" s="688">
        <f t="shared" si="42"/>
        <v>0</v>
      </c>
      <c r="BX374" s="51"/>
      <c r="BY374" s="51"/>
      <c r="BZ374" s="51"/>
      <c r="CA374" s="51"/>
      <c r="CB374" s="51"/>
      <c r="CC374" s="51"/>
      <c r="CD374" s="97"/>
      <c r="CE374" s="479"/>
      <c r="CF374" s="51"/>
      <c r="CG374" s="51"/>
      <c r="CH374" s="62"/>
      <c r="CI374" s="62"/>
      <c r="CJ374" s="51"/>
      <c r="CK374" s="51"/>
      <c r="CL374" s="95"/>
      <c r="CM374" s="93"/>
      <c r="CN374" s="51"/>
      <c r="CO374" s="51"/>
      <c r="CP374" s="51"/>
      <c r="CQ374" s="51"/>
      <c r="CR374" s="51"/>
      <c r="CS374" s="51"/>
      <c r="CT374" s="51"/>
      <c r="CU374" s="95"/>
      <c r="CV374" s="93"/>
      <c r="CW374" s="51"/>
      <c r="CX374" s="51"/>
      <c r="CY374" s="51"/>
      <c r="CZ374" s="51"/>
      <c r="DA374" s="51"/>
      <c r="DB374" s="51"/>
      <c r="DC374" s="51"/>
      <c r="DD374" s="95"/>
      <c r="DE374" s="93"/>
      <c r="DF374" s="51"/>
      <c r="DG374" s="51"/>
      <c r="DH374" s="51"/>
      <c r="DI374" s="51"/>
      <c r="DJ374" s="51"/>
      <c r="DK374" s="51"/>
      <c r="DL374" s="95"/>
      <c r="DM374" s="478"/>
      <c r="DN374" s="682">
        <f t="shared" si="47"/>
        <v>0</v>
      </c>
      <c r="DO374" s="683"/>
    </row>
    <row r="375" spans="1:119" ht="25.5" customHeight="1" thickTop="1" thickBot="1" x14ac:dyDescent="0.2">
      <c r="A375" s="676">
        <f t="shared" si="43"/>
        <v>360</v>
      </c>
      <c r="B375" s="1054"/>
      <c r="C375" s="1055"/>
      <c r="D375" s="83"/>
      <c r="E375" s="954"/>
      <c r="F375" s="52"/>
      <c r="G375" s="103"/>
      <c r="H375" s="1058"/>
      <c r="I375" s="684" t="str">
        <f t="shared" si="40"/>
        <v/>
      </c>
      <c r="J375" s="685">
        <f t="shared" si="41"/>
        <v>0</v>
      </c>
      <c r="K375" s="1258"/>
      <c r="L375" s="1251"/>
      <c r="M375" s="1257"/>
      <c r="N375" s="719" t="str">
        <f t="shared" si="44"/>
        <v/>
      </c>
      <c r="O375" s="720" t="str">
        <f>IF('Set up ~ Config'!$G$32=6,IF(OR($N375=7,$N375=8,$N375=9),1,IF(OR($N375=10,$N375=11,$N375=12),2,IF(OR($N375=1,$N375=2,$N375=3),3,IF(OR($N375=4,$N375=5,$N375=6),4,"")))),IF(OR($N375=9,$N375=10,$N375=11),1,IF(OR($N375=12,$N375=1,$N375=2),2,IF(OR($N375=3,$N375=4,$N375=5),3,IF(OR($N375=6,$N375=7,$N375=8),4,"")))))</f>
        <v/>
      </c>
      <c r="P375" s="99"/>
      <c r="Q375" s="62"/>
      <c r="R375" s="62"/>
      <c r="S375" s="51"/>
      <c r="T375" s="51"/>
      <c r="U375" s="51"/>
      <c r="V375" s="51"/>
      <c r="W375" s="51"/>
      <c r="X375" s="51"/>
      <c r="Y375" s="51"/>
      <c r="Z375" s="51"/>
      <c r="AA375" s="51"/>
      <c r="AB375" s="51"/>
      <c r="AC375" s="51"/>
      <c r="AD375" s="51"/>
      <c r="AE375" s="51"/>
      <c r="AF375" s="51"/>
      <c r="AG375" s="51"/>
      <c r="AH375" s="94"/>
      <c r="AI375" s="94"/>
      <c r="AJ375" s="94"/>
      <c r="AK375" s="94"/>
      <c r="AL375" s="94"/>
      <c r="AM375" s="94"/>
      <c r="AN375" s="94"/>
      <c r="AO375" s="95"/>
      <c r="AP375" s="686">
        <f t="shared" si="45"/>
        <v>0</v>
      </c>
      <c r="AQ375" s="42"/>
      <c r="AR375" s="42"/>
      <c r="AS375" s="42"/>
      <c r="AT375" s="43"/>
      <c r="AU375" s="687">
        <f t="shared" si="46"/>
        <v>0</v>
      </c>
      <c r="AV375" s="42"/>
      <c r="AW375" s="42"/>
      <c r="AX375" s="42"/>
      <c r="AY375" s="43"/>
      <c r="AZ375" s="486"/>
      <c r="BA375" s="51"/>
      <c r="BB375" s="51"/>
      <c r="BC375" s="51"/>
      <c r="BD375" s="51"/>
      <c r="BE375" s="51"/>
      <c r="BF375" s="51"/>
      <c r="BG375" s="51"/>
      <c r="BH375" s="94"/>
      <c r="BI375" s="94"/>
      <c r="BJ375" s="94"/>
      <c r="BK375" s="94"/>
      <c r="BL375" s="94"/>
      <c r="BM375" s="483"/>
      <c r="BN375" s="94"/>
      <c r="BO375" s="94"/>
      <c r="BP375" s="94"/>
      <c r="BQ375" s="94"/>
      <c r="BR375" s="94"/>
      <c r="BS375" s="94"/>
      <c r="BT375" s="94"/>
      <c r="BU375" s="94"/>
      <c r="BV375" s="94"/>
      <c r="BW375" s="688">
        <f t="shared" si="42"/>
        <v>0</v>
      </c>
      <c r="BX375" s="51"/>
      <c r="BY375" s="51"/>
      <c r="BZ375" s="51"/>
      <c r="CA375" s="51"/>
      <c r="CB375" s="51"/>
      <c r="CC375" s="51"/>
      <c r="CD375" s="97"/>
      <c r="CE375" s="479"/>
      <c r="CF375" s="51"/>
      <c r="CG375" s="51"/>
      <c r="CH375" s="62"/>
      <c r="CI375" s="62"/>
      <c r="CJ375" s="51"/>
      <c r="CK375" s="51"/>
      <c r="CL375" s="95"/>
      <c r="CM375" s="93"/>
      <c r="CN375" s="51"/>
      <c r="CO375" s="51"/>
      <c r="CP375" s="51"/>
      <c r="CQ375" s="51"/>
      <c r="CR375" s="51"/>
      <c r="CS375" s="51"/>
      <c r="CT375" s="51"/>
      <c r="CU375" s="95"/>
      <c r="CV375" s="93"/>
      <c r="CW375" s="51"/>
      <c r="CX375" s="51"/>
      <c r="CY375" s="51"/>
      <c r="CZ375" s="51"/>
      <c r="DA375" s="51"/>
      <c r="DB375" s="51"/>
      <c r="DC375" s="51"/>
      <c r="DD375" s="95"/>
      <c r="DE375" s="93"/>
      <c r="DF375" s="51"/>
      <c r="DG375" s="51"/>
      <c r="DH375" s="51"/>
      <c r="DI375" s="51"/>
      <c r="DJ375" s="51"/>
      <c r="DK375" s="51"/>
      <c r="DL375" s="95"/>
      <c r="DM375" s="478"/>
      <c r="DN375" s="682">
        <f t="shared" si="47"/>
        <v>0</v>
      </c>
      <c r="DO375" s="683"/>
    </row>
    <row r="376" spans="1:119" ht="25.5" customHeight="1" thickTop="1" thickBot="1" x14ac:dyDescent="0.2">
      <c r="A376" s="676">
        <f t="shared" si="43"/>
        <v>361</v>
      </c>
      <c r="B376" s="1054"/>
      <c r="C376" s="1055"/>
      <c r="D376" s="83"/>
      <c r="E376" s="954"/>
      <c r="F376" s="52"/>
      <c r="G376" s="103"/>
      <c r="H376" s="1058"/>
      <c r="I376" s="684" t="str">
        <f t="shared" si="40"/>
        <v/>
      </c>
      <c r="J376" s="685">
        <f t="shared" si="41"/>
        <v>0</v>
      </c>
      <c r="K376" s="1258"/>
      <c r="L376" s="1251"/>
      <c r="M376" s="1257"/>
      <c r="N376" s="719" t="str">
        <f t="shared" si="44"/>
        <v/>
      </c>
      <c r="O376" s="720" t="str">
        <f>IF('Set up ~ Config'!$G$32=6,IF(OR($N376=7,$N376=8,$N376=9),1,IF(OR($N376=10,$N376=11,$N376=12),2,IF(OR($N376=1,$N376=2,$N376=3),3,IF(OR($N376=4,$N376=5,$N376=6),4,"")))),IF(OR($N376=9,$N376=10,$N376=11),1,IF(OR($N376=12,$N376=1,$N376=2),2,IF(OR($N376=3,$N376=4,$N376=5),3,IF(OR($N376=6,$N376=7,$N376=8),4,"")))))</f>
        <v/>
      </c>
      <c r="P376" s="99"/>
      <c r="Q376" s="62"/>
      <c r="R376" s="62"/>
      <c r="S376" s="51"/>
      <c r="T376" s="51"/>
      <c r="U376" s="51"/>
      <c r="V376" s="51"/>
      <c r="W376" s="51"/>
      <c r="X376" s="51"/>
      <c r="Y376" s="51"/>
      <c r="Z376" s="51"/>
      <c r="AA376" s="51"/>
      <c r="AB376" s="51"/>
      <c r="AC376" s="51"/>
      <c r="AD376" s="51"/>
      <c r="AE376" s="51"/>
      <c r="AF376" s="51"/>
      <c r="AG376" s="51"/>
      <c r="AH376" s="94"/>
      <c r="AI376" s="94"/>
      <c r="AJ376" s="94"/>
      <c r="AK376" s="94"/>
      <c r="AL376" s="94"/>
      <c r="AM376" s="94"/>
      <c r="AN376" s="94"/>
      <c r="AO376" s="95"/>
      <c r="AP376" s="686">
        <f t="shared" si="45"/>
        <v>0</v>
      </c>
      <c r="AQ376" s="42"/>
      <c r="AR376" s="42"/>
      <c r="AS376" s="42"/>
      <c r="AT376" s="43"/>
      <c r="AU376" s="687">
        <f t="shared" si="46"/>
        <v>0</v>
      </c>
      <c r="AV376" s="42"/>
      <c r="AW376" s="42"/>
      <c r="AX376" s="42"/>
      <c r="AY376" s="43"/>
      <c r="AZ376" s="486"/>
      <c r="BA376" s="51"/>
      <c r="BB376" s="51"/>
      <c r="BC376" s="51"/>
      <c r="BD376" s="51"/>
      <c r="BE376" s="51"/>
      <c r="BF376" s="51"/>
      <c r="BG376" s="51"/>
      <c r="BH376" s="94"/>
      <c r="BI376" s="94"/>
      <c r="BJ376" s="94"/>
      <c r="BK376" s="94"/>
      <c r="BL376" s="94"/>
      <c r="BM376" s="483"/>
      <c r="BN376" s="94"/>
      <c r="BO376" s="94"/>
      <c r="BP376" s="94"/>
      <c r="BQ376" s="94"/>
      <c r="BR376" s="94"/>
      <c r="BS376" s="94"/>
      <c r="BT376" s="94"/>
      <c r="BU376" s="94"/>
      <c r="BV376" s="94"/>
      <c r="BW376" s="688">
        <f t="shared" si="42"/>
        <v>0</v>
      </c>
      <c r="BX376" s="51"/>
      <c r="BY376" s="51"/>
      <c r="BZ376" s="51"/>
      <c r="CA376" s="51"/>
      <c r="CB376" s="51"/>
      <c r="CC376" s="51"/>
      <c r="CD376" s="97"/>
      <c r="CE376" s="479"/>
      <c r="CF376" s="51"/>
      <c r="CG376" s="51"/>
      <c r="CH376" s="62"/>
      <c r="CI376" s="62"/>
      <c r="CJ376" s="51"/>
      <c r="CK376" s="51"/>
      <c r="CL376" s="95"/>
      <c r="CM376" s="93"/>
      <c r="CN376" s="51"/>
      <c r="CO376" s="51"/>
      <c r="CP376" s="51"/>
      <c r="CQ376" s="51"/>
      <c r="CR376" s="51"/>
      <c r="CS376" s="51"/>
      <c r="CT376" s="51"/>
      <c r="CU376" s="95"/>
      <c r="CV376" s="93"/>
      <c r="CW376" s="51"/>
      <c r="CX376" s="51"/>
      <c r="CY376" s="51"/>
      <c r="CZ376" s="51"/>
      <c r="DA376" s="51"/>
      <c r="DB376" s="51"/>
      <c r="DC376" s="51"/>
      <c r="DD376" s="95"/>
      <c r="DE376" s="93"/>
      <c r="DF376" s="51"/>
      <c r="DG376" s="51"/>
      <c r="DH376" s="51"/>
      <c r="DI376" s="51"/>
      <c r="DJ376" s="51"/>
      <c r="DK376" s="51"/>
      <c r="DL376" s="95"/>
      <c r="DM376" s="478"/>
      <c r="DN376" s="682">
        <f t="shared" si="47"/>
        <v>0</v>
      </c>
      <c r="DO376" s="683"/>
    </row>
    <row r="377" spans="1:119" ht="25.5" customHeight="1" thickTop="1" thickBot="1" x14ac:dyDescent="0.2">
      <c r="A377" s="676">
        <f t="shared" si="43"/>
        <v>362</v>
      </c>
      <c r="B377" s="1054"/>
      <c r="C377" s="1055"/>
      <c r="D377" s="83"/>
      <c r="E377" s="954"/>
      <c r="F377" s="52"/>
      <c r="G377" s="103"/>
      <c r="H377" s="1058"/>
      <c r="I377" s="684" t="str">
        <f t="shared" si="40"/>
        <v/>
      </c>
      <c r="J377" s="685">
        <f t="shared" si="41"/>
        <v>0</v>
      </c>
      <c r="K377" s="1258"/>
      <c r="L377" s="1251"/>
      <c r="M377" s="1257"/>
      <c r="N377" s="719" t="str">
        <f t="shared" si="44"/>
        <v/>
      </c>
      <c r="O377" s="720" t="str">
        <f>IF('Set up ~ Config'!$G$32=6,IF(OR($N377=7,$N377=8,$N377=9),1,IF(OR($N377=10,$N377=11,$N377=12),2,IF(OR($N377=1,$N377=2,$N377=3),3,IF(OR($N377=4,$N377=5,$N377=6),4,"")))),IF(OR($N377=9,$N377=10,$N377=11),1,IF(OR($N377=12,$N377=1,$N377=2),2,IF(OR($N377=3,$N377=4,$N377=5),3,IF(OR($N377=6,$N377=7,$N377=8),4,"")))))</f>
        <v/>
      </c>
      <c r="P377" s="99"/>
      <c r="Q377" s="62"/>
      <c r="R377" s="62"/>
      <c r="S377" s="51"/>
      <c r="T377" s="51"/>
      <c r="U377" s="51"/>
      <c r="V377" s="51"/>
      <c r="W377" s="51"/>
      <c r="X377" s="51"/>
      <c r="Y377" s="51"/>
      <c r="Z377" s="51"/>
      <c r="AA377" s="51"/>
      <c r="AB377" s="51"/>
      <c r="AC377" s="51"/>
      <c r="AD377" s="51"/>
      <c r="AE377" s="51"/>
      <c r="AF377" s="51"/>
      <c r="AG377" s="51"/>
      <c r="AH377" s="94"/>
      <c r="AI377" s="94"/>
      <c r="AJ377" s="94"/>
      <c r="AK377" s="94"/>
      <c r="AL377" s="94"/>
      <c r="AM377" s="94"/>
      <c r="AN377" s="94"/>
      <c r="AO377" s="95"/>
      <c r="AP377" s="686">
        <f t="shared" si="45"/>
        <v>0</v>
      </c>
      <c r="AQ377" s="42"/>
      <c r="AR377" s="42"/>
      <c r="AS377" s="42"/>
      <c r="AT377" s="43"/>
      <c r="AU377" s="687">
        <f t="shared" si="46"/>
        <v>0</v>
      </c>
      <c r="AV377" s="42"/>
      <c r="AW377" s="42"/>
      <c r="AX377" s="42"/>
      <c r="AY377" s="43"/>
      <c r="AZ377" s="486"/>
      <c r="BA377" s="51"/>
      <c r="BB377" s="51"/>
      <c r="BC377" s="51"/>
      <c r="BD377" s="51"/>
      <c r="BE377" s="51"/>
      <c r="BF377" s="51"/>
      <c r="BG377" s="51"/>
      <c r="BH377" s="94"/>
      <c r="BI377" s="94"/>
      <c r="BJ377" s="94"/>
      <c r="BK377" s="94"/>
      <c r="BL377" s="94"/>
      <c r="BM377" s="483"/>
      <c r="BN377" s="94"/>
      <c r="BO377" s="94"/>
      <c r="BP377" s="94"/>
      <c r="BQ377" s="94"/>
      <c r="BR377" s="94"/>
      <c r="BS377" s="94"/>
      <c r="BT377" s="94"/>
      <c r="BU377" s="94"/>
      <c r="BV377" s="94"/>
      <c r="BW377" s="688">
        <f t="shared" si="42"/>
        <v>0</v>
      </c>
      <c r="BX377" s="51"/>
      <c r="BY377" s="51"/>
      <c r="BZ377" s="51"/>
      <c r="CA377" s="51"/>
      <c r="CB377" s="51"/>
      <c r="CC377" s="51"/>
      <c r="CD377" s="97"/>
      <c r="CE377" s="479"/>
      <c r="CF377" s="51"/>
      <c r="CG377" s="51"/>
      <c r="CH377" s="62"/>
      <c r="CI377" s="62"/>
      <c r="CJ377" s="51"/>
      <c r="CK377" s="51"/>
      <c r="CL377" s="95"/>
      <c r="CM377" s="93"/>
      <c r="CN377" s="51"/>
      <c r="CO377" s="51"/>
      <c r="CP377" s="51"/>
      <c r="CQ377" s="51"/>
      <c r="CR377" s="51"/>
      <c r="CS377" s="51"/>
      <c r="CT377" s="51"/>
      <c r="CU377" s="95"/>
      <c r="CV377" s="93"/>
      <c r="CW377" s="51"/>
      <c r="CX377" s="51"/>
      <c r="CY377" s="51"/>
      <c r="CZ377" s="51"/>
      <c r="DA377" s="51"/>
      <c r="DB377" s="51"/>
      <c r="DC377" s="51"/>
      <c r="DD377" s="95"/>
      <c r="DE377" s="93"/>
      <c r="DF377" s="51"/>
      <c r="DG377" s="51"/>
      <c r="DH377" s="51"/>
      <c r="DI377" s="51"/>
      <c r="DJ377" s="51"/>
      <c r="DK377" s="51"/>
      <c r="DL377" s="95"/>
      <c r="DM377" s="478"/>
      <c r="DN377" s="682">
        <f t="shared" si="47"/>
        <v>0</v>
      </c>
      <c r="DO377" s="683"/>
    </row>
    <row r="378" spans="1:119" ht="25.5" customHeight="1" thickTop="1" thickBot="1" x14ac:dyDescent="0.2">
      <c r="A378" s="676">
        <f t="shared" si="43"/>
        <v>363</v>
      </c>
      <c r="B378" s="1054"/>
      <c r="C378" s="1055"/>
      <c r="D378" s="83"/>
      <c r="E378" s="954"/>
      <c r="F378" s="52"/>
      <c r="G378" s="103"/>
      <c r="H378" s="1058"/>
      <c r="I378" s="684" t="str">
        <f t="shared" si="40"/>
        <v/>
      </c>
      <c r="J378" s="685">
        <f t="shared" si="41"/>
        <v>0</v>
      </c>
      <c r="K378" s="1258"/>
      <c r="L378" s="1251"/>
      <c r="M378" s="1257"/>
      <c r="N378" s="719" t="str">
        <f t="shared" si="44"/>
        <v/>
      </c>
      <c r="O378" s="720" t="str">
        <f>IF('Set up ~ Config'!$G$32=6,IF(OR($N378=7,$N378=8,$N378=9),1,IF(OR($N378=10,$N378=11,$N378=12),2,IF(OR($N378=1,$N378=2,$N378=3),3,IF(OR($N378=4,$N378=5,$N378=6),4,"")))),IF(OR($N378=9,$N378=10,$N378=11),1,IF(OR($N378=12,$N378=1,$N378=2),2,IF(OR($N378=3,$N378=4,$N378=5),3,IF(OR($N378=6,$N378=7,$N378=8),4,"")))))</f>
        <v/>
      </c>
      <c r="P378" s="99"/>
      <c r="Q378" s="62"/>
      <c r="R378" s="62"/>
      <c r="S378" s="51"/>
      <c r="T378" s="51"/>
      <c r="U378" s="51"/>
      <c r="V378" s="51"/>
      <c r="W378" s="51"/>
      <c r="X378" s="51"/>
      <c r="Y378" s="51"/>
      <c r="Z378" s="51"/>
      <c r="AA378" s="51"/>
      <c r="AB378" s="51"/>
      <c r="AC378" s="51"/>
      <c r="AD378" s="51"/>
      <c r="AE378" s="51"/>
      <c r="AF378" s="51"/>
      <c r="AG378" s="51"/>
      <c r="AH378" s="94"/>
      <c r="AI378" s="94"/>
      <c r="AJ378" s="94"/>
      <c r="AK378" s="94"/>
      <c r="AL378" s="94"/>
      <c r="AM378" s="94"/>
      <c r="AN378" s="94"/>
      <c r="AO378" s="95"/>
      <c r="AP378" s="686">
        <f t="shared" si="45"/>
        <v>0</v>
      </c>
      <c r="AQ378" s="42"/>
      <c r="AR378" s="42"/>
      <c r="AS378" s="42"/>
      <c r="AT378" s="43"/>
      <c r="AU378" s="687">
        <f t="shared" si="46"/>
        <v>0</v>
      </c>
      <c r="AV378" s="42"/>
      <c r="AW378" s="42"/>
      <c r="AX378" s="42"/>
      <c r="AY378" s="43"/>
      <c r="AZ378" s="486"/>
      <c r="BA378" s="51"/>
      <c r="BB378" s="51"/>
      <c r="BC378" s="51"/>
      <c r="BD378" s="51"/>
      <c r="BE378" s="51"/>
      <c r="BF378" s="51"/>
      <c r="BG378" s="51"/>
      <c r="BH378" s="94"/>
      <c r="BI378" s="94"/>
      <c r="BJ378" s="94"/>
      <c r="BK378" s="94"/>
      <c r="BL378" s="94"/>
      <c r="BM378" s="483"/>
      <c r="BN378" s="94"/>
      <c r="BO378" s="94"/>
      <c r="BP378" s="94"/>
      <c r="BQ378" s="94"/>
      <c r="BR378" s="94"/>
      <c r="BS378" s="94"/>
      <c r="BT378" s="94"/>
      <c r="BU378" s="94"/>
      <c r="BV378" s="94"/>
      <c r="BW378" s="688">
        <f t="shared" si="42"/>
        <v>0</v>
      </c>
      <c r="BX378" s="51"/>
      <c r="BY378" s="51"/>
      <c r="BZ378" s="51"/>
      <c r="CA378" s="51"/>
      <c r="CB378" s="51"/>
      <c r="CC378" s="51"/>
      <c r="CD378" s="97"/>
      <c r="CE378" s="479"/>
      <c r="CF378" s="51"/>
      <c r="CG378" s="51"/>
      <c r="CH378" s="62"/>
      <c r="CI378" s="62"/>
      <c r="CJ378" s="51"/>
      <c r="CK378" s="51"/>
      <c r="CL378" s="95"/>
      <c r="CM378" s="93"/>
      <c r="CN378" s="51"/>
      <c r="CO378" s="51"/>
      <c r="CP378" s="51"/>
      <c r="CQ378" s="51"/>
      <c r="CR378" s="51"/>
      <c r="CS378" s="51"/>
      <c r="CT378" s="51"/>
      <c r="CU378" s="95"/>
      <c r="CV378" s="93"/>
      <c r="CW378" s="51"/>
      <c r="CX378" s="51"/>
      <c r="CY378" s="51"/>
      <c r="CZ378" s="51"/>
      <c r="DA378" s="51"/>
      <c r="DB378" s="51"/>
      <c r="DC378" s="51"/>
      <c r="DD378" s="95"/>
      <c r="DE378" s="93"/>
      <c r="DF378" s="51"/>
      <c r="DG378" s="51"/>
      <c r="DH378" s="51"/>
      <c r="DI378" s="51"/>
      <c r="DJ378" s="51"/>
      <c r="DK378" s="51"/>
      <c r="DL378" s="95"/>
      <c r="DM378" s="478"/>
      <c r="DN378" s="682">
        <f t="shared" si="47"/>
        <v>0</v>
      </c>
      <c r="DO378" s="683"/>
    </row>
    <row r="379" spans="1:119" ht="25.5" customHeight="1" thickTop="1" thickBot="1" x14ac:dyDescent="0.2">
      <c r="A379" s="676">
        <f t="shared" si="43"/>
        <v>364</v>
      </c>
      <c r="B379" s="1054"/>
      <c r="C379" s="1055"/>
      <c r="D379" s="83"/>
      <c r="E379" s="954"/>
      <c r="F379" s="52"/>
      <c r="G379" s="103"/>
      <c r="H379" s="1058"/>
      <c r="I379" s="684" t="str">
        <f t="shared" si="40"/>
        <v/>
      </c>
      <c r="J379" s="685">
        <f t="shared" si="41"/>
        <v>0</v>
      </c>
      <c r="K379" s="1258"/>
      <c r="L379" s="1251"/>
      <c r="M379" s="1257"/>
      <c r="N379" s="719" t="str">
        <f t="shared" si="44"/>
        <v/>
      </c>
      <c r="O379" s="720" t="str">
        <f>IF('Set up ~ Config'!$G$32=6,IF(OR($N379=7,$N379=8,$N379=9),1,IF(OR($N379=10,$N379=11,$N379=12),2,IF(OR($N379=1,$N379=2,$N379=3),3,IF(OR($N379=4,$N379=5,$N379=6),4,"")))),IF(OR($N379=9,$N379=10,$N379=11),1,IF(OR($N379=12,$N379=1,$N379=2),2,IF(OR($N379=3,$N379=4,$N379=5),3,IF(OR($N379=6,$N379=7,$N379=8),4,"")))))</f>
        <v/>
      </c>
      <c r="P379" s="99"/>
      <c r="Q379" s="62"/>
      <c r="R379" s="62"/>
      <c r="S379" s="51"/>
      <c r="T379" s="51"/>
      <c r="U379" s="51"/>
      <c r="V379" s="51"/>
      <c r="W379" s="51"/>
      <c r="X379" s="51"/>
      <c r="Y379" s="51"/>
      <c r="Z379" s="51"/>
      <c r="AA379" s="51"/>
      <c r="AB379" s="51"/>
      <c r="AC379" s="51"/>
      <c r="AD379" s="51"/>
      <c r="AE379" s="51"/>
      <c r="AF379" s="51"/>
      <c r="AG379" s="51"/>
      <c r="AH379" s="94"/>
      <c r="AI379" s="94"/>
      <c r="AJ379" s="94"/>
      <c r="AK379" s="94"/>
      <c r="AL379" s="94"/>
      <c r="AM379" s="94"/>
      <c r="AN379" s="94"/>
      <c r="AO379" s="95"/>
      <c r="AP379" s="686">
        <f t="shared" si="45"/>
        <v>0</v>
      </c>
      <c r="AQ379" s="42"/>
      <c r="AR379" s="42"/>
      <c r="AS379" s="42"/>
      <c r="AT379" s="43"/>
      <c r="AU379" s="687">
        <f t="shared" si="46"/>
        <v>0</v>
      </c>
      <c r="AV379" s="42"/>
      <c r="AW379" s="42"/>
      <c r="AX379" s="42"/>
      <c r="AY379" s="43"/>
      <c r="AZ379" s="486"/>
      <c r="BA379" s="51"/>
      <c r="BB379" s="51"/>
      <c r="BC379" s="51"/>
      <c r="BD379" s="51"/>
      <c r="BE379" s="51"/>
      <c r="BF379" s="51"/>
      <c r="BG379" s="51"/>
      <c r="BH379" s="94"/>
      <c r="BI379" s="94"/>
      <c r="BJ379" s="94"/>
      <c r="BK379" s="94"/>
      <c r="BL379" s="94"/>
      <c r="BM379" s="483"/>
      <c r="BN379" s="94"/>
      <c r="BO379" s="94"/>
      <c r="BP379" s="94"/>
      <c r="BQ379" s="94"/>
      <c r="BR379" s="94"/>
      <c r="BS379" s="94"/>
      <c r="BT379" s="94"/>
      <c r="BU379" s="94"/>
      <c r="BV379" s="94"/>
      <c r="BW379" s="688">
        <f t="shared" si="42"/>
        <v>0</v>
      </c>
      <c r="BX379" s="51"/>
      <c r="BY379" s="51"/>
      <c r="BZ379" s="51"/>
      <c r="CA379" s="51"/>
      <c r="CB379" s="51"/>
      <c r="CC379" s="51"/>
      <c r="CD379" s="97"/>
      <c r="CE379" s="479"/>
      <c r="CF379" s="51"/>
      <c r="CG379" s="51"/>
      <c r="CH379" s="62"/>
      <c r="CI379" s="62"/>
      <c r="CJ379" s="51"/>
      <c r="CK379" s="51"/>
      <c r="CL379" s="95"/>
      <c r="CM379" s="93"/>
      <c r="CN379" s="51"/>
      <c r="CO379" s="51"/>
      <c r="CP379" s="51"/>
      <c r="CQ379" s="51"/>
      <c r="CR379" s="51"/>
      <c r="CS379" s="51"/>
      <c r="CT379" s="51"/>
      <c r="CU379" s="95"/>
      <c r="CV379" s="93"/>
      <c r="CW379" s="51"/>
      <c r="CX379" s="51"/>
      <c r="CY379" s="51"/>
      <c r="CZ379" s="51"/>
      <c r="DA379" s="51"/>
      <c r="DB379" s="51"/>
      <c r="DC379" s="51"/>
      <c r="DD379" s="95"/>
      <c r="DE379" s="93"/>
      <c r="DF379" s="51"/>
      <c r="DG379" s="51"/>
      <c r="DH379" s="51"/>
      <c r="DI379" s="51"/>
      <c r="DJ379" s="51"/>
      <c r="DK379" s="51"/>
      <c r="DL379" s="95"/>
      <c r="DM379" s="478"/>
      <c r="DN379" s="682">
        <f t="shared" si="47"/>
        <v>0</v>
      </c>
      <c r="DO379" s="683"/>
    </row>
    <row r="380" spans="1:119" ht="25.5" customHeight="1" thickTop="1" thickBot="1" x14ac:dyDescent="0.2">
      <c r="A380" s="676">
        <f t="shared" si="43"/>
        <v>365</v>
      </c>
      <c r="B380" s="1054"/>
      <c r="C380" s="1055"/>
      <c r="D380" s="83"/>
      <c r="E380" s="954"/>
      <c r="F380" s="52"/>
      <c r="G380" s="103"/>
      <c r="H380" s="1058"/>
      <c r="I380" s="684" t="str">
        <f t="shared" si="40"/>
        <v/>
      </c>
      <c r="J380" s="685">
        <f t="shared" si="41"/>
        <v>0</v>
      </c>
      <c r="K380" s="1258"/>
      <c r="L380" s="1251"/>
      <c r="M380" s="1257"/>
      <c r="N380" s="719" t="str">
        <f t="shared" si="44"/>
        <v/>
      </c>
      <c r="O380" s="720" t="str">
        <f>IF('Set up ~ Config'!$G$32=6,IF(OR($N380=7,$N380=8,$N380=9),1,IF(OR($N380=10,$N380=11,$N380=12),2,IF(OR($N380=1,$N380=2,$N380=3),3,IF(OR($N380=4,$N380=5,$N380=6),4,"")))),IF(OR($N380=9,$N380=10,$N380=11),1,IF(OR($N380=12,$N380=1,$N380=2),2,IF(OR($N380=3,$N380=4,$N380=5),3,IF(OR($N380=6,$N380=7,$N380=8),4,"")))))</f>
        <v/>
      </c>
      <c r="P380" s="99"/>
      <c r="Q380" s="62"/>
      <c r="R380" s="62"/>
      <c r="S380" s="51"/>
      <c r="T380" s="51"/>
      <c r="U380" s="51"/>
      <c r="V380" s="51"/>
      <c r="W380" s="51"/>
      <c r="X380" s="51"/>
      <c r="Y380" s="51"/>
      <c r="Z380" s="51"/>
      <c r="AA380" s="51"/>
      <c r="AB380" s="51"/>
      <c r="AC380" s="51"/>
      <c r="AD380" s="51"/>
      <c r="AE380" s="51"/>
      <c r="AF380" s="51"/>
      <c r="AG380" s="51"/>
      <c r="AH380" s="94"/>
      <c r="AI380" s="94"/>
      <c r="AJ380" s="94"/>
      <c r="AK380" s="94"/>
      <c r="AL380" s="94"/>
      <c r="AM380" s="94"/>
      <c r="AN380" s="94"/>
      <c r="AO380" s="95"/>
      <c r="AP380" s="686">
        <f t="shared" si="45"/>
        <v>0</v>
      </c>
      <c r="AQ380" s="42"/>
      <c r="AR380" s="42"/>
      <c r="AS380" s="42"/>
      <c r="AT380" s="43"/>
      <c r="AU380" s="687">
        <f t="shared" si="46"/>
        <v>0</v>
      </c>
      <c r="AV380" s="42"/>
      <c r="AW380" s="42"/>
      <c r="AX380" s="42"/>
      <c r="AY380" s="43"/>
      <c r="AZ380" s="486"/>
      <c r="BA380" s="51"/>
      <c r="BB380" s="51"/>
      <c r="BC380" s="51"/>
      <c r="BD380" s="51"/>
      <c r="BE380" s="51"/>
      <c r="BF380" s="51"/>
      <c r="BG380" s="51"/>
      <c r="BH380" s="94"/>
      <c r="BI380" s="94"/>
      <c r="BJ380" s="94"/>
      <c r="BK380" s="94"/>
      <c r="BL380" s="94"/>
      <c r="BM380" s="483"/>
      <c r="BN380" s="94"/>
      <c r="BO380" s="94"/>
      <c r="BP380" s="94"/>
      <c r="BQ380" s="94"/>
      <c r="BR380" s="94"/>
      <c r="BS380" s="94"/>
      <c r="BT380" s="94"/>
      <c r="BU380" s="94"/>
      <c r="BV380" s="94"/>
      <c r="BW380" s="688">
        <f t="shared" si="42"/>
        <v>0</v>
      </c>
      <c r="BX380" s="51"/>
      <c r="BY380" s="51"/>
      <c r="BZ380" s="51"/>
      <c r="CA380" s="51"/>
      <c r="CB380" s="51"/>
      <c r="CC380" s="51"/>
      <c r="CD380" s="97"/>
      <c r="CE380" s="479"/>
      <c r="CF380" s="51"/>
      <c r="CG380" s="51"/>
      <c r="CH380" s="62"/>
      <c r="CI380" s="62"/>
      <c r="CJ380" s="51"/>
      <c r="CK380" s="51"/>
      <c r="CL380" s="95"/>
      <c r="CM380" s="93"/>
      <c r="CN380" s="51"/>
      <c r="CO380" s="51"/>
      <c r="CP380" s="51"/>
      <c r="CQ380" s="51"/>
      <c r="CR380" s="51"/>
      <c r="CS380" s="51"/>
      <c r="CT380" s="51"/>
      <c r="CU380" s="95"/>
      <c r="CV380" s="93"/>
      <c r="CW380" s="51"/>
      <c r="CX380" s="51"/>
      <c r="CY380" s="51"/>
      <c r="CZ380" s="51"/>
      <c r="DA380" s="51"/>
      <c r="DB380" s="51"/>
      <c r="DC380" s="51"/>
      <c r="DD380" s="95"/>
      <c r="DE380" s="93"/>
      <c r="DF380" s="51"/>
      <c r="DG380" s="51"/>
      <c r="DH380" s="51"/>
      <c r="DI380" s="51"/>
      <c r="DJ380" s="51"/>
      <c r="DK380" s="51"/>
      <c r="DL380" s="95"/>
      <c r="DM380" s="478"/>
      <c r="DN380" s="682">
        <f t="shared" si="47"/>
        <v>0</v>
      </c>
      <c r="DO380" s="683"/>
    </row>
    <row r="381" spans="1:119" ht="25.5" customHeight="1" thickTop="1" thickBot="1" x14ac:dyDescent="0.2">
      <c r="A381" s="676">
        <f t="shared" si="43"/>
        <v>366</v>
      </c>
      <c r="B381" s="1054"/>
      <c r="C381" s="1055"/>
      <c r="D381" s="83"/>
      <c r="E381" s="954"/>
      <c r="F381" s="52"/>
      <c r="G381" s="103"/>
      <c r="H381" s="1058"/>
      <c r="I381" s="684" t="str">
        <f t="shared" si="40"/>
        <v/>
      </c>
      <c r="J381" s="685">
        <f t="shared" si="41"/>
        <v>0</v>
      </c>
      <c r="K381" s="1258"/>
      <c r="L381" s="1251"/>
      <c r="M381" s="1257"/>
      <c r="N381" s="719" t="str">
        <f t="shared" si="44"/>
        <v/>
      </c>
      <c r="O381" s="720" t="str">
        <f>IF('Set up ~ Config'!$G$32=6,IF(OR($N381=7,$N381=8,$N381=9),1,IF(OR($N381=10,$N381=11,$N381=12),2,IF(OR($N381=1,$N381=2,$N381=3),3,IF(OR($N381=4,$N381=5,$N381=6),4,"")))),IF(OR($N381=9,$N381=10,$N381=11),1,IF(OR($N381=12,$N381=1,$N381=2),2,IF(OR($N381=3,$N381=4,$N381=5),3,IF(OR($N381=6,$N381=7,$N381=8),4,"")))))</f>
        <v/>
      </c>
      <c r="P381" s="99"/>
      <c r="Q381" s="62"/>
      <c r="R381" s="62"/>
      <c r="S381" s="51"/>
      <c r="T381" s="51"/>
      <c r="U381" s="51"/>
      <c r="V381" s="51"/>
      <c r="W381" s="51"/>
      <c r="X381" s="51"/>
      <c r="Y381" s="51"/>
      <c r="Z381" s="51"/>
      <c r="AA381" s="51"/>
      <c r="AB381" s="51"/>
      <c r="AC381" s="51"/>
      <c r="AD381" s="51"/>
      <c r="AE381" s="51"/>
      <c r="AF381" s="51"/>
      <c r="AG381" s="51"/>
      <c r="AH381" s="94"/>
      <c r="AI381" s="94"/>
      <c r="AJ381" s="94"/>
      <c r="AK381" s="94"/>
      <c r="AL381" s="94"/>
      <c r="AM381" s="94"/>
      <c r="AN381" s="94"/>
      <c r="AO381" s="95"/>
      <c r="AP381" s="686">
        <f t="shared" si="45"/>
        <v>0</v>
      </c>
      <c r="AQ381" s="42"/>
      <c r="AR381" s="42"/>
      <c r="AS381" s="42"/>
      <c r="AT381" s="43"/>
      <c r="AU381" s="687">
        <f t="shared" si="46"/>
        <v>0</v>
      </c>
      <c r="AV381" s="42"/>
      <c r="AW381" s="42"/>
      <c r="AX381" s="42"/>
      <c r="AY381" s="43"/>
      <c r="AZ381" s="486"/>
      <c r="BA381" s="51"/>
      <c r="BB381" s="51"/>
      <c r="BC381" s="51"/>
      <c r="BD381" s="51"/>
      <c r="BE381" s="51"/>
      <c r="BF381" s="51"/>
      <c r="BG381" s="51"/>
      <c r="BH381" s="94"/>
      <c r="BI381" s="94"/>
      <c r="BJ381" s="94"/>
      <c r="BK381" s="94"/>
      <c r="BL381" s="94"/>
      <c r="BM381" s="483"/>
      <c r="BN381" s="94"/>
      <c r="BO381" s="94"/>
      <c r="BP381" s="94"/>
      <c r="BQ381" s="94"/>
      <c r="BR381" s="94"/>
      <c r="BS381" s="94"/>
      <c r="BT381" s="94"/>
      <c r="BU381" s="94"/>
      <c r="BV381" s="94"/>
      <c r="BW381" s="688">
        <f t="shared" si="42"/>
        <v>0</v>
      </c>
      <c r="BX381" s="51"/>
      <c r="BY381" s="51"/>
      <c r="BZ381" s="51"/>
      <c r="CA381" s="51"/>
      <c r="CB381" s="51"/>
      <c r="CC381" s="51"/>
      <c r="CD381" s="97"/>
      <c r="CE381" s="479"/>
      <c r="CF381" s="51"/>
      <c r="CG381" s="51"/>
      <c r="CH381" s="62"/>
      <c r="CI381" s="62"/>
      <c r="CJ381" s="51"/>
      <c r="CK381" s="51"/>
      <c r="CL381" s="95"/>
      <c r="CM381" s="93"/>
      <c r="CN381" s="51"/>
      <c r="CO381" s="51"/>
      <c r="CP381" s="51"/>
      <c r="CQ381" s="51"/>
      <c r="CR381" s="51"/>
      <c r="CS381" s="51"/>
      <c r="CT381" s="51"/>
      <c r="CU381" s="95"/>
      <c r="CV381" s="93"/>
      <c r="CW381" s="51"/>
      <c r="CX381" s="51"/>
      <c r="CY381" s="51"/>
      <c r="CZ381" s="51"/>
      <c r="DA381" s="51"/>
      <c r="DB381" s="51"/>
      <c r="DC381" s="51"/>
      <c r="DD381" s="95"/>
      <c r="DE381" s="93"/>
      <c r="DF381" s="51"/>
      <c r="DG381" s="51"/>
      <c r="DH381" s="51"/>
      <c r="DI381" s="51"/>
      <c r="DJ381" s="51"/>
      <c r="DK381" s="51"/>
      <c r="DL381" s="95"/>
      <c r="DM381" s="478"/>
      <c r="DN381" s="682">
        <f t="shared" si="47"/>
        <v>0</v>
      </c>
      <c r="DO381" s="683"/>
    </row>
    <row r="382" spans="1:119" ht="25.5" customHeight="1" thickTop="1" thickBot="1" x14ac:dyDescent="0.2">
      <c r="A382" s="676">
        <f t="shared" si="43"/>
        <v>367</v>
      </c>
      <c r="B382" s="1054"/>
      <c r="C382" s="1055"/>
      <c r="D382" s="83"/>
      <c r="E382" s="954"/>
      <c r="F382" s="52"/>
      <c r="G382" s="103"/>
      <c r="H382" s="1058"/>
      <c r="I382" s="684" t="str">
        <f t="shared" si="40"/>
        <v/>
      </c>
      <c r="J382" s="685">
        <f t="shared" si="41"/>
        <v>0</v>
      </c>
      <c r="K382" s="1258"/>
      <c r="L382" s="1251"/>
      <c r="M382" s="1257"/>
      <c r="N382" s="719" t="str">
        <f t="shared" si="44"/>
        <v/>
      </c>
      <c r="O382" s="720" t="str">
        <f>IF('Set up ~ Config'!$G$32=6,IF(OR($N382=7,$N382=8,$N382=9),1,IF(OR($N382=10,$N382=11,$N382=12),2,IF(OR($N382=1,$N382=2,$N382=3),3,IF(OR($N382=4,$N382=5,$N382=6),4,"")))),IF(OR($N382=9,$N382=10,$N382=11),1,IF(OR($N382=12,$N382=1,$N382=2),2,IF(OR($N382=3,$N382=4,$N382=5),3,IF(OR($N382=6,$N382=7,$N382=8),4,"")))))</f>
        <v/>
      </c>
      <c r="P382" s="99"/>
      <c r="Q382" s="62"/>
      <c r="R382" s="62"/>
      <c r="S382" s="51"/>
      <c r="T382" s="51"/>
      <c r="U382" s="51"/>
      <c r="V382" s="51"/>
      <c r="W382" s="51"/>
      <c r="X382" s="51"/>
      <c r="Y382" s="51"/>
      <c r="Z382" s="51"/>
      <c r="AA382" s="51"/>
      <c r="AB382" s="51"/>
      <c r="AC382" s="51"/>
      <c r="AD382" s="51"/>
      <c r="AE382" s="51"/>
      <c r="AF382" s="51"/>
      <c r="AG382" s="51"/>
      <c r="AH382" s="94"/>
      <c r="AI382" s="94"/>
      <c r="AJ382" s="94"/>
      <c r="AK382" s="94"/>
      <c r="AL382" s="94"/>
      <c r="AM382" s="94"/>
      <c r="AN382" s="94"/>
      <c r="AO382" s="95"/>
      <c r="AP382" s="686">
        <f t="shared" si="45"/>
        <v>0</v>
      </c>
      <c r="AQ382" s="42"/>
      <c r="AR382" s="42"/>
      <c r="AS382" s="42"/>
      <c r="AT382" s="43"/>
      <c r="AU382" s="687">
        <f t="shared" si="46"/>
        <v>0</v>
      </c>
      <c r="AV382" s="42"/>
      <c r="AW382" s="42"/>
      <c r="AX382" s="42"/>
      <c r="AY382" s="43"/>
      <c r="AZ382" s="486"/>
      <c r="BA382" s="51"/>
      <c r="BB382" s="51"/>
      <c r="BC382" s="51"/>
      <c r="BD382" s="51"/>
      <c r="BE382" s="51"/>
      <c r="BF382" s="51"/>
      <c r="BG382" s="51"/>
      <c r="BH382" s="94"/>
      <c r="BI382" s="94"/>
      <c r="BJ382" s="94"/>
      <c r="BK382" s="94"/>
      <c r="BL382" s="94"/>
      <c r="BM382" s="483"/>
      <c r="BN382" s="94"/>
      <c r="BO382" s="94"/>
      <c r="BP382" s="94"/>
      <c r="BQ382" s="94"/>
      <c r="BR382" s="94"/>
      <c r="BS382" s="94"/>
      <c r="BT382" s="94"/>
      <c r="BU382" s="94"/>
      <c r="BV382" s="94"/>
      <c r="BW382" s="688">
        <f t="shared" si="42"/>
        <v>0</v>
      </c>
      <c r="BX382" s="51"/>
      <c r="BY382" s="51"/>
      <c r="BZ382" s="51"/>
      <c r="CA382" s="51"/>
      <c r="CB382" s="51"/>
      <c r="CC382" s="51"/>
      <c r="CD382" s="97"/>
      <c r="CE382" s="479"/>
      <c r="CF382" s="51"/>
      <c r="CG382" s="51"/>
      <c r="CH382" s="62"/>
      <c r="CI382" s="62"/>
      <c r="CJ382" s="51"/>
      <c r="CK382" s="51"/>
      <c r="CL382" s="95"/>
      <c r="CM382" s="93"/>
      <c r="CN382" s="51"/>
      <c r="CO382" s="51"/>
      <c r="CP382" s="51"/>
      <c r="CQ382" s="51"/>
      <c r="CR382" s="51"/>
      <c r="CS382" s="51"/>
      <c r="CT382" s="51"/>
      <c r="CU382" s="95"/>
      <c r="CV382" s="93"/>
      <c r="CW382" s="51"/>
      <c r="CX382" s="51"/>
      <c r="CY382" s="51"/>
      <c r="CZ382" s="51"/>
      <c r="DA382" s="51"/>
      <c r="DB382" s="51"/>
      <c r="DC382" s="51"/>
      <c r="DD382" s="95"/>
      <c r="DE382" s="93"/>
      <c r="DF382" s="51"/>
      <c r="DG382" s="51"/>
      <c r="DH382" s="51"/>
      <c r="DI382" s="51"/>
      <c r="DJ382" s="51"/>
      <c r="DK382" s="51"/>
      <c r="DL382" s="95"/>
      <c r="DM382" s="478"/>
      <c r="DN382" s="682">
        <f t="shared" si="47"/>
        <v>0</v>
      </c>
      <c r="DO382" s="683"/>
    </row>
    <row r="383" spans="1:119" ht="25.5" customHeight="1" thickTop="1" thickBot="1" x14ac:dyDescent="0.2">
      <c r="A383" s="676">
        <f t="shared" si="43"/>
        <v>368</v>
      </c>
      <c r="B383" s="1054"/>
      <c r="C383" s="1055"/>
      <c r="D383" s="83"/>
      <c r="E383" s="954"/>
      <c r="F383" s="52"/>
      <c r="G383" s="103"/>
      <c r="H383" s="1058"/>
      <c r="I383" s="684" t="str">
        <f t="shared" si="40"/>
        <v/>
      </c>
      <c r="J383" s="685">
        <f t="shared" si="41"/>
        <v>0</v>
      </c>
      <c r="K383" s="1258"/>
      <c r="L383" s="1251"/>
      <c r="M383" s="1257"/>
      <c r="N383" s="719" t="str">
        <f t="shared" si="44"/>
        <v/>
      </c>
      <c r="O383" s="720" t="str">
        <f>IF('Set up ~ Config'!$G$32=6,IF(OR($N383=7,$N383=8,$N383=9),1,IF(OR($N383=10,$N383=11,$N383=12),2,IF(OR($N383=1,$N383=2,$N383=3),3,IF(OR($N383=4,$N383=5,$N383=6),4,"")))),IF(OR($N383=9,$N383=10,$N383=11),1,IF(OR($N383=12,$N383=1,$N383=2),2,IF(OR($N383=3,$N383=4,$N383=5),3,IF(OR($N383=6,$N383=7,$N383=8),4,"")))))</f>
        <v/>
      </c>
      <c r="P383" s="99"/>
      <c r="Q383" s="62"/>
      <c r="R383" s="62"/>
      <c r="S383" s="51"/>
      <c r="T383" s="51"/>
      <c r="U383" s="51"/>
      <c r="V383" s="51"/>
      <c r="W383" s="51"/>
      <c r="X383" s="51"/>
      <c r="Y383" s="51"/>
      <c r="Z383" s="51"/>
      <c r="AA383" s="51"/>
      <c r="AB383" s="51"/>
      <c r="AC383" s="51"/>
      <c r="AD383" s="51"/>
      <c r="AE383" s="51"/>
      <c r="AF383" s="51"/>
      <c r="AG383" s="51"/>
      <c r="AH383" s="94"/>
      <c r="AI383" s="94"/>
      <c r="AJ383" s="94"/>
      <c r="AK383" s="94"/>
      <c r="AL383" s="94"/>
      <c r="AM383" s="94"/>
      <c r="AN383" s="94"/>
      <c r="AO383" s="95"/>
      <c r="AP383" s="686">
        <f t="shared" si="45"/>
        <v>0</v>
      </c>
      <c r="AQ383" s="42"/>
      <c r="AR383" s="42"/>
      <c r="AS383" s="42"/>
      <c r="AT383" s="43"/>
      <c r="AU383" s="687">
        <f t="shared" si="46"/>
        <v>0</v>
      </c>
      <c r="AV383" s="42"/>
      <c r="AW383" s="42"/>
      <c r="AX383" s="42"/>
      <c r="AY383" s="43"/>
      <c r="AZ383" s="486"/>
      <c r="BA383" s="51"/>
      <c r="BB383" s="51"/>
      <c r="BC383" s="51"/>
      <c r="BD383" s="51"/>
      <c r="BE383" s="51"/>
      <c r="BF383" s="51"/>
      <c r="BG383" s="51"/>
      <c r="BH383" s="94"/>
      <c r="BI383" s="94"/>
      <c r="BJ383" s="94"/>
      <c r="BK383" s="94"/>
      <c r="BL383" s="94"/>
      <c r="BM383" s="483"/>
      <c r="BN383" s="94"/>
      <c r="BO383" s="94"/>
      <c r="BP383" s="94"/>
      <c r="BQ383" s="94"/>
      <c r="BR383" s="94"/>
      <c r="BS383" s="94"/>
      <c r="BT383" s="94"/>
      <c r="BU383" s="94"/>
      <c r="BV383" s="94"/>
      <c r="BW383" s="688">
        <f t="shared" si="42"/>
        <v>0</v>
      </c>
      <c r="BX383" s="51"/>
      <c r="BY383" s="51"/>
      <c r="BZ383" s="51"/>
      <c r="CA383" s="51"/>
      <c r="CB383" s="51"/>
      <c r="CC383" s="51"/>
      <c r="CD383" s="97"/>
      <c r="CE383" s="479"/>
      <c r="CF383" s="51"/>
      <c r="CG383" s="51"/>
      <c r="CH383" s="62"/>
      <c r="CI383" s="62"/>
      <c r="CJ383" s="51"/>
      <c r="CK383" s="51"/>
      <c r="CL383" s="95"/>
      <c r="CM383" s="93"/>
      <c r="CN383" s="51"/>
      <c r="CO383" s="51"/>
      <c r="CP383" s="51"/>
      <c r="CQ383" s="51"/>
      <c r="CR383" s="51"/>
      <c r="CS383" s="51"/>
      <c r="CT383" s="51"/>
      <c r="CU383" s="95"/>
      <c r="CV383" s="93"/>
      <c r="CW383" s="51"/>
      <c r="CX383" s="51"/>
      <c r="CY383" s="51"/>
      <c r="CZ383" s="51"/>
      <c r="DA383" s="51"/>
      <c r="DB383" s="51"/>
      <c r="DC383" s="51"/>
      <c r="DD383" s="95"/>
      <c r="DE383" s="93"/>
      <c r="DF383" s="51"/>
      <c r="DG383" s="51"/>
      <c r="DH383" s="51"/>
      <c r="DI383" s="51"/>
      <c r="DJ383" s="51"/>
      <c r="DK383" s="51"/>
      <c r="DL383" s="95"/>
      <c r="DM383" s="478"/>
      <c r="DN383" s="682">
        <f t="shared" si="47"/>
        <v>0</v>
      </c>
      <c r="DO383" s="683"/>
    </row>
    <row r="384" spans="1:119" ht="25.5" customHeight="1" thickTop="1" thickBot="1" x14ac:dyDescent="0.2">
      <c r="A384" s="676">
        <f t="shared" si="43"/>
        <v>369</v>
      </c>
      <c r="B384" s="1054"/>
      <c r="C384" s="1055"/>
      <c r="D384" s="83"/>
      <c r="E384" s="954"/>
      <c r="F384" s="52"/>
      <c r="G384" s="103"/>
      <c r="H384" s="1058"/>
      <c r="I384" s="684" t="str">
        <f t="shared" si="40"/>
        <v/>
      </c>
      <c r="J384" s="685">
        <f t="shared" si="41"/>
        <v>0</v>
      </c>
      <c r="K384" s="1258"/>
      <c r="L384" s="1251"/>
      <c r="M384" s="1257"/>
      <c r="N384" s="719" t="str">
        <f t="shared" si="44"/>
        <v/>
      </c>
      <c r="O384" s="720" t="str">
        <f>IF('Set up ~ Config'!$G$32=6,IF(OR($N384=7,$N384=8,$N384=9),1,IF(OR($N384=10,$N384=11,$N384=12),2,IF(OR($N384=1,$N384=2,$N384=3),3,IF(OR($N384=4,$N384=5,$N384=6),4,"")))),IF(OR($N384=9,$N384=10,$N384=11),1,IF(OR($N384=12,$N384=1,$N384=2),2,IF(OR($N384=3,$N384=4,$N384=5),3,IF(OR($N384=6,$N384=7,$N384=8),4,"")))))</f>
        <v/>
      </c>
      <c r="P384" s="99"/>
      <c r="Q384" s="62"/>
      <c r="R384" s="62"/>
      <c r="S384" s="51"/>
      <c r="T384" s="51"/>
      <c r="U384" s="51"/>
      <c r="V384" s="51"/>
      <c r="W384" s="51"/>
      <c r="X384" s="51"/>
      <c r="Y384" s="51"/>
      <c r="Z384" s="51"/>
      <c r="AA384" s="51"/>
      <c r="AB384" s="51"/>
      <c r="AC384" s="51"/>
      <c r="AD384" s="51"/>
      <c r="AE384" s="51"/>
      <c r="AF384" s="51"/>
      <c r="AG384" s="51"/>
      <c r="AH384" s="94"/>
      <c r="AI384" s="94"/>
      <c r="AJ384" s="94"/>
      <c r="AK384" s="94"/>
      <c r="AL384" s="94"/>
      <c r="AM384" s="94"/>
      <c r="AN384" s="94"/>
      <c r="AO384" s="95"/>
      <c r="AP384" s="686">
        <f t="shared" si="45"/>
        <v>0</v>
      </c>
      <c r="AQ384" s="42"/>
      <c r="AR384" s="42"/>
      <c r="AS384" s="42"/>
      <c r="AT384" s="43"/>
      <c r="AU384" s="687">
        <f t="shared" si="46"/>
        <v>0</v>
      </c>
      <c r="AV384" s="42"/>
      <c r="AW384" s="42"/>
      <c r="AX384" s="42"/>
      <c r="AY384" s="43"/>
      <c r="AZ384" s="486"/>
      <c r="BA384" s="51"/>
      <c r="BB384" s="51"/>
      <c r="BC384" s="51"/>
      <c r="BD384" s="51"/>
      <c r="BE384" s="51"/>
      <c r="BF384" s="51"/>
      <c r="BG384" s="51"/>
      <c r="BH384" s="94"/>
      <c r="BI384" s="94"/>
      <c r="BJ384" s="94"/>
      <c r="BK384" s="94"/>
      <c r="BL384" s="94"/>
      <c r="BM384" s="483"/>
      <c r="BN384" s="94"/>
      <c r="BO384" s="94"/>
      <c r="BP384" s="94"/>
      <c r="BQ384" s="94"/>
      <c r="BR384" s="94"/>
      <c r="BS384" s="94"/>
      <c r="BT384" s="94"/>
      <c r="BU384" s="94"/>
      <c r="BV384" s="94"/>
      <c r="BW384" s="688">
        <f t="shared" si="42"/>
        <v>0</v>
      </c>
      <c r="BX384" s="51"/>
      <c r="BY384" s="51"/>
      <c r="BZ384" s="51"/>
      <c r="CA384" s="51"/>
      <c r="CB384" s="51"/>
      <c r="CC384" s="51"/>
      <c r="CD384" s="97"/>
      <c r="CE384" s="479"/>
      <c r="CF384" s="51"/>
      <c r="CG384" s="51"/>
      <c r="CH384" s="62"/>
      <c r="CI384" s="62"/>
      <c r="CJ384" s="51"/>
      <c r="CK384" s="51"/>
      <c r="CL384" s="95"/>
      <c r="CM384" s="93"/>
      <c r="CN384" s="51"/>
      <c r="CO384" s="51"/>
      <c r="CP384" s="51"/>
      <c r="CQ384" s="51"/>
      <c r="CR384" s="51"/>
      <c r="CS384" s="51"/>
      <c r="CT384" s="51"/>
      <c r="CU384" s="95"/>
      <c r="CV384" s="93"/>
      <c r="CW384" s="51"/>
      <c r="CX384" s="51"/>
      <c r="CY384" s="51"/>
      <c r="CZ384" s="51"/>
      <c r="DA384" s="51"/>
      <c r="DB384" s="51"/>
      <c r="DC384" s="51"/>
      <c r="DD384" s="95"/>
      <c r="DE384" s="93"/>
      <c r="DF384" s="51"/>
      <c r="DG384" s="51"/>
      <c r="DH384" s="51"/>
      <c r="DI384" s="51"/>
      <c r="DJ384" s="51"/>
      <c r="DK384" s="51"/>
      <c r="DL384" s="95"/>
      <c r="DM384" s="478"/>
      <c r="DN384" s="682">
        <f t="shared" si="47"/>
        <v>0</v>
      </c>
      <c r="DO384" s="683"/>
    </row>
    <row r="385" spans="1:119" ht="25.5" customHeight="1" thickTop="1" thickBot="1" x14ac:dyDescent="0.2">
      <c r="A385" s="676">
        <f t="shared" si="43"/>
        <v>370</v>
      </c>
      <c r="B385" s="1054"/>
      <c r="C385" s="1055"/>
      <c r="D385" s="83"/>
      <c r="E385" s="954"/>
      <c r="F385" s="52"/>
      <c r="G385" s="103"/>
      <c r="H385" s="1058"/>
      <c r="I385" s="684" t="str">
        <f t="shared" si="40"/>
        <v/>
      </c>
      <c r="J385" s="685">
        <f t="shared" si="41"/>
        <v>0</v>
      </c>
      <c r="K385" s="1258"/>
      <c r="L385" s="1251"/>
      <c r="M385" s="1257"/>
      <c r="N385" s="719" t="str">
        <f t="shared" si="44"/>
        <v/>
      </c>
      <c r="O385" s="720" t="str">
        <f>IF('Set up ~ Config'!$G$32=6,IF(OR($N385=7,$N385=8,$N385=9),1,IF(OR($N385=10,$N385=11,$N385=12),2,IF(OR($N385=1,$N385=2,$N385=3),3,IF(OR($N385=4,$N385=5,$N385=6),4,"")))),IF(OR($N385=9,$N385=10,$N385=11),1,IF(OR($N385=12,$N385=1,$N385=2),2,IF(OR($N385=3,$N385=4,$N385=5),3,IF(OR($N385=6,$N385=7,$N385=8),4,"")))))</f>
        <v/>
      </c>
      <c r="P385" s="99"/>
      <c r="Q385" s="62"/>
      <c r="R385" s="62"/>
      <c r="S385" s="51"/>
      <c r="T385" s="51"/>
      <c r="U385" s="51"/>
      <c r="V385" s="51"/>
      <c r="W385" s="51"/>
      <c r="X385" s="51"/>
      <c r="Y385" s="51"/>
      <c r="Z385" s="51"/>
      <c r="AA385" s="51"/>
      <c r="AB385" s="51"/>
      <c r="AC385" s="51"/>
      <c r="AD385" s="51"/>
      <c r="AE385" s="51"/>
      <c r="AF385" s="51"/>
      <c r="AG385" s="51"/>
      <c r="AH385" s="94"/>
      <c r="AI385" s="94"/>
      <c r="AJ385" s="94"/>
      <c r="AK385" s="94"/>
      <c r="AL385" s="94"/>
      <c r="AM385" s="94"/>
      <c r="AN385" s="94"/>
      <c r="AO385" s="95"/>
      <c r="AP385" s="686">
        <f t="shared" si="45"/>
        <v>0</v>
      </c>
      <c r="AQ385" s="42"/>
      <c r="AR385" s="42"/>
      <c r="AS385" s="42"/>
      <c r="AT385" s="43"/>
      <c r="AU385" s="687">
        <f t="shared" si="46"/>
        <v>0</v>
      </c>
      <c r="AV385" s="42"/>
      <c r="AW385" s="42"/>
      <c r="AX385" s="42"/>
      <c r="AY385" s="43"/>
      <c r="AZ385" s="486"/>
      <c r="BA385" s="51"/>
      <c r="BB385" s="51"/>
      <c r="BC385" s="51"/>
      <c r="BD385" s="51"/>
      <c r="BE385" s="51"/>
      <c r="BF385" s="51"/>
      <c r="BG385" s="51"/>
      <c r="BH385" s="94"/>
      <c r="BI385" s="94"/>
      <c r="BJ385" s="94"/>
      <c r="BK385" s="94"/>
      <c r="BL385" s="94"/>
      <c r="BM385" s="483"/>
      <c r="BN385" s="94"/>
      <c r="BO385" s="94"/>
      <c r="BP385" s="94"/>
      <c r="BQ385" s="94"/>
      <c r="BR385" s="94"/>
      <c r="BS385" s="94"/>
      <c r="BT385" s="94"/>
      <c r="BU385" s="94"/>
      <c r="BV385" s="94"/>
      <c r="BW385" s="688">
        <f t="shared" si="42"/>
        <v>0</v>
      </c>
      <c r="BX385" s="51"/>
      <c r="BY385" s="51"/>
      <c r="BZ385" s="51"/>
      <c r="CA385" s="51"/>
      <c r="CB385" s="51"/>
      <c r="CC385" s="51"/>
      <c r="CD385" s="97"/>
      <c r="CE385" s="479"/>
      <c r="CF385" s="51"/>
      <c r="CG385" s="51"/>
      <c r="CH385" s="62"/>
      <c r="CI385" s="62"/>
      <c r="CJ385" s="51"/>
      <c r="CK385" s="51"/>
      <c r="CL385" s="95"/>
      <c r="CM385" s="93"/>
      <c r="CN385" s="51"/>
      <c r="CO385" s="51"/>
      <c r="CP385" s="51"/>
      <c r="CQ385" s="51"/>
      <c r="CR385" s="51"/>
      <c r="CS385" s="51"/>
      <c r="CT385" s="51"/>
      <c r="CU385" s="95"/>
      <c r="CV385" s="93"/>
      <c r="CW385" s="51"/>
      <c r="CX385" s="51"/>
      <c r="CY385" s="51"/>
      <c r="CZ385" s="51"/>
      <c r="DA385" s="51"/>
      <c r="DB385" s="51"/>
      <c r="DC385" s="51"/>
      <c r="DD385" s="95"/>
      <c r="DE385" s="93"/>
      <c r="DF385" s="51"/>
      <c r="DG385" s="51"/>
      <c r="DH385" s="51"/>
      <c r="DI385" s="51"/>
      <c r="DJ385" s="51"/>
      <c r="DK385" s="51"/>
      <c r="DL385" s="95"/>
      <c r="DM385" s="478"/>
      <c r="DN385" s="682">
        <f t="shared" si="47"/>
        <v>0</v>
      </c>
      <c r="DO385" s="683"/>
    </row>
    <row r="386" spans="1:119" ht="25.5" customHeight="1" thickTop="1" thickBot="1" x14ac:dyDescent="0.2">
      <c r="A386" s="676">
        <f t="shared" si="43"/>
        <v>371</v>
      </c>
      <c r="B386" s="1054"/>
      <c r="C386" s="1055"/>
      <c r="D386" s="83"/>
      <c r="E386" s="954"/>
      <c r="F386" s="52"/>
      <c r="G386" s="103"/>
      <c r="H386" s="1058"/>
      <c r="I386" s="684" t="str">
        <f t="shared" si="40"/>
        <v/>
      </c>
      <c r="J386" s="685">
        <f t="shared" si="41"/>
        <v>0</v>
      </c>
      <c r="K386" s="1258"/>
      <c r="L386" s="1251"/>
      <c r="M386" s="1257"/>
      <c r="N386" s="719" t="str">
        <f t="shared" si="44"/>
        <v/>
      </c>
      <c r="O386" s="720" t="str">
        <f>IF('Set up ~ Config'!$G$32=6,IF(OR($N386=7,$N386=8,$N386=9),1,IF(OR($N386=10,$N386=11,$N386=12),2,IF(OR($N386=1,$N386=2,$N386=3),3,IF(OR($N386=4,$N386=5,$N386=6),4,"")))),IF(OR($N386=9,$N386=10,$N386=11),1,IF(OR($N386=12,$N386=1,$N386=2),2,IF(OR($N386=3,$N386=4,$N386=5),3,IF(OR($N386=6,$N386=7,$N386=8),4,"")))))</f>
        <v/>
      </c>
      <c r="P386" s="99"/>
      <c r="Q386" s="62"/>
      <c r="R386" s="62"/>
      <c r="S386" s="51"/>
      <c r="T386" s="51"/>
      <c r="U386" s="51"/>
      <c r="V386" s="51"/>
      <c r="W386" s="51"/>
      <c r="X386" s="51"/>
      <c r="Y386" s="51"/>
      <c r="Z386" s="51"/>
      <c r="AA386" s="51"/>
      <c r="AB386" s="51"/>
      <c r="AC386" s="51"/>
      <c r="AD386" s="51"/>
      <c r="AE386" s="51"/>
      <c r="AF386" s="51"/>
      <c r="AG386" s="51"/>
      <c r="AH386" s="94"/>
      <c r="AI386" s="94"/>
      <c r="AJ386" s="94"/>
      <c r="AK386" s="94"/>
      <c r="AL386" s="94"/>
      <c r="AM386" s="94"/>
      <c r="AN386" s="94"/>
      <c r="AO386" s="95"/>
      <c r="AP386" s="686">
        <f t="shared" si="45"/>
        <v>0</v>
      </c>
      <c r="AQ386" s="42"/>
      <c r="AR386" s="42"/>
      <c r="AS386" s="42"/>
      <c r="AT386" s="43"/>
      <c r="AU386" s="687">
        <f t="shared" si="46"/>
        <v>0</v>
      </c>
      <c r="AV386" s="42"/>
      <c r="AW386" s="42"/>
      <c r="AX386" s="42"/>
      <c r="AY386" s="43"/>
      <c r="AZ386" s="486"/>
      <c r="BA386" s="51"/>
      <c r="BB386" s="51"/>
      <c r="BC386" s="51"/>
      <c r="BD386" s="51"/>
      <c r="BE386" s="51"/>
      <c r="BF386" s="51"/>
      <c r="BG386" s="51"/>
      <c r="BH386" s="94"/>
      <c r="BI386" s="94"/>
      <c r="BJ386" s="94"/>
      <c r="BK386" s="94"/>
      <c r="BL386" s="94"/>
      <c r="BM386" s="483"/>
      <c r="BN386" s="94"/>
      <c r="BO386" s="94"/>
      <c r="BP386" s="94"/>
      <c r="BQ386" s="94"/>
      <c r="BR386" s="94"/>
      <c r="BS386" s="94"/>
      <c r="BT386" s="94"/>
      <c r="BU386" s="94"/>
      <c r="BV386" s="94"/>
      <c r="BW386" s="688">
        <f t="shared" si="42"/>
        <v>0</v>
      </c>
      <c r="BX386" s="51"/>
      <c r="BY386" s="51"/>
      <c r="BZ386" s="51"/>
      <c r="CA386" s="51"/>
      <c r="CB386" s="51"/>
      <c r="CC386" s="51"/>
      <c r="CD386" s="97"/>
      <c r="CE386" s="479"/>
      <c r="CF386" s="51"/>
      <c r="CG386" s="51"/>
      <c r="CH386" s="62"/>
      <c r="CI386" s="62"/>
      <c r="CJ386" s="51"/>
      <c r="CK386" s="51"/>
      <c r="CL386" s="95"/>
      <c r="CM386" s="93"/>
      <c r="CN386" s="51"/>
      <c r="CO386" s="51"/>
      <c r="CP386" s="51"/>
      <c r="CQ386" s="51"/>
      <c r="CR386" s="51"/>
      <c r="CS386" s="51"/>
      <c r="CT386" s="51"/>
      <c r="CU386" s="95"/>
      <c r="CV386" s="93"/>
      <c r="CW386" s="51"/>
      <c r="CX386" s="51"/>
      <c r="CY386" s="51"/>
      <c r="CZ386" s="51"/>
      <c r="DA386" s="51"/>
      <c r="DB386" s="51"/>
      <c r="DC386" s="51"/>
      <c r="DD386" s="95"/>
      <c r="DE386" s="93"/>
      <c r="DF386" s="51"/>
      <c r="DG386" s="51"/>
      <c r="DH386" s="51"/>
      <c r="DI386" s="51"/>
      <c r="DJ386" s="51"/>
      <c r="DK386" s="51"/>
      <c r="DL386" s="95"/>
      <c r="DM386" s="478"/>
      <c r="DN386" s="682">
        <f t="shared" si="47"/>
        <v>0</v>
      </c>
      <c r="DO386" s="683"/>
    </row>
    <row r="387" spans="1:119" ht="25.5" customHeight="1" thickTop="1" thickBot="1" x14ac:dyDescent="0.2">
      <c r="A387" s="676">
        <f t="shared" si="43"/>
        <v>372</v>
      </c>
      <c r="B387" s="1054"/>
      <c r="C387" s="1055"/>
      <c r="D387" s="83"/>
      <c r="E387" s="954"/>
      <c r="F387" s="52"/>
      <c r="G387" s="103"/>
      <c r="H387" s="1058"/>
      <c r="I387" s="684" t="str">
        <f t="shared" si="40"/>
        <v/>
      </c>
      <c r="J387" s="685">
        <f t="shared" si="41"/>
        <v>0</v>
      </c>
      <c r="K387" s="1258"/>
      <c r="L387" s="1251"/>
      <c r="M387" s="1257"/>
      <c r="N387" s="719" t="str">
        <f t="shared" si="44"/>
        <v/>
      </c>
      <c r="O387" s="720" t="str">
        <f>IF('Set up ~ Config'!$G$32=6,IF(OR($N387=7,$N387=8,$N387=9),1,IF(OR($N387=10,$N387=11,$N387=12),2,IF(OR($N387=1,$N387=2,$N387=3),3,IF(OR($N387=4,$N387=5,$N387=6),4,"")))),IF(OR($N387=9,$N387=10,$N387=11),1,IF(OR($N387=12,$N387=1,$N387=2),2,IF(OR($N387=3,$N387=4,$N387=5),3,IF(OR($N387=6,$N387=7,$N387=8),4,"")))))</f>
        <v/>
      </c>
      <c r="P387" s="99"/>
      <c r="Q387" s="62"/>
      <c r="R387" s="62"/>
      <c r="S387" s="51"/>
      <c r="T387" s="51"/>
      <c r="U387" s="51"/>
      <c r="V387" s="51"/>
      <c r="W387" s="51"/>
      <c r="X387" s="51"/>
      <c r="Y387" s="51"/>
      <c r="Z387" s="51"/>
      <c r="AA387" s="51"/>
      <c r="AB387" s="51"/>
      <c r="AC387" s="51"/>
      <c r="AD387" s="51"/>
      <c r="AE387" s="51"/>
      <c r="AF387" s="51"/>
      <c r="AG387" s="51"/>
      <c r="AH387" s="94"/>
      <c r="AI387" s="94"/>
      <c r="AJ387" s="94"/>
      <c r="AK387" s="94"/>
      <c r="AL387" s="94"/>
      <c r="AM387" s="94"/>
      <c r="AN387" s="94"/>
      <c r="AO387" s="95"/>
      <c r="AP387" s="686">
        <f t="shared" si="45"/>
        <v>0</v>
      </c>
      <c r="AQ387" s="42"/>
      <c r="AR387" s="42"/>
      <c r="AS387" s="42"/>
      <c r="AT387" s="43"/>
      <c r="AU387" s="687">
        <f t="shared" si="46"/>
        <v>0</v>
      </c>
      <c r="AV387" s="42"/>
      <c r="AW387" s="42"/>
      <c r="AX387" s="42"/>
      <c r="AY387" s="43"/>
      <c r="AZ387" s="486"/>
      <c r="BA387" s="51"/>
      <c r="BB387" s="51"/>
      <c r="BC387" s="51"/>
      <c r="BD387" s="51"/>
      <c r="BE387" s="51"/>
      <c r="BF387" s="51"/>
      <c r="BG387" s="51"/>
      <c r="BH387" s="94"/>
      <c r="BI387" s="94"/>
      <c r="BJ387" s="94"/>
      <c r="BK387" s="94"/>
      <c r="BL387" s="94"/>
      <c r="BM387" s="483"/>
      <c r="BN387" s="94"/>
      <c r="BO387" s="94"/>
      <c r="BP387" s="94"/>
      <c r="BQ387" s="94"/>
      <c r="BR387" s="94"/>
      <c r="BS387" s="94"/>
      <c r="BT387" s="94"/>
      <c r="BU387" s="94"/>
      <c r="BV387" s="94"/>
      <c r="BW387" s="688">
        <f t="shared" si="42"/>
        <v>0</v>
      </c>
      <c r="BX387" s="51"/>
      <c r="BY387" s="51"/>
      <c r="BZ387" s="51"/>
      <c r="CA387" s="51"/>
      <c r="CB387" s="51"/>
      <c r="CC387" s="51"/>
      <c r="CD387" s="97"/>
      <c r="CE387" s="479"/>
      <c r="CF387" s="51"/>
      <c r="CG387" s="51"/>
      <c r="CH387" s="62"/>
      <c r="CI387" s="62"/>
      <c r="CJ387" s="51"/>
      <c r="CK387" s="51"/>
      <c r="CL387" s="95"/>
      <c r="CM387" s="93"/>
      <c r="CN387" s="51"/>
      <c r="CO387" s="51"/>
      <c r="CP387" s="51"/>
      <c r="CQ387" s="51"/>
      <c r="CR387" s="51"/>
      <c r="CS387" s="51"/>
      <c r="CT387" s="51"/>
      <c r="CU387" s="95"/>
      <c r="CV387" s="93"/>
      <c r="CW387" s="51"/>
      <c r="CX387" s="51"/>
      <c r="CY387" s="51"/>
      <c r="CZ387" s="51"/>
      <c r="DA387" s="51"/>
      <c r="DB387" s="51"/>
      <c r="DC387" s="51"/>
      <c r="DD387" s="95"/>
      <c r="DE387" s="93"/>
      <c r="DF387" s="51"/>
      <c r="DG387" s="51"/>
      <c r="DH387" s="51"/>
      <c r="DI387" s="51"/>
      <c r="DJ387" s="51"/>
      <c r="DK387" s="51"/>
      <c r="DL387" s="95"/>
      <c r="DM387" s="478"/>
      <c r="DN387" s="682">
        <f t="shared" si="47"/>
        <v>0</v>
      </c>
      <c r="DO387" s="683"/>
    </row>
    <row r="388" spans="1:119" ht="25.5" customHeight="1" thickTop="1" thickBot="1" x14ac:dyDescent="0.2">
      <c r="A388" s="676">
        <f t="shared" si="43"/>
        <v>373</v>
      </c>
      <c r="B388" s="1054"/>
      <c r="C388" s="1055"/>
      <c r="D388" s="83"/>
      <c r="E388" s="954"/>
      <c r="F388" s="52"/>
      <c r="G388" s="103"/>
      <c r="H388" s="1058"/>
      <c r="I388" s="684" t="str">
        <f t="shared" si="40"/>
        <v/>
      </c>
      <c r="J388" s="685">
        <f t="shared" si="41"/>
        <v>0</v>
      </c>
      <c r="K388" s="1258"/>
      <c r="L388" s="1251"/>
      <c r="M388" s="1257"/>
      <c r="N388" s="719" t="str">
        <f t="shared" si="44"/>
        <v/>
      </c>
      <c r="O388" s="720" t="str">
        <f>IF('Set up ~ Config'!$G$32=6,IF(OR($N388=7,$N388=8,$N388=9),1,IF(OR($N388=10,$N388=11,$N388=12),2,IF(OR($N388=1,$N388=2,$N388=3),3,IF(OR($N388=4,$N388=5,$N388=6),4,"")))),IF(OR($N388=9,$N388=10,$N388=11),1,IF(OR($N388=12,$N388=1,$N388=2),2,IF(OR($N388=3,$N388=4,$N388=5),3,IF(OR($N388=6,$N388=7,$N388=8),4,"")))))</f>
        <v/>
      </c>
      <c r="P388" s="99"/>
      <c r="Q388" s="62"/>
      <c r="R388" s="62"/>
      <c r="S388" s="51"/>
      <c r="T388" s="51"/>
      <c r="U388" s="51"/>
      <c r="V388" s="51"/>
      <c r="W388" s="51"/>
      <c r="X388" s="51"/>
      <c r="Y388" s="51"/>
      <c r="Z388" s="51"/>
      <c r="AA388" s="51"/>
      <c r="AB388" s="51"/>
      <c r="AC388" s="51"/>
      <c r="AD388" s="51"/>
      <c r="AE388" s="51"/>
      <c r="AF388" s="51"/>
      <c r="AG388" s="51"/>
      <c r="AH388" s="94"/>
      <c r="AI388" s="94"/>
      <c r="AJ388" s="94"/>
      <c r="AK388" s="94"/>
      <c r="AL388" s="94"/>
      <c r="AM388" s="94"/>
      <c r="AN388" s="94"/>
      <c r="AO388" s="95"/>
      <c r="AP388" s="686">
        <f t="shared" si="45"/>
        <v>0</v>
      </c>
      <c r="AQ388" s="42"/>
      <c r="AR388" s="42"/>
      <c r="AS388" s="42"/>
      <c r="AT388" s="43"/>
      <c r="AU388" s="687">
        <f t="shared" si="46"/>
        <v>0</v>
      </c>
      <c r="AV388" s="42"/>
      <c r="AW388" s="42"/>
      <c r="AX388" s="42"/>
      <c r="AY388" s="43"/>
      <c r="AZ388" s="486"/>
      <c r="BA388" s="51"/>
      <c r="BB388" s="51"/>
      <c r="BC388" s="51"/>
      <c r="BD388" s="51"/>
      <c r="BE388" s="51"/>
      <c r="BF388" s="51"/>
      <c r="BG388" s="51"/>
      <c r="BH388" s="94"/>
      <c r="BI388" s="94"/>
      <c r="BJ388" s="94"/>
      <c r="BK388" s="94"/>
      <c r="BL388" s="94"/>
      <c r="BM388" s="483"/>
      <c r="BN388" s="94"/>
      <c r="BO388" s="94"/>
      <c r="BP388" s="94"/>
      <c r="BQ388" s="94"/>
      <c r="BR388" s="94"/>
      <c r="BS388" s="94"/>
      <c r="BT388" s="94"/>
      <c r="BU388" s="94"/>
      <c r="BV388" s="94"/>
      <c r="BW388" s="688">
        <f t="shared" si="42"/>
        <v>0</v>
      </c>
      <c r="BX388" s="51"/>
      <c r="BY388" s="51"/>
      <c r="BZ388" s="51"/>
      <c r="CA388" s="51"/>
      <c r="CB388" s="51"/>
      <c r="CC388" s="51"/>
      <c r="CD388" s="97"/>
      <c r="CE388" s="479"/>
      <c r="CF388" s="51"/>
      <c r="CG388" s="51"/>
      <c r="CH388" s="62"/>
      <c r="CI388" s="62"/>
      <c r="CJ388" s="51"/>
      <c r="CK388" s="51"/>
      <c r="CL388" s="95"/>
      <c r="CM388" s="93"/>
      <c r="CN388" s="51"/>
      <c r="CO388" s="51"/>
      <c r="CP388" s="51"/>
      <c r="CQ388" s="51"/>
      <c r="CR388" s="51"/>
      <c r="CS388" s="51"/>
      <c r="CT388" s="51"/>
      <c r="CU388" s="95"/>
      <c r="CV388" s="93"/>
      <c r="CW388" s="51"/>
      <c r="CX388" s="51"/>
      <c r="CY388" s="51"/>
      <c r="CZ388" s="51"/>
      <c r="DA388" s="51"/>
      <c r="DB388" s="51"/>
      <c r="DC388" s="51"/>
      <c r="DD388" s="95"/>
      <c r="DE388" s="93"/>
      <c r="DF388" s="51"/>
      <c r="DG388" s="51"/>
      <c r="DH388" s="51"/>
      <c r="DI388" s="51"/>
      <c r="DJ388" s="51"/>
      <c r="DK388" s="51"/>
      <c r="DL388" s="95"/>
      <c r="DM388" s="478"/>
      <c r="DN388" s="682">
        <f t="shared" si="47"/>
        <v>0</v>
      </c>
      <c r="DO388" s="683"/>
    </row>
    <row r="389" spans="1:119" ht="25.5" customHeight="1" thickTop="1" thickBot="1" x14ac:dyDescent="0.2">
      <c r="A389" s="676">
        <f t="shared" si="43"/>
        <v>374</v>
      </c>
      <c r="B389" s="1054"/>
      <c r="C389" s="1055"/>
      <c r="D389" s="83"/>
      <c r="E389" s="954"/>
      <c r="F389" s="52"/>
      <c r="G389" s="103"/>
      <c r="H389" s="1058"/>
      <c r="I389" s="684" t="str">
        <f t="shared" si="40"/>
        <v/>
      </c>
      <c r="J389" s="685">
        <f t="shared" si="41"/>
        <v>0</v>
      </c>
      <c r="K389" s="1258"/>
      <c r="L389" s="1251"/>
      <c r="M389" s="1257"/>
      <c r="N389" s="719" t="str">
        <f t="shared" si="44"/>
        <v/>
      </c>
      <c r="O389" s="720" t="str">
        <f>IF('Set up ~ Config'!$G$32=6,IF(OR($N389=7,$N389=8,$N389=9),1,IF(OR($N389=10,$N389=11,$N389=12),2,IF(OR($N389=1,$N389=2,$N389=3),3,IF(OR($N389=4,$N389=5,$N389=6),4,"")))),IF(OR($N389=9,$N389=10,$N389=11),1,IF(OR($N389=12,$N389=1,$N389=2),2,IF(OR($N389=3,$N389=4,$N389=5),3,IF(OR($N389=6,$N389=7,$N389=8),4,"")))))</f>
        <v/>
      </c>
      <c r="P389" s="99"/>
      <c r="Q389" s="62"/>
      <c r="R389" s="62"/>
      <c r="S389" s="51"/>
      <c r="T389" s="51"/>
      <c r="U389" s="51"/>
      <c r="V389" s="51"/>
      <c r="W389" s="51"/>
      <c r="X389" s="51"/>
      <c r="Y389" s="51"/>
      <c r="Z389" s="51"/>
      <c r="AA389" s="51"/>
      <c r="AB389" s="51"/>
      <c r="AC389" s="51"/>
      <c r="AD389" s="51"/>
      <c r="AE389" s="51"/>
      <c r="AF389" s="51"/>
      <c r="AG389" s="51"/>
      <c r="AH389" s="94"/>
      <c r="AI389" s="94"/>
      <c r="AJ389" s="94"/>
      <c r="AK389" s="94"/>
      <c r="AL389" s="94"/>
      <c r="AM389" s="94"/>
      <c r="AN389" s="94"/>
      <c r="AO389" s="95"/>
      <c r="AP389" s="686">
        <f t="shared" si="45"/>
        <v>0</v>
      </c>
      <c r="AQ389" s="42"/>
      <c r="AR389" s="42"/>
      <c r="AS389" s="42"/>
      <c r="AT389" s="43"/>
      <c r="AU389" s="687">
        <f t="shared" si="46"/>
        <v>0</v>
      </c>
      <c r="AV389" s="42"/>
      <c r="AW389" s="42"/>
      <c r="AX389" s="42"/>
      <c r="AY389" s="43"/>
      <c r="AZ389" s="486"/>
      <c r="BA389" s="51"/>
      <c r="BB389" s="51"/>
      <c r="BC389" s="51"/>
      <c r="BD389" s="51"/>
      <c r="BE389" s="51"/>
      <c r="BF389" s="51"/>
      <c r="BG389" s="51"/>
      <c r="BH389" s="94"/>
      <c r="BI389" s="94"/>
      <c r="BJ389" s="94"/>
      <c r="BK389" s="94"/>
      <c r="BL389" s="94"/>
      <c r="BM389" s="483"/>
      <c r="BN389" s="94"/>
      <c r="BO389" s="94"/>
      <c r="BP389" s="94"/>
      <c r="BQ389" s="94"/>
      <c r="BR389" s="94"/>
      <c r="BS389" s="94"/>
      <c r="BT389" s="94"/>
      <c r="BU389" s="94"/>
      <c r="BV389" s="94"/>
      <c r="BW389" s="688">
        <f t="shared" si="42"/>
        <v>0</v>
      </c>
      <c r="BX389" s="51"/>
      <c r="BY389" s="51"/>
      <c r="BZ389" s="51"/>
      <c r="CA389" s="51"/>
      <c r="CB389" s="51"/>
      <c r="CC389" s="51"/>
      <c r="CD389" s="97"/>
      <c r="CE389" s="479"/>
      <c r="CF389" s="51"/>
      <c r="CG389" s="51"/>
      <c r="CH389" s="62"/>
      <c r="CI389" s="62"/>
      <c r="CJ389" s="51"/>
      <c r="CK389" s="51"/>
      <c r="CL389" s="95"/>
      <c r="CM389" s="93"/>
      <c r="CN389" s="51"/>
      <c r="CO389" s="51"/>
      <c r="CP389" s="51"/>
      <c r="CQ389" s="51"/>
      <c r="CR389" s="51"/>
      <c r="CS389" s="51"/>
      <c r="CT389" s="51"/>
      <c r="CU389" s="95"/>
      <c r="CV389" s="93"/>
      <c r="CW389" s="51"/>
      <c r="CX389" s="51"/>
      <c r="CY389" s="51"/>
      <c r="CZ389" s="51"/>
      <c r="DA389" s="51"/>
      <c r="DB389" s="51"/>
      <c r="DC389" s="51"/>
      <c r="DD389" s="95"/>
      <c r="DE389" s="93"/>
      <c r="DF389" s="51"/>
      <c r="DG389" s="51"/>
      <c r="DH389" s="51"/>
      <c r="DI389" s="51"/>
      <c r="DJ389" s="51"/>
      <c r="DK389" s="51"/>
      <c r="DL389" s="95"/>
      <c r="DM389" s="478"/>
      <c r="DN389" s="682">
        <f t="shared" si="47"/>
        <v>0</v>
      </c>
      <c r="DO389" s="683"/>
    </row>
    <row r="390" spans="1:119" ht="25.5" customHeight="1" thickTop="1" thickBot="1" x14ac:dyDescent="0.2">
      <c r="A390" s="676">
        <f t="shared" si="43"/>
        <v>375</v>
      </c>
      <c r="B390" s="1054"/>
      <c r="C390" s="1055"/>
      <c r="D390" s="83"/>
      <c r="E390" s="954"/>
      <c r="F390" s="52"/>
      <c r="G390" s="103"/>
      <c r="H390" s="1058"/>
      <c r="I390" s="684" t="str">
        <f t="shared" si="40"/>
        <v/>
      </c>
      <c r="J390" s="685">
        <f t="shared" si="41"/>
        <v>0</v>
      </c>
      <c r="K390" s="1258"/>
      <c r="L390" s="1251"/>
      <c r="M390" s="1257"/>
      <c r="N390" s="719" t="str">
        <f t="shared" si="44"/>
        <v/>
      </c>
      <c r="O390" s="720" t="str">
        <f>IF('Set up ~ Config'!$G$32=6,IF(OR($N390=7,$N390=8,$N390=9),1,IF(OR($N390=10,$N390=11,$N390=12),2,IF(OR($N390=1,$N390=2,$N390=3),3,IF(OR($N390=4,$N390=5,$N390=6),4,"")))),IF(OR($N390=9,$N390=10,$N390=11),1,IF(OR($N390=12,$N390=1,$N390=2),2,IF(OR($N390=3,$N390=4,$N390=5),3,IF(OR($N390=6,$N390=7,$N390=8),4,"")))))</f>
        <v/>
      </c>
      <c r="P390" s="99"/>
      <c r="Q390" s="62"/>
      <c r="R390" s="62"/>
      <c r="S390" s="51"/>
      <c r="T390" s="51"/>
      <c r="U390" s="51"/>
      <c r="V390" s="51"/>
      <c r="W390" s="51"/>
      <c r="X390" s="51"/>
      <c r="Y390" s="51"/>
      <c r="Z390" s="51"/>
      <c r="AA390" s="51"/>
      <c r="AB390" s="51"/>
      <c r="AC390" s="51"/>
      <c r="AD390" s="51"/>
      <c r="AE390" s="51"/>
      <c r="AF390" s="51"/>
      <c r="AG390" s="51"/>
      <c r="AH390" s="94"/>
      <c r="AI390" s="94"/>
      <c r="AJ390" s="94"/>
      <c r="AK390" s="94"/>
      <c r="AL390" s="94"/>
      <c r="AM390" s="94"/>
      <c r="AN390" s="94"/>
      <c r="AO390" s="95"/>
      <c r="AP390" s="686">
        <f t="shared" si="45"/>
        <v>0</v>
      </c>
      <c r="AQ390" s="42"/>
      <c r="AR390" s="42"/>
      <c r="AS390" s="42"/>
      <c r="AT390" s="43"/>
      <c r="AU390" s="687">
        <f t="shared" si="46"/>
        <v>0</v>
      </c>
      <c r="AV390" s="42"/>
      <c r="AW390" s="42"/>
      <c r="AX390" s="42"/>
      <c r="AY390" s="43"/>
      <c r="AZ390" s="486"/>
      <c r="BA390" s="51"/>
      <c r="BB390" s="51"/>
      <c r="BC390" s="51"/>
      <c r="BD390" s="51"/>
      <c r="BE390" s="51"/>
      <c r="BF390" s="51"/>
      <c r="BG390" s="51"/>
      <c r="BH390" s="94"/>
      <c r="BI390" s="94"/>
      <c r="BJ390" s="94"/>
      <c r="BK390" s="94"/>
      <c r="BL390" s="94"/>
      <c r="BM390" s="483"/>
      <c r="BN390" s="94"/>
      <c r="BO390" s="94"/>
      <c r="BP390" s="94"/>
      <c r="BQ390" s="94"/>
      <c r="BR390" s="94"/>
      <c r="BS390" s="94"/>
      <c r="BT390" s="94"/>
      <c r="BU390" s="94"/>
      <c r="BV390" s="94"/>
      <c r="BW390" s="688">
        <f t="shared" si="42"/>
        <v>0</v>
      </c>
      <c r="BX390" s="51"/>
      <c r="BY390" s="51"/>
      <c r="BZ390" s="51"/>
      <c r="CA390" s="51"/>
      <c r="CB390" s="51"/>
      <c r="CC390" s="51"/>
      <c r="CD390" s="97"/>
      <c r="CE390" s="479"/>
      <c r="CF390" s="51"/>
      <c r="CG390" s="51"/>
      <c r="CH390" s="62"/>
      <c r="CI390" s="62"/>
      <c r="CJ390" s="51"/>
      <c r="CK390" s="51"/>
      <c r="CL390" s="95"/>
      <c r="CM390" s="93"/>
      <c r="CN390" s="51"/>
      <c r="CO390" s="51"/>
      <c r="CP390" s="51"/>
      <c r="CQ390" s="51"/>
      <c r="CR390" s="51"/>
      <c r="CS390" s="51"/>
      <c r="CT390" s="51"/>
      <c r="CU390" s="95"/>
      <c r="CV390" s="93"/>
      <c r="CW390" s="51"/>
      <c r="CX390" s="51"/>
      <c r="CY390" s="51"/>
      <c r="CZ390" s="51"/>
      <c r="DA390" s="51"/>
      <c r="DB390" s="51"/>
      <c r="DC390" s="51"/>
      <c r="DD390" s="95"/>
      <c r="DE390" s="93"/>
      <c r="DF390" s="51"/>
      <c r="DG390" s="51"/>
      <c r="DH390" s="51"/>
      <c r="DI390" s="51"/>
      <c r="DJ390" s="51"/>
      <c r="DK390" s="51"/>
      <c r="DL390" s="95"/>
      <c r="DM390" s="478"/>
      <c r="DN390" s="682">
        <f t="shared" si="47"/>
        <v>0</v>
      </c>
      <c r="DO390" s="683"/>
    </row>
    <row r="391" spans="1:119" ht="25.5" customHeight="1" thickTop="1" thickBot="1" x14ac:dyDescent="0.2">
      <c r="A391" s="676">
        <f t="shared" si="43"/>
        <v>376</v>
      </c>
      <c r="B391" s="1054"/>
      <c r="C391" s="1055"/>
      <c r="D391" s="83"/>
      <c r="E391" s="954"/>
      <c r="F391" s="52"/>
      <c r="G391" s="103"/>
      <c r="H391" s="1058"/>
      <c r="I391" s="684" t="str">
        <f t="shared" si="40"/>
        <v/>
      </c>
      <c r="J391" s="685">
        <f t="shared" si="41"/>
        <v>0</v>
      </c>
      <c r="K391" s="1258"/>
      <c r="L391" s="1251"/>
      <c r="M391" s="1257"/>
      <c r="N391" s="719" t="str">
        <f t="shared" si="44"/>
        <v/>
      </c>
      <c r="O391" s="720" t="str">
        <f>IF('Set up ~ Config'!$G$32=6,IF(OR($N391=7,$N391=8,$N391=9),1,IF(OR($N391=10,$N391=11,$N391=12),2,IF(OR($N391=1,$N391=2,$N391=3),3,IF(OR($N391=4,$N391=5,$N391=6),4,"")))),IF(OR($N391=9,$N391=10,$N391=11),1,IF(OR($N391=12,$N391=1,$N391=2),2,IF(OR($N391=3,$N391=4,$N391=5),3,IF(OR($N391=6,$N391=7,$N391=8),4,"")))))</f>
        <v/>
      </c>
      <c r="P391" s="99"/>
      <c r="Q391" s="62"/>
      <c r="R391" s="62"/>
      <c r="S391" s="51"/>
      <c r="T391" s="51"/>
      <c r="U391" s="51"/>
      <c r="V391" s="51"/>
      <c r="W391" s="51"/>
      <c r="X391" s="51"/>
      <c r="Y391" s="51"/>
      <c r="Z391" s="51"/>
      <c r="AA391" s="51"/>
      <c r="AB391" s="51"/>
      <c r="AC391" s="51"/>
      <c r="AD391" s="51"/>
      <c r="AE391" s="51"/>
      <c r="AF391" s="51"/>
      <c r="AG391" s="51"/>
      <c r="AH391" s="94"/>
      <c r="AI391" s="94"/>
      <c r="AJ391" s="94"/>
      <c r="AK391" s="94"/>
      <c r="AL391" s="94"/>
      <c r="AM391" s="94"/>
      <c r="AN391" s="94"/>
      <c r="AO391" s="95"/>
      <c r="AP391" s="686">
        <f t="shared" si="45"/>
        <v>0</v>
      </c>
      <c r="AQ391" s="42"/>
      <c r="AR391" s="42"/>
      <c r="AS391" s="42"/>
      <c r="AT391" s="43"/>
      <c r="AU391" s="687">
        <f t="shared" si="46"/>
        <v>0</v>
      </c>
      <c r="AV391" s="42"/>
      <c r="AW391" s="42"/>
      <c r="AX391" s="42"/>
      <c r="AY391" s="43"/>
      <c r="AZ391" s="486"/>
      <c r="BA391" s="51"/>
      <c r="BB391" s="51"/>
      <c r="BC391" s="51"/>
      <c r="BD391" s="51"/>
      <c r="BE391" s="51"/>
      <c r="BF391" s="51"/>
      <c r="BG391" s="51"/>
      <c r="BH391" s="94"/>
      <c r="BI391" s="94"/>
      <c r="BJ391" s="94"/>
      <c r="BK391" s="94"/>
      <c r="BL391" s="94"/>
      <c r="BM391" s="483"/>
      <c r="BN391" s="94"/>
      <c r="BO391" s="94"/>
      <c r="BP391" s="94"/>
      <c r="BQ391" s="94"/>
      <c r="BR391" s="94"/>
      <c r="BS391" s="94"/>
      <c r="BT391" s="94"/>
      <c r="BU391" s="94"/>
      <c r="BV391" s="94"/>
      <c r="BW391" s="688">
        <f t="shared" si="42"/>
        <v>0</v>
      </c>
      <c r="BX391" s="51"/>
      <c r="BY391" s="51"/>
      <c r="BZ391" s="51"/>
      <c r="CA391" s="51"/>
      <c r="CB391" s="51"/>
      <c r="CC391" s="51"/>
      <c r="CD391" s="97"/>
      <c r="CE391" s="479"/>
      <c r="CF391" s="51"/>
      <c r="CG391" s="51"/>
      <c r="CH391" s="62"/>
      <c r="CI391" s="62"/>
      <c r="CJ391" s="51"/>
      <c r="CK391" s="51"/>
      <c r="CL391" s="95"/>
      <c r="CM391" s="93"/>
      <c r="CN391" s="51"/>
      <c r="CO391" s="51"/>
      <c r="CP391" s="51"/>
      <c r="CQ391" s="51"/>
      <c r="CR391" s="51"/>
      <c r="CS391" s="51"/>
      <c r="CT391" s="51"/>
      <c r="CU391" s="95"/>
      <c r="CV391" s="93"/>
      <c r="CW391" s="51"/>
      <c r="CX391" s="51"/>
      <c r="CY391" s="51"/>
      <c r="CZ391" s="51"/>
      <c r="DA391" s="51"/>
      <c r="DB391" s="51"/>
      <c r="DC391" s="51"/>
      <c r="DD391" s="95"/>
      <c r="DE391" s="93"/>
      <c r="DF391" s="51"/>
      <c r="DG391" s="51"/>
      <c r="DH391" s="51"/>
      <c r="DI391" s="51"/>
      <c r="DJ391" s="51"/>
      <c r="DK391" s="51"/>
      <c r="DL391" s="95"/>
      <c r="DM391" s="478"/>
      <c r="DN391" s="682">
        <f t="shared" si="47"/>
        <v>0</v>
      </c>
      <c r="DO391" s="683"/>
    </row>
    <row r="392" spans="1:119" ht="25.5" customHeight="1" thickTop="1" thickBot="1" x14ac:dyDescent="0.2">
      <c r="A392" s="676">
        <f t="shared" si="43"/>
        <v>377</v>
      </c>
      <c r="B392" s="1054"/>
      <c r="C392" s="1055"/>
      <c r="D392" s="83"/>
      <c r="E392" s="954"/>
      <c r="F392" s="52"/>
      <c r="G392" s="103"/>
      <c r="H392" s="1058"/>
      <c r="I392" s="684" t="str">
        <f t="shared" si="40"/>
        <v/>
      </c>
      <c r="J392" s="685">
        <f t="shared" si="41"/>
        <v>0</v>
      </c>
      <c r="K392" s="1258"/>
      <c r="L392" s="1251"/>
      <c r="M392" s="1257"/>
      <c r="N392" s="719" t="str">
        <f t="shared" si="44"/>
        <v/>
      </c>
      <c r="O392" s="720" t="str">
        <f>IF('Set up ~ Config'!$G$32=6,IF(OR($N392=7,$N392=8,$N392=9),1,IF(OR($N392=10,$N392=11,$N392=12),2,IF(OR($N392=1,$N392=2,$N392=3),3,IF(OR($N392=4,$N392=5,$N392=6),4,"")))),IF(OR($N392=9,$N392=10,$N392=11),1,IF(OR($N392=12,$N392=1,$N392=2),2,IF(OR($N392=3,$N392=4,$N392=5),3,IF(OR($N392=6,$N392=7,$N392=8),4,"")))))</f>
        <v/>
      </c>
      <c r="P392" s="99"/>
      <c r="Q392" s="62"/>
      <c r="R392" s="62"/>
      <c r="S392" s="51"/>
      <c r="T392" s="51"/>
      <c r="U392" s="51"/>
      <c r="V392" s="51"/>
      <c r="W392" s="51"/>
      <c r="X392" s="51"/>
      <c r="Y392" s="51"/>
      <c r="Z392" s="51"/>
      <c r="AA392" s="51"/>
      <c r="AB392" s="51"/>
      <c r="AC392" s="51"/>
      <c r="AD392" s="51"/>
      <c r="AE392" s="51"/>
      <c r="AF392" s="51"/>
      <c r="AG392" s="51"/>
      <c r="AH392" s="94"/>
      <c r="AI392" s="94"/>
      <c r="AJ392" s="94"/>
      <c r="AK392" s="94"/>
      <c r="AL392" s="94"/>
      <c r="AM392" s="94"/>
      <c r="AN392" s="94"/>
      <c r="AO392" s="95"/>
      <c r="AP392" s="686">
        <f t="shared" si="45"/>
        <v>0</v>
      </c>
      <c r="AQ392" s="42"/>
      <c r="AR392" s="42"/>
      <c r="AS392" s="42"/>
      <c r="AT392" s="43"/>
      <c r="AU392" s="687">
        <f t="shared" si="46"/>
        <v>0</v>
      </c>
      <c r="AV392" s="42"/>
      <c r="AW392" s="42"/>
      <c r="AX392" s="42"/>
      <c r="AY392" s="43"/>
      <c r="AZ392" s="486"/>
      <c r="BA392" s="51"/>
      <c r="BB392" s="51"/>
      <c r="BC392" s="51"/>
      <c r="BD392" s="51"/>
      <c r="BE392" s="51"/>
      <c r="BF392" s="51"/>
      <c r="BG392" s="51"/>
      <c r="BH392" s="94"/>
      <c r="BI392" s="94"/>
      <c r="BJ392" s="94"/>
      <c r="BK392" s="94"/>
      <c r="BL392" s="94"/>
      <c r="BM392" s="483"/>
      <c r="BN392" s="94"/>
      <c r="BO392" s="94"/>
      <c r="BP392" s="94"/>
      <c r="BQ392" s="94"/>
      <c r="BR392" s="94"/>
      <c r="BS392" s="94"/>
      <c r="BT392" s="94"/>
      <c r="BU392" s="94"/>
      <c r="BV392" s="94"/>
      <c r="BW392" s="688">
        <f t="shared" si="42"/>
        <v>0</v>
      </c>
      <c r="BX392" s="51"/>
      <c r="BY392" s="51"/>
      <c r="BZ392" s="51"/>
      <c r="CA392" s="51"/>
      <c r="CB392" s="51"/>
      <c r="CC392" s="51"/>
      <c r="CD392" s="97"/>
      <c r="CE392" s="479"/>
      <c r="CF392" s="51"/>
      <c r="CG392" s="51"/>
      <c r="CH392" s="62"/>
      <c r="CI392" s="62"/>
      <c r="CJ392" s="51"/>
      <c r="CK392" s="51"/>
      <c r="CL392" s="95"/>
      <c r="CM392" s="93"/>
      <c r="CN392" s="51"/>
      <c r="CO392" s="51"/>
      <c r="CP392" s="51"/>
      <c r="CQ392" s="51"/>
      <c r="CR392" s="51"/>
      <c r="CS392" s="51"/>
      <c r="CT392" s="51"/>
      <c r="CU392" s="95"/>
      <c r="CV392" s="93"/>
      <c r="CW392" s="51"/>
      <c r="CX392" s="51"/>
      <c r="CY392" s="51"/>
      <c r="CZ392" s="51"/>
      <c r="DA392" s="51"/>
      <c r="DB392" s="51"/>
      <c r="DC392" s="51"/>
      <c r="DD392" s="95"/>
      <c r="DE392" s="93"/>
      <c r="DF392" s="51"/>
      <c r="DG392" s="51"/>
      <c r="DH392" s="51"/>
      <c r="DI392" s="51"/>
      <c r="DJ392" s="51"/>
      <c r="DK392" s="51"/>
      <c r="DL392" s="95"/>
      <c r="DM392" s="478"/>
      <c r="DN392" s="682">
        <f t="shared" si="47"/>
        <v>0</v>
      </c>
      <c r="DO392" s="683"/>
    </row>
    <row r="393" spans="1:119" ht="25.5" customHeight="1" thickTop="1" thickBot="1" x14ac:dyDescent="0.2">
      <c r="A393" s="676">
        <f t="shared" si="43"/>
        <v>378</v>
      </c>
      <c r="B393" s="1054"/>
      <c r="C393" s="1055"/>
      <c r="D393" s="83"/>
      <c r="E393" s="954"/>
      <c r="F393" s="52"/>
      <c r="G393" s="103"/>
      <c r="H393" s="1058"/>
      <c r="I393" s="684" t="str">
        <f t="shared" si="40"/>
        <v/>
      </c>
      <c r="J393" s="685">
        <f t="shared" si="41"/>
        <v>0</v>
      </c>
      <c r="K393" s="1258"/>
      <c r="L393" s="1251"/>
      <c r="M393" s="1257"/>
      <c r="N393" s="719" t="str">
        <f t="shared" si="44"/>
        <v/>
      </c>
      <c r="O393" s="720" t="str">
        <f>IF('Set up ~ Config'!$G$32=6,IF(OR($N393=7,$N393=8,$N393=9),1,IF(OR($N393=10,$N393=11,$N393=12),2,IF(OR($N393=1,$N393=2,$N393=3),3,IF(OR($N393=4,$N393=5,$N393=6),4,"")))),IF(OR($N393=9,$N393=10,$N393=11),1,IF(OR($N393=12,$N393=1,$N393=2),2,IF(OR($N393=3,$N393=4,$N393=5),3,IF(OR($N393=6,$N393=7,$N393=8),4,"")))))</f>
        <v/>
      </c>
      <c r="P393" s="99"/>
      <c r="Q393" s="62"/>
      <c r="R393" s="62"/>
      <c r="S393" s="51"/>
      <c r="T393" s="51"/>
      <c r="U393" s="51"/>
      <c r="V393" s="51"/>
      <c r="W393" s="51"/>
      <c r="X393" s="51"/>
      <c r="Y393" s="51"/>
      <c r="Z393" s="51"/>
      <c r="AA393" s="51"/>
      <c r="AB393" s="51"/>
      <c r="AC393" s="51"/>
      <c r="AD393" s="51"/>
      <c r="AE393" s="51"/>
      <c r="AF393" s="51"/>
      <c r="AG393" s="51"/>
      <c r="AH393" s="94"/>
      <c r="AI393" s="94"/>
      <c r="AJ393" s="94"/>
      <c r="AK393" s="94"/>
      <c r="AL393" s="94"/>
      <c r="AM393" s="94"/>
      <c r="AN393" s="94"/>
      <c r="AO393" s="95"/>
      <c r="AP393" s="686">
        <f t="shared" si="45"/>
        <v>0</v>
      </c>
      <c r="AQ393" s="42"/>
      <c r="AR393" s="42"/>
      <c r="AS393" s="42"/>
      <c r="AT393" s="43"/>
      <c r="AU393" s="687">
        <f t="shared" si="46"/>
        <v>0</v>
      </c>
      <c r="AV393" s="42"/>
      <c r="AW393" s="42"/>
      <c r="AX393" s="42"/>
      <c r="AY393" s="43"/>
      <c r="AZ393" s="486"/>
      <c r="BA393" s="51"/>
      <c r="BB393" s="51"/>
      <c r="BC393" s="51"/>
      <c r="BD393" s="51"/>
      <c r="BE393" s="51"/>
      <c r="BF393" s="51"/>
      <c r="BG393" s="51"/>
      <c r="BH393" s="94"/>
      <c r="BI393" s="94"/>
      <c r="BJ393" s="94"/>
      <c r="BK393" s="94"/>
      <c r="BL393" s="94"/>
      <c r="BM393" s="483"/>
      <c r="BN393" s="94"/>
      <c r="BO393" s="94"/>
      <c r="BP393" s="94"/>
      <c r="BQ393" s="94"/>
      <c r="BR393" s="94"/>
      <c r="BS393" s="94"/>
      <c r="BT393" s="94"/>
      <c r="BU393" s="94"/>
      <c r="BV393" s="94"/>
      <c r="BW393" s="688">
        <f t="shared" si="42"/>
        <v>0</v>
      </c>
      <c r="BX393" s="51"/>
      <c r="BY393" s="51"/>
      <c r="BZ393" s="51"/>
      <c r="CA393" s="51"/>
      <c r="CB393" s="51"/>
      <c r="CC393" s="51"/>
      <c r="CD393" s="97"/>
      <c r="CE393" s="479"/>
      <c r="CF393" s="51"/>
      <c r="CG393" s="51"/>
      <c r="CH393" s="62"/>
      <c r="CI393" s="62"/>
      <c r="CJ393" s="51"/>
      <c r="CK393" s="51"/>
      <c r="CL393" s="95"/>
      <c r="CM393" s="93"/>
      <c r="CN393" s="51"/>
      <c r="CO393" s="51"/>
      <c r="CP393" s="51"/>
      <c r="CQ393" s="51"/>
      <c r="CR393" s="51"/>
      <c r="CS393" s="51"/>
      <c r="CT393" s="51"/>
      <c r="CU393" s="95"/>
      <c r="CV393" s="93"/>
      <c r="CW393" s="51"/>
      <c r="CX393" s="51"/>
      <c r="CY393" s="51"/>
      <c r="CZ393" s="51"/>
      <c r="DA393" s="51"/>
      <c r="DB393" s="51"/>
      <c r="DC393" s="51"/>
      <c r="DD393" s="95"/>
      <c r="DE393" s="93"/>
      <c r="DF393" s="51"/>
      <c r="DG393" s="51"/>
      <c r="DH393" s="51"/>
      <c r="DI393" s="51"/>
      <c r="DJ393" s="51"/>
      <c r="DK393" s="51"/>
      <c r="DL393" s="95"/>
      <c r="DM393" s="478"/>
      <c r="DN393" s="682">
        <f t="shared" si="47"/>
        <v>0</v>
      </c>
      <c r="DO393" s="683"/>
    </row>
    <row r="394" spans="1:119" ht="25.5" customHeight="1" thickTop="1" thickBot="1" x14ac:dyDescent="0.2">
      <c r="A394" s="676">
        <f t="shared" si="43"/>
        <v>379</v>
      </c>
      <c r="B394" s="1054"/>
      <c r="C394" s="1055"/>
      <c r="D394" s="83"/>
      <c r="E394" s="954"/>
      <c r="F394" s="52"/>
      <c r="G394" s="103"/>
      <c r="H394" s="1058"/>
      <c r="I394" s="684" t="str">
        <f t="shared" si="40"/>
        <v/>
      </c>
      <c r="J394" s="685">
        <f t="shared" si="41"/>
        <v>0</v>
      </c>
      <c r="K394" s="1258"/>
      <c r="L394" s="1251"/>
      <c r="M394" s="1257"/>
      <c r="N394" s="719" t="str">
        <f t="shared" si="44"/>
        <v/>
      </c>
      <c r="O394" s="720" t="str">
        <f>IF('Set up ~ Config'!$G$32=6,IF(OR($N394=7,$N394=8,$N394=9),1,IF(OR($N394=10,$N394=11,$N394=12),2,IF(OR($N394=1,$N394=2,$N394=3),3,IF(OR($N394=4,$N394=5,$N394=6),4,"")))),IF(OR($N394=9,$N394=10,$N394=11),1,IF(OR($N394=12,$N394=1,$N394=2),2,IF(OR($N394=3,$N394=4,$N394=5),3,IF(OR($N394=6,$N394=7,$N394=8),4,"")))))</f>
        <v/>
      </c>
      <c r="P394" s="99"/>
      <c r="Q394" s="62"/>
      <c r="R394" s="62"/>
      <c r="S394" s="51"/>
      <c r="T394" s="51"/>
      <c r="U394" s="51"/>
      <c r="V394" s="51"/>
      <c r="W394" s="51"/>
      <c r="X394" s="51"/>
      <c r="Y394" s="51"/>
      <c r="Z394" s="51"/>
      <c r="AA394" s="51"/>
      <c r="AB394" s="51"/>
      <c r="AC394" s="51"/>
      <c r="AD394" s="51"/>
      <c r="AE394" s="51"/>
      <c r="AF394" s="51"/>
      <c r="AG394" s="51"/>
      <c r="AH394" s="94"/>
      <c r="AI394" s="94"/>
      <c r="AJ394" s="94"/>
      <c r="AK394" s="94"/>
      <c r="AL394" s="94"/>
      <c r="AM394" s="94"/>
      <c r="AN394" s="94"/>
      <c r="AO394" s="95"/>
      <c r="AP394" s="686">
        <f t="shared" si="45"/>
        <v>0</v>
      </c>
      <c r="AQ394" s="42"/>
      <c r="AR394" s="42"/>
      <c r="AS394" s="42"/>
      <c r="AT394" s="43"/>
      <c r="AU394" s="687">
        <f t="shared" si="46"/>
        <v>0</v>
      </c>
      <c r="AV394" s="42"/>
      <c r="AW394" s="42"/>
      <c r="AX394" s="42"/>
      <c r="AY394" s="43"/>
      <c r="AZ394" s="486"/>
      <c r="BA394" s="51"/>
      <c r="BB394" s="51"/>
      <c r="BC394" s="51"/>
      <c r="BD394" s="51"/>
      <c r="BE394" s="51"/>
      <c r="BF394" s="51"/>
      <c r="BG394" s="51"/>
      <c r="BH394" s="94"/>
      <c r="BI394" s="94"/>
      <c r="BJ394" s="94"/>
      <c r="BK394" s="94"/>
      <c r="BL394" s="94"/>
      <c r="BM394" s="483"/>
      <c r="BN394" s="94"/>
      <c r="BO394" s="94"/>
      <c r="BP394" s="94"/>
      <c r="BQ394" s="94"/>
      <c r="BR394" s="94"/>
      <c r="BS394" s="94"/>
      <c r="BT394" s="94"/>
      <c r="BU394" s="94"/>
      <c r="BV394" s="94"/>
      <c r="BW394" s="688">
        <f t="shared" si="42"/>
        <v>0</v>
      </c>
      <c r="BX394" s="51"/>
      <c r="BY394" s="51"/>
      <c r="BZ394" s="51"/>
      <c r="CA394" s="51"/>
      <c r="CB394" s="51"/>
      <c r="CC394" s="51"/>
      <c r="CD394" s="97"/>
      <c r="CE394" s="479"/>
      <c r="CF394" s="51"/>
      <c r="CG394" s="51"/>
      <c r="CH394" s="62"/>
      <c r="CI394" s="62"/>
      <c r="CJ394" s="51"/>
      <c r="CK394" s="51"/>
      <c r="CL394" s="95"/>
      <c r="CM394" s="93"/>
      <c r="CN394" s="51"/>
      <c r="CO394" s="51"/>
      <c r="CP394" s="51"/>
      <c r="CQ394" s="51"/>
      <c r="CR394" s="51"/>
      <c r="CS394" s="51"/>
      <c r="CT394" s="51"/>
      <c r="CU394" s="95"/>
      <c r="CV394" s="93"/>
      <c r="CW394" s="51"/>
      <c r="CX394" s="51"/>
      <c r="CY394" s="51"/>
      <c r="CZ394" s="51"/>
      <c r="DA394" s="51"/>
      <c r="DB394" s="51"/>
      <c r="DC394" s="51"/>
      <c r="DD394" s="95"/>
      <c r="DE394" s="93"/>
      <c r="DF394" s="51"/>
      <c r="DG394" s="51"/>
      <c r="DH394" s="51"/>
      <c r="DI394" s="51"/>
      <c r="DJ394" s="51"/>
      <c r="DK394" s="51"/>
      <c r="DL394" s="95"/>
      <c r="DM394" s="478"/>
      <c r="DN394" s="682">
        <f t="shared" si="47"/>
        <v>0</v>
      </c>
      <c r="DO394" s="683"/>
    </row>
    <row r="395" spans="1:119" ht="25.5" customHeight="1" thickTop="1" thickBot="1" x14ac:dyDescent="0.2">
      <c r="A395" s="676">
        <f t="shared" si="43"/>
        <v>380</v>
      </c>
      <c r="B395" s="1054"/>
      <c r="C395" s="1055"/>
      <c r="D395" s="83"/>
      <c r="E395" s="954"/>
      <c r="F395" s="52"/>
      <c r="G395" s="103"/>
      <c r="H395" s="1058"/>
      <c r="I395" s="684" t="str">
        <f t="shared" si="40"/>
        <v/>
      </c>
      <c r="J395" s="685">
        <f t="shared" si="41"/>
        <v>0</v>
      </c>
      <c r="K395" s="1258"/>
      <c r="L395" s="1251"/>
      <c r="M395" s="1257"/>
      <c r="N395" s="719" t="str">
        <f t="shared" si="44"/>
        <v/>
      </c>
      <c r="O395" s="720" t="str">
        <f>IF('Set up ~ Config'!$G$32=6,IF(OR($N395=7,$N395=8,$N395=9),1,IF(OR($N395=10,$N395=11,$N395=12),2,IF(OR($N395=1,$N395=2,$N395=3),3,IF(OR($N395=4,$N395=5,$N395=6),4,"")))),IF(OR($N395=9,$N395=10,$N395=11),1,IF(OR($N395=12,$N395=1,$N395=2),2,IF(OR($N395=3,$N395=4,$N395=5),3,IF(OR($N395=6,$N395=7,$N395=8),4,"")))))</f>
        <v/>
      </c>
      <c r="P395" s="99"/>
      <c r="Q395" s="62"/>
      <c r="R395" s="62"/>
      <c r="S395" s="51"/>
      <c r="T395" s="51"/>
      <c r="U395" s="51"/>
      <c r="V395" s="51"/>
      <c r="W395" s="51"/>
      <c r="X395" s="51"/>
      <c r="Y395" s="51"/>
      <c r="Z395" s="51"/>
      <c r="AA395" s="51"/>
      <c r="AB395" s="51"/>
      <c r="AC395" s="51"/>
      <c r="AD395" s="51"/>
      <c r="AE395" s="51"/>
      <c r="AF395" s="51"/>
      <c r="AG395" s="51"/>
      <c r="AH395" s="94"/>
      <c r="AI395" s="94"/>
      <c r="AJ395" s="94"/>
      <c r="AK395" s="94"/>
      <c r="AL395" s="94"/>
      <c r="AM395" s="94"/>
      <c r="AN395" s="94"/>
      <c r="AO395" s="95"/>
      <c r="AP395" s="686">
        <f t="shared" si="45"/>
        <v>0</v>
      </c>
      <c r="AQ395" s="42"/>
      <c r="AR395" s="42"/>
      <c r="AS395" s="42"/>
      <c r="AT395" s="43"/>
      <c r="AU395" s="687">
        <f t="shared" si="46"/>
        <v>0</v>
      </c>
      <c r="AV395" s="42"/>
      <c r="AW395" s="42"/>
      <c r="AX395" s="42"/>
      <c r="AY395" s="43"/>
      <c r="AZ395" s="486"/>
      <c r="BA395" s="51"/>
      <c r="BB395" s="51"/>
      <c r="BC395" s="51"/>
      <c r="BD395" s="51"/>
      <c r="BE395" s="51"/>
      <c r="BF395" s="51"/>
      <c r="BG395" s="51"/>
      <c r="BH395" s="94"/>
      <c r="BI395" s="94"/>
      <c r="BJ395" s="94"/>
      <c r="BK395" s="94"/>
      <c r="BL395" s="94"/>
      <c r="BM395" s="483"/>
      <c r="BN395" s="94"/>
      <c r="BO395" s="94"/>
      <c r="BP395" s="94"/>
      <c r="BQ395" s="94"/>
      <c r="BR395" s="94"/>
      <c r="BS395" s="94"/>
      <c r="BT395" s="94"/>
      <c r="BU395" s="94"/>
      <c r="BV395" s="94"/>
      <c r="BW395" s="688">
        <f t="shared" si="42"/>
        <v>0</v>
      </c>
      <c r="BX395" s="51"/>
      <c r="BY395" s="51"/>
      <c r="BZ395" s="51"/>
      <c r="CA395" s="51"/>
      <c r="CB395" s="51"/>
      <c r="CC395" s="51"/>
      <c r="CD395" s="97"/>
      <c r="CE395" s="479"/>
      <c r="CF395" s="51"/>
      <c r="CG395" s="51"/>
      <c r="CH395" s="62"/>
      <c r="CI395" s="62"/>
      <c r="CJ395" s="51"/>
      <c r="CK395" s="51"/>
      <c r="CL395" s="95"/>
      <c r="CM395" s="93"/>
      <c r="CN395" s="51"/>
      <c r="CO395" s="51"/>
      <c r="CP395" s="51"/>
      <c r="CQ395" s="51"/>
      <c r="CR395" s="51"/>
      <c r="CS395" s="51"/>
      <c r="CT395" s="51"/>
      <c r="CU395" s="95"/>
      <c r="CV395" s="93"/>
      <c r="CW395" s="51"/>
      <c r="CX395" s="51"/>
      <c r="CY395" s="51"/>
      <c r="CZ395" s="51"/>
      <c r="DA395" s="51"/>
      <c r="DB395" s="51"/>
      <c r="DC395" s="51"/>
      <c r="DD395" s="95"/>
      <c r="DE395" s="93"/>
      <c r="DF395" s="51"/>
      <c r="DG395" s="51"/>
      <c r="DH395" s="51"/>
      <c r="DI395" s="51"/>
      <c r="DJ395" s="51"/>
      <c r="DK395" s="51"/>
      <c r="DL395" s="95"/>
      <c r="DM395" s="478"/>
      <c r="DN395" s="682">
        <f t="shared" si="47"/>
        <v>0</v>
      </c>
      <c r="DO395" s="683"/>
    </row>
    <row r="396" spans="1:119" ht="25.5" customHeight="1" thickTop="1" thickBot="1" x14ac:dyDescent="0.2">
      <c r="A396" s="676">
        <f t="shared" si="43"/>
        <v>381</v>
      </c>
      <c r="B396" s="1054"/>
      <c r="C396" s="1055"/>
      <c r="D396" s="83"/>
      <c r="E396" s="954"/>
      <c r="F396" s="52"/>
      <c r="G396" s="103"/>
      <c r="H396" s="1058"/>
      <c r="I396" s="684" t="str">
        <f t="shared" si="40"/>
        <v/>
      </c>
      <c r="J396" s="685">
        <f t="shared" si="41"/>
        <v>0</v>
      </c>
      <c r="K396" s="1258"/>
      <c r="L396" s="1251"/>
      <c r="M396" s="1257"/>
      <c r="N396" s="719" t="str">
        <f t="shared" si="44"/>
        <v/>
      </c>
      <c r="O396" s="720" t="str">
        <f>IF('Set up ~ Config'!$G$32=6,IF(OR($N396=7,$N396=8,$N396=9),1,IF(OR($N396=10,$N396=11,$N396=12),2,IF(OR($N396=1,$N396=2,$N396=3),3,IF(OR($N396=4,$N396=5,$N396=6),4,"")))),IF(OR($N396=9,$N396=10,$N396=11),1,IF(OR($N396=12,$N396=1,$N396=2),2,IF(OR($N396=3,$N396=4,$N396=5),3,IF(OR($N396=6,$N396=7,$N396=8),4,"")))))</f>
        <v/>
      </c>
      <c r="P396" s="99"/>
      <c r="Q396" s="62"/>
      <c r="R396" s="62"/>
      <c r="S396" s="51"/>
      <c r="T396" s="51"/>
      <c r="U396" s="51"/>
      <c r="V396" s="51"/>
      <c r="W396" s="51"/>
      <c r="X396" s="51"/>
      <c r="Y396" s="51"/>
      <c r="Z396" s="51"/>
      <c r="AA396" s="51"/>
      <c r="AB396" s="51"/>
      <c r="AC396" s="51"/>
      <c r="AD396" s="51"/>
      <c r="AE396" s="51"/>
      <c r="AF396" s="51"/>
      <c r="AG396" s="51"/>
      <c r="AH396" s="94"/>
      <c r="AI396" s="94"/>
      <c r="AJ396" s="94"/>
      <c r="AK396" s="94"/>
      <c r="AL396" s="94"/>
      <c r="AM396" s="94"/>
      <c r="AN396" s="94"/>
      <c r="AO396" s="95"/>
      <c r="AP396" s="686">
        <f t="shared" si="45"/>
        <v>0</v>
      </c>
      <c r="AQ396" s="42"/>
      <c r="AR396" s="42"/>
      <c r="AS396" s="42"/>
      <c r="AT396" s="43"/>
      <c r="AU396" s="687">
        <f t="shared" si="46"/>
        <v>0</v>
      </c>
      <c r="AV396" s="42"/>
      <c r="AW396" s="42"/>
      <c r="AX396" s="42"/>
      <c r="AY396" s="43"/>
      <c r="AZ396" s="486"/>
      <c r="BA396" s="51"/>
      <c r="BB396" s="51"/>
      <c r="BC396" s="51"/>
      <c r="BD396" s="51"/>
      <c r="BE396" s="51"/>
      <c r="BF396" s="51"/>
      <c r="BG396" s="51"/>
      <c r="BH396" s="94"/>
      <c r="BI396" s="94"/>
      <c r="BJ396" s="94"/>
      <c r="BK396" s="94"/>
      <c r="BL396" s="94"/>
      <c r="BM396" s="483"/>
      <c r="BN396" s="94"/>
      <c r="BO396" s="94"/>
      <c r="BP396" s="94"/>
      <c r="BQ396" s="94"/>
      <c r="BR396" s="94"/>
      <c r="BS396" s="94"/>
      <c r="BT396" s="94"/>
      <c r="BU396" s="94"/>
      <c r="BV396" s="94"/>
      <c r="BW396" s="688">
        <f t="shared" si="42"/>
        <v>0</v>
      </c>
      <c r="BX396" s="51"/>
      <c r="BY396" s="51"/>
      <c r="BZ396" s="51"/>
      <c r="CA396" s="51"/>
      <c r="CB396" s="51"/>
      <c r="CC396" s="51"/>
      <c r="CD396" s="97"/>
      <c r="CE396" s="479"/>
      <c r="CF396" s="51"/>
      <c r="CG396" s="51"/>
      <c r="CH396" s="62"/>
      <c r="CI396" s="62"/>
      <c r="CJ396" s="51"/>
      <c r="CK396" s="51"/>
      <c r="CL396" s="95"/>
      <c r="CM396" s="93"/>
      <c r="CN396" s="51"/>
      <c r="CO396" s="51"/>
      <c r="CP396" s="51"/>
      <c r="CQ396" s="51"/>
      <c r="CR396" s="51"/>
      <c r="CS396" s="51"/>
      <c r="CT396" s="51"/>
      <c r="CU396" s="95"/>
      <c r="CV396" s="93"/>
      <c r="CW396" s="51"/>
      <c r="CX396" s="51"/>
      <c r="CY396" s="51"/>
      <c r="CZ396" s="51"/>
      <c r="DA396" s="51"/>
      <c r="DB396" s="51"/>
      <c r="DC396" s="51"/>
      <c r="DD396" s="95"/>
      <c r="DE396" s="93"/>
      <c r="DF396" s="51"/>
      <c r="DG396" s="51"/>
      <c r="DH396" s="51"/>
      <c r="DI396" s="51"/>
      <c r="DJ396" s="51"/>
      <c r="DK396" s="51"/>
      <c r="DL396" s="95"/>
      <c r="DM396" s="478"/>
      <c r="DN396" s="682">
        <f t="shared" si="47"/>
        <v>0</v>
      </c>
      <c r="DO396" s="683"/>
    </row>
    <row r="397" spans="1:119" ht="25.5" customHeight="1" thickTop="1" thickBot="1" x14ac:dyDescent="0.2">
      <c r="A397" s="676">
        <f t="shared" si="43"/>
        <v>382</v>
      </c>
      <c r="B397" s="1054"/>
      <c r="C397" s="1055"/>
      <c r="D397" s="83"/>
      <c r="E397" s="954"/>
      <c r="F397" s="52"/>
      <c r="G397" s="103"/>
      <c r="H397" s="1058"/>
      <c r="I397" s="684" t="str">
        <f t="shared" si="40"/>
        <v/>
      </c>
      <c r="J397" s="685">
        <f t="shared" si="41"/>
        <v>0</v>
      </c>
      <c r="K397" s="1258"/>
      <c r="L397" s="1251"/>
      <c r="M397" s="1257"/>
      <c r="N397" s="719" t="str">
        <f t="shared" si="44"/>
        <v/>
      </c>
      <c r="O397" s="720" t="str">
        <f>IF('Set up ~ Config'!$G$32=6,IF(OR($N397=7,$N397=8,$N397=9),1,IF(OR($N397=10,$N397=11,$N397=12),2,IF(OR($N397=1,$N397=2,$N397=3),3,IF(OR($N397=4,$N397=5,$N397=6),4,"")))),IF(OR($N397=9,$N397=10,$N397=11),1,IF(OR($N397=12,$N397=1,$N397=2),2,IF(OR($N397=3,$N397=4,$N397=5),3,IF(OR($N397=6,$N397=7,$N397=8),4,"")))))</f>
        <v/>
      </c>
      <c r="P397" s="99"/>
      <c r="Q397" s="62"/>
      <c r="R397" s="62"/>
      <c r="S397" s="51"/>
      <c r="T397" s="51"/>
      <c r="U397" s="51"/>
      <c r="V397" s="51"/>
      <c r="W397" s="51"/>
      <c r="X397" s="51"/>
      <c r="Y397" s="51"/>
      <c r="Z397" s="51"/>
      <c r="AA397" s="51"/>
      <c r="AB397" s="51"/>
      <c r="AC397" s="51"/>
      <c r="AD397" s="51"/>
      <c r="AE397" s="51"/>
      <c r="AF397" s="51"/>
      <c r="AG397" s="51"/>
      <c r="AH397" s="94"/>
      <c r="AI397" s="94"/>
      <c r="AJ397" s="94"/>
      <c r="AK397" s="94"/>
      <c r="AL397" s="94"/>
      <c r="AM397" s="94"/>
      <c r="AN397" s="94"/>
      <c r="AO397" s="95"/>
      <c r="AP397" s="686">
        <f t="shared" si="45"/>
        <v>0</v>
      </c>
      <c r="AQ397" s="42"/>
      <c r="AR397" s="42"/>
      <c r="AS397" s="42"/>
      <c r="AT397" s="43"/>
      <c r="AU397" s="687">
        <f t="shared" si="46"/>
        <v>0</v>
      </c>
      <c r="AV397" s="42"/>
      <c r="AW397" s="42"/>
      <c r="AX397" s="42"/>
      <c r="AY397" s="43"/>
      <c r="AZ397" s="486"/>
      <c r="BA397" s="51"/>
      <c r="BB397" s="51"/>
      <c r="BC397" s="51"/>
      <c r="BD397" s="51"/>
      <c r="BE397" s="51"/>
      <c r="BF397" s="51"/>
      <c r="BG397" s="51"/>
      <c r="BH397" s="94"/>
      <c r="BI397" s="94"/>
      <c r="BJ397" s="94"/>
      <c r="BK397" s="94"/>
      <c r="BL397" s="94"/>
      <c r="BM397" s="483"/>
      <c r="BN397" s="94"/>
      <c r="BO397" s="94"/>
      <c r="BP397" s="94"/>
      <c r="BQ397" s="94"/>
      <c r="BR397" s="94"/>
      <c r="BS397" s="94"/>
      <c r="BT397" s="94"/>
      <c r="BU397" s="94"/>
      <c r="BV397" s="94"/>
      <c r="BW397" s="688">
        <f t="shared" si="42"/>
        <v>0</v>
      </c>
      <c r="BX397" s="51"/>
      <c r="BY397" s="51"/>
      <c r="BZ397" s="51"/>
      <c r="CA397" s="51"/>
      <c r="CB397" s="51"/>
      <c r="CC397" s="51"/>
      <c r="CD397" s="97"/>
      <c r="CE397" s="479"/>
      <c r="CF397" s="51"/>
      <c r="CG397" s="51"/>
      <c r="CH397" s="62"/>
      <c r="CI397" s="62"/>
      <c r="CJ397" s="51"/>
      <c r="CK397" s="51"/>
      <c r="CL397" s="95"/>
      <c r="CM397" s="93"/>
      <c r="CN397" s="51"/>
      <c r="CO397" s="51"/>
      <c r="CP397" s="51"/>
      <c r="CQ397" s="51"/>
      <c r="CR397" s="51"/>
      <c r="CS397" s="51"/>
      <c r="CT397" s="51"/>
      <c r="CU397" s="95"/>
      <c r="CV397" s="93"/>
      <c r="CW397" s="51"/>
      <c r="CX397" s="51"/>
      <c r="CY397" s="51"/>
      <c r="CZ397" s="51"/>
      <c r="DA397" s="51"/>
      <c r="DB397" s="51"/>
      <c r="DC397" s="51"/>
      <c r="DD397" s="95"/>
      <c r="DE397" s="93"/>
      <c r="DF397" s="51"/>
      <c r="DG397" s="51"/>
      <c r="DH397" s="51"/>
      <c r="DI397" s="51"/>
      <c r="DJ397" s="51"/>
      <c r="DK397" s="51"/>
      <c r="DL397" s="95"/>
      <c r="DM397" s="478"/>
      <c r="DN397" s="682">
        <f t="shared" si="47"/>
        <v>0</v>
      </c>
      <c r="DO397" s="683"/>
    </row>
    <row r="398" spans="1:119" ht="25.5" customHeight="1" thickTop="1" thickBot="1" x14ac:dyDescent="0.2">
      <c r="A398" s="676">
        <f t="shared" si="43"/>
        <v>383</v>
      </c>
      <c r="B398" s="1054"/>
      <c r="C398" s="1055"/>
      <c r="D398" s="83"/>
      <c r="E398" s="954"/>
      <c r="F398" s="52"/>
      <c r="G398" s="103"/>
      <c r="H398" s="1058"/>
      <c r="I398" s="684" t="str">
        <f t="shared" si="40"/>
        <v/>
      </c>
      <c r="J398" s="685">
        <f t="shared" si="41"/>
        <v>0</v>
      </c>
      <c r="K398" s="1258"/>
      <c r="L398" s="1251"/>
      <c r="M398" s="1257"/>
      <c r="N398" s="719" t="str">
        <f t="shared" si="44"/>
        <v/>
      </c>
      <c r="O398" s="720" t="str">
        <f>IF('Set up ~ Config'!$G$32=6,IF(OR($N398=7,$N398=8,$N398=9),1,IF(OR($N398=10,$N398=11,$N398=12),2,IF(OR($N398=1,$N398=2,$N398=3),3,IF(OR($N398=4,$N398=5,$N398=6),4,"")))),IF(OR($N398=9,$N398=10,$N398=11),1,IF(OR($N398=12,$N398=1,$N398=2),2,IF(OR($N398=3,$N398=4,$N398=5),3,IF(OR($N398=6,$N398=7,$N398=8),4,"")))))</f>
        <v/>
      </c>
      <c r="P398" s="99"/>
      <c r="Q398" s="62"/>
      <c r="R398" s="62"/>
      <c r="S398" s="51"/>
      <c r="T398" s="51"/>
      <c r="U398" s="51"/>
      <c r="V398" s="51"/>
      <c r="W398" s="51"/>
      <c r="X398" s="51"/>
      <c r="Y398" s="51"/>
      <c r="Z398" s="51"/>
      <c r="AA398" s="51"/>
      <c r="AB398" s="51"/>
      <c r="AC398" s="51"/>
      <c r="AD398" s="51"/>
      <c r="AE398" s="51"/>
      <c r="AF398" s="51"/>
      <c r="AG398" s="51"/>
      <c r="AH398" s="94"/>
      <c r="AI398" s="94"/>
      <c r="AJ398" s="94"/>
      <c r="AK398" s="94"/>
      <c r="AL398" s="94"/>
      <c r="AM398" s="94"/>
      <c r="AN398" s="94"/>
      <c r="AO398" s="95"/>
      <c r="AP398" s="686">
        <f t="shared" si="45"/>
        <v>0</v>
      </c>
      <c r="AQ398" s="42"/>
      <c r="AR398" s="42"/>
      <c r="AS398" s="42"/>
      <c r="AT398" s="43"/>
      <c r="AU398" s="687">
        <f t="shared" si="46"/>
        <v>0</v>
      </c>
      <c r="AV398" s="42"/>
      <c r="AW398" s="42"/>
      <c r="AX398" s="42"/>
      <c r="AY398" s="43"/>
      <c r="AZ398" s="486"/>
      <c r="BA398" s="51"/>
      <c r="BB398" s="51"/>
      <c r="BC398" s="51"/>
      <c r="BD398" s="51"/>
      <c r="BE398" s="51"/>
      <c r="BF398" s="51"/>
      <c r="BG398" s="51"/>
      <c r="BH398" s="94"/>
      <c r="BI398" s="94"/>
      <c r="BJ398" s="94"/>
      <c r="BK398" s="94"/>
      <c r="BL398" s="94"/>
      <c r="BM398" s="483"/>
      <c r="BN398" s="94"/>
      <c r="BO398" s="94"/>
      <c r="BP398" s="94"/>
      <c r="BQ398" s="94"/>
      <c r="BR398" s="94"/>
      <c r="BS398" s="94"/>
      <c r="BT398" s="94"/>
      <c r="BU398" s="94"/>
      <c r="BV398" s="94"/>
      <c r="BW398" s="688">
        <f t="shared" si="42"/>
        <v>0</v>
      </c>
      <c r="BX398" s="51"/>
      <c r="BY398" s="51"/>
      <c r="BZ398" s="51"/>
      <c r="CA398" s="51"/>
      <c r="CB398" s="51"/>
      <c r="CC398" s="51"/>
      <c r="CD398" s="97"/>
      <c r="CE398" s="479"/>
      <c r="CF398" s="51"/>
      <c r="CG398" s="51"/>
      <c r="CH398" s="62"/>
      <c r="CI398" s="62"/>
      <c r="CJ398" s="51"/>
      <c r="CK398" s="51"/>
      <c r="CL398" s="95"/>
      <c r="CM398" s="93"/>
      <c r="CN398" s="51"/>
      <c r="CO398" s="51"/>
      <c r="CP398" s="51"/>
      <c r="CQ398" s="51"/>
      <c r="CR398" s="51"/>
      <c r="CS398" s="51"/>
      <c r="CT398" s="51"/>
      <c r="CU398" s="95"/>
      <c r="CV398" s="93"/>
      <c r="CW398" s="51"/>
      <c r="CX398" s="51"/>
      <c r="CY398" s="51"/>
      <c r="CZ398" s="51"/>
      <c r="DA398" s="51"/>
      <c r="DB398" s="51"/>
      <c r="DC398" s="51"/>
      <c r="DD398" s="95"/>
      <c r="DE398" s="93"/>
      <c r="DF398" s="51"/>
      <c r="DG398" s="51"/>
      <c r="DH398" s="51"/>
      <c r="DI398" s="51"/>
      <c r="DJ398" s="51"/>
      <c r="DK398" s="51"/>
      <c r="DL398" s="95"/>
      <c r="DM398" s="478"/>
      <c r="DN398" s="682">
        <f t="shared" si="47"/>
        <v>0</v>
      </c>
      <c r="DO398" s="683"/>
    </row>
    <row r="399" spans="1:119" ht="25.5" customHeight="1" thickTop="1" thickBot="1" x14ac:dyDescent="0.2">
      <c r="A399" s="676">
        <f t="shared" si="43"/>
        <v>384</v>
      </c>
      <c r="B399" s="1054"/>
      <c r="C399" s="1055"/>
      <c r="D399" s="83"/>
      <c r="E399" s="954"/>
      <c r="F399" s="52"/>
      <c r="G399" s="103"/>
      <c r="H399" s="1058"/>
      <c r="I399" s="684" t="str">
        <f t="shared" si="40"/>
        <v/>
      </c>
      <c r="J399" s="685">
        <f t="shared" si="41"/>
        <v>0</v>
      </c>
      <c r="K399" s="1258"/>
      <c r="L399" s="1251"/>
      <c r="M399" s="1257"/>
      <c r="N399" s="719" t="str">
        <f t="shared" si="44"/>
        <v/>
      </c>
      <c r="O399" s="720" t="str">
        <f>IF('Set up ~ Config'!$G$32=6,IF(OR($N399=7,$N399=8,$N399=9),1,IF(OR($N399=10,$N399=11,$N399=12),2,IF(OR($N399=1,$N399=2,$N399=3),3,IF(OR($N399=4,$N399=5,$N399=6),4,"")))),IF(OR($N399=9,$N399=10,$N399=11),1,IF(OR($N399=12,$N399=1,$N399=2),2,IF(OR($N399=3,$N399=4,$N399=5),3,IF(OR($N399=6,$N399=7,$N399=8),4,"")))))</f>
        <v/>
      </c>
      <c r="P399" s="99"/>
      <c r="Q399" s="62"/>
      <c r="R399" s="62"/>
      <c r="S399" s="51"/>
      <c r="T399" s="51"/>
      <c r="U399" s="51"/>
      <c r="V399" s="51"/>
      <c r="W399" s="51"/>
      <c r="X399" s="51"/>
      <c r="Y399" s="51"/>
      <c r="Z399" s="51"/>
      <c r="AA399" s="51"/>
      <c r="AB399" s="51"/>
      <c r="AC399" s="51"/>
      <c r="AD399" s="51"/>
      <c r="AE399" s="51"/>
      <c r="AF399" s="51"/>
      <c r="AG399" s="51"/>
      <c r="AH399" s="94"/>
      <c r="AI399" s="94"/>
      <c r="AJ399" s="94"/>
      <c r="AK399" s="94"/>
      <c r="AL399" s="94"/>
      <c r="AM399" s="94"/>
      <c r="AN399" s="94"/>
      <c r="AO399" s="95"/>
      <c r="AP399" s="686">
        <f t="shared" si="45"/>
        <v>0</v>
      </c>
      <c r="AQ399" s="42"/>
      <c r="AR399" s="42"/>
      <c r="AS399" s="42"/>
      <c r="AT399" s="43"/>
      <c r="AU399" s="687">
        <f t="shared" si="46"/>
        <v>0</v>
      </c>
      <c r="AV399" s="42"/>
      <c r="AW399" s="42"/>
      <c r="AX399" s="42"/>
      <c r="AY399" s="43"/>
      <c r="AZ399" s="486"/>
      <c r="BA399" s="51"/>
      <c r="BB399" s="51"/>
      <c r="BC399" s="51"/>
      <c r="BD399" s="51"/>
      <c r="BE399" s="51"/>
      <c r="BF399" s="51"/>
      <c r="BG399" s="51"/>
      <c r="BH399" s="94"/>
      <c r="BI399" s="94"/>
      <c r="BJ399" s="94"/>
      <c r="BK399" s="94"/>
      <c r="BL399" s="94"/>
      <c r="BM399" s="483"/>
      <c r="BN399" s="94"/>
      <c r="BO399" s="94"/>
      <c r="BP399" s="94"/>
      <c r="BQ399" s="94"/>
      <c r="BR399" s="94"/>
      <c r="BS399" s="94"/>
      <c r="BT399" s="94"/>
      <c r="BU399" s="94"/>
      <c r="BV399" s="94"/>
      <c r="BW399" s="688">
        <f t="shared" si="42"/>
        <v>0</v>
      </c>
      <c r="BX399" s="51"/>
      <c r="BY399" s="51"/>
      <c r="BZ399" s="51"/>
      <c r="CA399" s="51"/>
      <c r="CB399" s="51"/>
      <c r="CC399" s="51"/>
      <c r="CD399" s="97"/>
      <c r="CE399" s="479"/>
      <c r="CF399" s="51"/>
      <c r="CG399" s="51"/>
      <c r="CH399" s="62"/>
      <c r="CI399" s="62"/>
      <c r="CJ399" s="51"/>
      <c r="CK399" s="51"/>
      <c r="CL399" s="95"/>
      <c r="CM399" s="93"/>
      <c r="CN399" s="51"/>
      <c r="CO399" s="51"/>
      <c r="CP399" s="51"/>
      <c r="CQ399" s="51"/>
      <c r="CR399" s="51"/>
      <c r="CS399" s="51"/>
      <c r="CT399" s="51"/>
      <c r="CU399" s="95"/>
      <c r="CV399" s="93"/>
      <c r="CW399" s="51"/>
      <c r="CX399" s="51"/>
      <c r="CY399" s="51"/>
      <c r="CZ399" s="51"/>
      <c r="DA399" s="51"/>
      <c r="DB399" s="51"/>
      <c r="DC399" s="51"/>
      <c r="DD399" s="95"/>
      <c r="DE399" s="93"/>
      <c r="DF399" s="51"/>
      <c r="DG399" s="51"/>
      <c r="DH399" s="51"/>
      <c r="DI399" s="51"/>
      <c r="DJ399" s="51"/>
      <c r="DK399" s="51"/>
      <c r="DL399" s="95"/>
      <c r="DM399" s="478"/>
      <c r="DN399" s="682">
        <f t="shared" si="47"/>
        <v>0</v>
      </c>
      <c r="DO399" s="683"/>
    </row>
    <row r="400" spans="1:119" ht="25.5" customHeight="1" thickTop="1" thickBot="1" x14ac:dyDescent="0.2">
      <c r="A400" s="676">
        <f t="shared" si="43"/>
        <v>385</v>
      </c>
      <c r="B400" s="1054"/>
      <c r="C400" s="1055"/>
      <c r="D400" s="83"/>
      <c r="E400" s="954"/>
      <c r="F400" s="52"/>
      <c r="G400" s="103"/>
      <c r="H400" s="1058"/>
      <c r="I400" s="684" t="str">
        <f t="shared" ref="I400:I463" si="48">LEFT(H400,4)</f>
        <v/>
      </c>
      <c r="J400" s="685">
        <f t="shared" ref="J400:J463" si="49">G400-DN400</f>
        <v>0</v>
      </c>
      <c r="K400" s="1258"/>
      <c r="L400" s="1251"/>
      <c r="M400" s="1257"/>
      <c r="N400" s="719" t="str">
        <f t="shared" si="44"/>
        <v/>
      </c>
      <c r="O400" s="720" t="str">
        <f>IF('Set up ~ Config'!$G$32=6,IF(OR($N400=7,$N400=8,$N400=9),1,IF(OR($N400=10,$N400=11,$N400=12),2,IF(OR($N400=1,$N400=2,$N400=3),3,IF(OR($N400=4,$N400=5,$N400=6),4,"")))),IF(OR($N400=9,$N400=10,$N400=11),1,IF(OR($N400=12,$N400=1,$N400=2),2,IF(OR($N400=3,$N400=4,$N400=5),3,IF(OR($N400=6,$N400=7,$N400=8),4,"")))))</f>
        <v/>
      </c>
      <c r="P400" s="99"/>
      <c r="Q400" s="62"/>
      <c r="R400" s="62"/>
      <c r="S400" s="51"/>
      <c r="T400" s="51"/>
      <c r="U400" s="51"/>
      <c r="V400" s="51"/>
      <c r="W400" s="51"/>
      <c r="X400" s="51"/>
      <c r="Y400" s="51"/>
      <c r="Z400" s="51"/>
      <c r="AA400" s="51"/>
      <c r="AB400" s="51"/>
      <c r="AC400" s="51"/>
      <c r="AD400" s="51"/>
      <c r="AE400" s="51"/>
      <c r="AF400" s="51"/>
      <c r="AG400" s="51"/>
      <c r="AH400" s="94"/>
      <c r="AI400" s="94"/>
      <c r="AJ400" s="94"/>
      <c r="AK400" s="94"/>
      <c r="AL400" s="94"/>
      <c r="AM400" s="94"/>
      <c r="AN400" s="94"/>
      <c r="AO400" s="95"/>
      <c r="AP400" s="686">
        <f t="shared" si="45"/>
        <v>0</v>
      </c>
      <c r="AQ400" s="42"/>
      <c r="AR400" s="42"/>
      <c r="AS400" s="42"/>
      <c r="AT400" s="43"/>
      <c r="AU400" s="687">
        <f t="shared" si="46"/>
        <v>0</v>
      </c>
      <c r="AV400" s="42"/>
      <c r="AW400" s="42"/>
      <c r="AX400" s="42"/>
      <c r="AY400" s="43"/>
      <c r="AZ400" s="486"/>
      <c r="BA400" s="51"/>
      <c r="BB400" s="51"/>
      <c r="BC400" s="51"/>
      <c r="BD400" s="51"/>
      <c r="BE400" s="51"/>
      <c r="BF400" s="51"/>
      <c r="BG400" s="51"/>
      <c r="BH400" s="94"/>
      <c r="BI400" s="94"/>
      <c r="BJ400" s="94"/>
      <c r="BK400" s="94"/>
      <c r="BL400" s="94"/>
      <c r="BM400" s="483"/>
      <c r="BN400" s="94"/>
      <c r="BO400" s="94"/>
      <c r="BP400" s="94"/>
      <c r="BQ400" s="94"/>
      <c r="BR400" s="94"/>
      <c r="BS400" s="94"/>
      <c r="BT400" s="94"/>
      <c r="BU400" s="94"/>
      <c r="BV400" s="94"/>
      <c r="BW400" s="688">
        <f t="shared" ref="BW400:BW463" si="50">SUM(BX400:CD400)</f>
        <v>0</v>
      </c>
      <c r="BX400" s="51"/>
      <c r="BY400" s="51"/>
      <c r="BZ400" s="51"/>
      <c r="CA400" s="51"/>
      <c r="CB400" s="51"/>
      <c r="CC400" s="51"/>
      <c r="CD400" s="97"/>
      <c r="CE400" s="479"/>
      <c r="CF400" s="51"/>
      <c r="CG400" s="51"/>
      <c r="CH400" s="62"/>
      <c r="CI400" s="62"/>
      <c r="CJ400" s="51"/>
      <c r="CK400" s="51"/>
      <c r="CL400" s="95"/>
      <c r="CM400" s="93"/>
      <c r="CN400" s="51"/>
      <c r="CO400" s="51"/>
      <c r="CP400" s="51"/>
      <c r="CQ400" s="51"/>
      <c r="CR400" s="51"/>
      <c r="CS400" s="51"/>
      <c r="CT400" s="51"/>
      <c r="CU400" s="95"/>
      <c r="CV400" s="93"/>
      <c r="CW400" s="51"/>
      <c r="CX400" s="51"/>
      <c r="CY400" s="51"/>
      <c r="CZ400" s="51"/>
      <c r="DA400" s="51"/>
      <c r="DB400" s="51"/>
      <c r="DC400" s="51"/>
      <c r="DD400" s="95"/>
      <c r="DE400" s="93"/>
      <c r="DF400" s="51"/>
      <c r="DG400" s="51"/>
      <c r="DH400" s="51"/>
      <c r="DI400" s="51"/>
      <c r="DJ400" s="51"/>
      <c r="DK400" s="51"/>
      <c r="DL400" s="95"/>
      <c r="DM400" s="478"/>
      <c r="DN400" s="682">
        <f t="shared" si="47"/>
        <v>0</v>
      </c>
      <c r="DO400" s="683"/>
    </row>
    <row r="401" spans="1:119" ht="25.5" customHeight="1" thickTop="1" thickBot="1" x14ac:dyDescent="0.2">
      <c r="A401" s="676">
        <f t="shared" ref="A401:A464" si="51">$A400+1</f>
        <v>386</v>
      </c>
      <c r="B401" s="1054"/>
      <c r="C401" s="1055"/>
      <c r="D401" s="83"/>
      <c r="E401" s="954"/>
      <c r="F401" s="52"/>
      <c r="G401" s="103"/>
      <c r="H401" s="1058"/>
      <c r="I401" s="684" t="str">
        <f t="shared" si="48"/>
        <v/>
      </c>
      <c r="J401" s="685">
        <f t="shared" si="49"/>
        <v>0</v>
      </c>
      <c r="K401" s="1258"/>
      <c r="L401" s="1251"/>
      <c r="M401" s="1257"/>
      <c r="N401" s="719" t="str">
        <f t="shared" ref="N401:N464" si="52">IF($E401="","",MONTH($E401))</f>
        <v/>
      </c>
      <c r="O401" s="720" t="str">
        <f>IF('Set up ~ Config'!$G$32=6,IF(OR($N401=7,$N401=8,$N401=9),1,IF(OR($N401=10,$N401=11,$N401=12),2,IF(OR($N401=1,$N401=2,$N401=3),3,IF(OR($N401=4,$N401=5,$N401=6),4,"")))),IF(OR($N401=9,$N401=10,$N401=11),1,IF(OR($N401=12,$N401=1,$N401=2),2,IF(OR($N401=3,$N401=4,$N401=5),3,IF(OR($N401=6,$N401=7,$N401=8),4,"")))))</f>
        <v/>
      </c>
      <c r="P401" s="99"/>
      <c r="Q401" s="62"/>
      <c r="R401" s="62"/>
      <c r="S401" s="51"/>
      <c r="T401" s="51"/>
      <c r="U401" s="51"/>
      <c r="V401" s="51"/>
      <c r="W401" s="51"/>
      <c r="X401" s="51"/>
      <c r="Y401" s="51"/>
      <c r="Z401" s="51"/>
      <c r="AA401" s="51"/>
      <c r="AB401" s="51"/>
      <c r="AC401" s="51"/>
      <c r="AD401" s="51"/>
      <c r="AE401" s="51"/>
      <c r="AF401" s="51"/>
      <c r="AG401" s="51"/>
      <c r="AH401" s="94"/>
      <c r="AI401" s="94"/>
      <c r="AJ401" s="94"/>
      <c r="AK401" s="94"/>
      <c r="AL401" s="94"/>
      <c r="AM401" s="94"/>
      <c r="AN401" s="94"/>
      <c r="AO401" s="95"/>
      <c r="AP401" s="686">
        <f t="shared" ref="AP401:AP464" si="53">SUM(AQ401:AT401)</f>
        <v>0</v>
      </c>
      <c r="AQ401" s="42"/>
      <c r="AR401" s="42"/>
      <c r="AS401" s="42"/>
      <c r="AT401" s="43"/>
      <c r="AU401" s="687">
        <f t="shared" ref="AU401:AU464" si="54">SUM(AV401:AY401)</f>
        <v>0</v>
      </c>
      <c r="AV401" s="42"/>
      <c r="AW401" s="42"/>
      <c r="AX401" s="42"/>
      <c r="AY401" s="43"/>
      <c r="AZ401" s="486"/>
      <c r="BA401" s="51"/>
      <c r="BB401" s="51"/>
      <c r="BC401" s="51"/>
      <c r="BD401" s="51"/>
      <c r="BE401" s="51"/>
      <c r="BF401" s="51"/>
      <c r="BG401" s="51"/>
      <c r="BH401" s="94"/>
      <c r="BI401" s="94"/>
      <c r="BJ401" s="94"/>
      <c r="BK401" s="94"/>
      <c r="BL401" s="94"/>
      <c r="BM401" s="483"/>
      <c r="BN401" s="94"/>
      <c r="BO401" s="94"/>
      <c r="BP401" s="94"/>
      <c r="BQ401" s="94"/>
      <c r="BR401" s="94"/>
      <c r="BS401" s="94"/>
      <c r="BT401" s="94"/>
      <c r="BU401" s="94"/>
      <c r="BV401" s="94"/>
      <c r="BW401" s="688">
        <f t="shared" si="50"/>
        <v>0</v>
      </c>
      <c r="BX401" s="51"/>
      <c r="BY401" s="51"/>
      <c r="BZ401" s="51"/>
      <c r="CA401" s="51"/>
      <c r="CB401" s="51"/>
      <c r="CC401" s="51"/>
      <c r="CD401" s="97"/>
      <c r="CE401" s="479"/>
      <c r="CF401" s="51"/>
      <c r="CG401" s="51"/>
      <c r="CH401" s="62"/>
      <c r="CI401" s="62"/>
      <c r="CJ401" s="51"/>
      <c r="CK401" s="51"/>
      <c r="CL401" s="95"/>
      <c r="CM401" s="93"/>
      <c r="CN401" s="51"/>
      <c r="CO401" s="51"/>
      <c r="CP401" s="51"/>
      <c r="CQ401" s="51"/>
      <c r="CR401" s="51"/>
      <c r="CS401" s="51"/>
      <c r="CT401" s="51"/>
      <c r="CU401" s="95"/>
      <c r="CV401" s="93"/>
      <c r="CW401" s="51"/>
      <c r="CX401" s="51"/>
      <c r="CY401" s="51"/>
      <c r="CZ401" s="51"/>
      <c r="DA401" s="51"/>
      <c r="DB401" s="51"/>
      <c r="DC401" s="51"/>
      <c r="DD401" s="95"/>
      <c r="DE401" s="93"/>
      <c r="DF401" s="51"/>
      <c r="DG401" s="51"/>
      <c r="DH401" s="51"/>
      <c r="DI401" s="51"/>
      <c r="DJ401" s="51"/>
      <c r="DK401" s="51"/>
      <c r="DL401" s="95"/>
      <c r="DM401" s="478"/>
      <c r="DN401" s="682">
        <f t="shared" ref="DN401:DN464" si="55">SUM(P401:AP401,AU401,AZ401:BW401,CE401:DM401)</f>
        <v>0</v>
      </c>
      <c r="DO401" s="683"/>
    </row>
    <row r="402" spans="1:119" ht="25.5" customHeight="1" thickTop="1" thickBot="1" x14ac:dyDescent="0.2">
      <c r="A402" s="676">
        <f t="shared" si="51"/>
        <v>387</v>
      </c>
      <c r="B402" s="1054"/>
      <c r="C402" s="1055"/>
      <c r="D402" s="83"/>
      <c r="E402" s="954"/>
      <c r="F402" s="52"/>
      <c r="G402" s="103"/>
      <c r="H402" s="1058"/>
      <c r="I402" s="684" t="str">
        <f t="shared" si="48"/>
        <v/>
      </c>
      <c r="J402" s="685">
        <f t="shared" si="49"/>
        <v>0</v>
      </c>
      <c r="K402" s="1258"/>
      <c r="L402" s="1251"/>
      <c r="M402" s="1257"/>
      <c r="N402" s="719" t="str">
        <f t="shared" si="52"/>
        <v/>
      </c>
      <c r="O402" s="720" t="str">
        <f>IF('Set up ~ Config'!$G$32=6,IF(OR($N402=7,$N402=8,$N402=9),1,IF(OR($N402=10,$N402=11,$N402=12),2,IF(OR($N402=1,$N402=2,$N402=3),3,IF(OR($N402=4,$N402=5,$N402=6),4,"")))),IF(OR($N402=9,$N402=10,$N402=11),1,IF(OR($N402=12,$N402=1,$N402=2),2,IF(OR($N402=3,$N402=4,$N402=5),3,IF(OR($N402=6,$N402=7,$N402=8),4,"")))))</f>
        <v/>
      </c>
      <c r="P402" s="99"/>
      <c r="Q402" s="62"/>
      <c r="R402" s="62"/>
      <c r="S402" s="51"/>
      <c r="T402" s="51"/>
      <c r="U402" s="51"/>
      <c r="V402" s="51"/>
      <c r="W402" s="51"/>
      <c r="X402" s="51"/>
      <c r="Y402" s="51"/>
      <c r="Z402" s="51"/>
      <c r="AA402" s="51"/>
      <c r="AB402" s="51"/>
      <c r="AC402" s="51"/>
      <c r="AD402" s="51"/>
      <c r="AE402" s="51"/>
      <c r="AF402" s="51"/>
      <c r="AG402" s="51"/>
      <c r="AH402" s="94"/>
      <c r="AI402" s="94"/>
      <c r="AJ402" s="94"/>
      <c r="AK402" s="94"/>
      <c r="AL402" s="94"/>
      <c r="AM402" s="94"/>
      <c r="AN402" s="94"/>
      <c r="AO402" s="95"/>
      <c r="AP402" s="686">
        <f t="shared" si="53"/>
        <v>0</v>
      </c>
      <c r="AQ402" s="42"/>
      <c r="AR402" s="42"/>
      <c r="AS402" s="42"/>
      <c r="AT402" s="43"/>
      <c r="AU402" s="687">
        <f t="shared" si="54"/>
        <v>0</v>
      </c>
      <c r="AV402" s="42"/>
      <c r="AW402" s="42"/>
      <c r="AX402" s="42"/>
      <c r="AY402" s="43"/>
      <c r="AZ402" s="486"/>
      <c r="BA402" s="51"/>
      <c r="BB402" s="51"/>
      <c r="BC402" s="51"/>
      <c r="BD402" s="51"/>
      <c r="BE402" s="51"/>
      <c r="BF402" s="51"/>
      <c r="BG402" s="51"/>
      <c r="BH402" s="94"/>
      <c r="BI402" s="94"/>
      <c r="BJ402" s="94"/>
      <c r="BK402" s="94"/>
      <c r="BL402" s="94"/>
      <c r="BM402" s="483"/>
      <c r="BN402" s="94"/>
      <c r="BO402" s="94"/>
      <c r="BP402" s="94"/>
      <c r="BQ402" s="94"/>
      <c r="BR402" s="94"/>
      <c r="BS402" s="94"/>
      <c r="BT402" s="94"/>
      <c r="BU402" s="94"/>
      <c r="BV402" s="94"/>
      <c r="BW402" s="688">
        <f t="shared" si="50"/>
        <v>0</v>
      </c>
      <c r="BX402" s="51"/>
      <c r="BY402" s="51"/>
      <c r="BZ402" s="51"/>
      <c r="CA402" s="51"/>
      <c r="CB402" s="51"/>
      <c r="CC402" s="51"/>
      <c r="CD402" s="97"/>
      <c r="CE402" s="479"/>
      <c r="CF402" s="51"/>
      <c r="CG402" s="51"/>
      <c r="CH402" s="62"/>
      <c r="CI402" s="62"/>
      <c r="CJ402" s="51"/>
      <c r="CK402" s="51"/>
      <c r="CL402" s="95"/>
      <c r="CM402" s="93"/>
      <c r="CN402" s="51"/>
      <c r="CO402" s="51"/>
      <c r="CP402" s="51"/>
      <c r="CQ402" s="51"/>
      <c r="CR402" s="51"/>
      <c r="CS402" s="51"/>
      <c r="CT402" s="51"/>
      <c r="CU402" s="95"/>
      <c r="CV402" s="93"/>
      <c r="CW402" s="51"/>
      <c r="CX402" s="51"/>
      <c r="CY402" s="51"/>
      <c r="CZ402" s="51"/>
      <c r="DA402" s="51"/>
      <c r="DB402" s="51"/>
      <c r="DC402" s="51"/>
      <c r="DD402" s="95"/>
      <c r="DE402" s="93"/>
      <c r="DF402" s="51"/>
      <c r="DG402" s="51"/>
      <c r="DH402" s="51"/>
      <c r="DI402" s="51"/>
      <c r="DJ402" s="51"/>
      <c r="DK402" s="51"/>
      <c r="DL402" s="95"/>
      <c r="DM402" s="478"/>
      <c r="DN402" s="682">
        <f t="shared" si="55"/>
        <v>0</v>
      </c>
      <c r="DO402" s="683"/>
    </row>
    <row r="403" spans="1:119" ht="25.5" customHeight="1" thickTop="1" thickBot="1" x14ac:dyDescent="0.2">
      <c r="A403" s="676">
        <f t="shared" si="51"/>
        <v>388</v>
      </c>
      <c r="B403" s="1054"/>
      <c r="C403" s="1055"/>
      <c r="D403" s="83"/>
      <c r="E403" s="954"/>
      <c r="F403" s="52"/>
      <c r="G403" s="103"/>
      <c r="H403" s="1058"/>
      <c r="I403" s="684" t="str">
        <f t="shared" si="48"/>
        <v/>
      </c>
      <c r="J403" s="685">
        <f t="shared" si="49"/>
        <v>0</v>
      </c>
      <c r="K403" s="1258"/>
      <c r="L403" s="1251"/>
      <c r="M403" s="1257"/>
      <c r="N403" s="719" t="str">
        <f t="shared" si="52"/>
        <v/>
      </c>
      <c r="O403" s="720" t="str">
        <f>IF('Set up ~ Config'!$G$32=6,IF(OR($N403=7,$N403=8,$N403=9),1,IF(OR($N403=10,$N403=11,$N403=12),2,IF(OR($N403=1,$N403=2,$N403=3),3,IF(OR($N403=4,$N403=5,$N403=6),4,"")))),IF(OR($N403=9,$N403=10,$N403=11),1,IF(OR($N403=12,$N403=1,$N403=2),2,IF(OR($N403=3,$N403=4,$N403=5),3,IF(OR($N403=6,$N403=7,$N403=8),4,"")))))</f>
        <v/>
      </c>
      <c r="P403" s="99"/>
      <c r="Q403" s="62"/>
      <c r="R403" s="62"/>
      <c r="S403" s="51"/>
      <c r="T403" s="51"/>
      <c r="U403" s="51"/>
      <c r="V403" s="51"/>
      <c r="W403" s="51"/>
      <c r="X403" s="51"/>
      <c r="Y403" s="51"/>
      <c r="Z403" s="51"/>
      <c r="AA403" s="51"/>
      <c r="AB403" s="51"/>
      <c r="AC403" s="51"/>
      <c r="AD403" s="51"/>
      <c r="AE403" s="51"/>
      <c r="AF403" s="51"/>
      <c r="AG403" s="51"/>
      <c r="AH403" s="94"/>
      <c r="AI403" s="94"/>
      <c r="AJ403" s="94"/>
      <c r="AK403" s="94"/>
      <c r="AL403" s="94"/>
      <c r="AM403" s="94"/>
      <c r="AN403" s="94"/>
      <c r="AO403" s="95"/>
      <c r="AP403" s="686">
        <f t="shared" si="53"/>
        <v>0</v>
      </c>
      <c r="AQ403" s="42"/>
      <c r="AR403" s="42"/>
      <c r="AS403" s="42"/>
      <c r="AT403" s="43"/>
      <c r="AU403" s="687">
        <f t="shared" si="54"/>
        <v>0</v>
      </c>
      <c r="AV403" s="42"/>
      <c r="AW403" s="42"/>
      <c r="AX403" s="42"/>
      <c r="AY403" s="43"/>
      <c r="AZ403" s="486"/>
      <c r="BA403" s="51"/>
      <c r="BB403" s="51"/>
      <c r="BC403" s="51"/>
      <c r="BD403" s="51"/>
      <c r="BE403" s="51"/>
      <c r="BF403" s="51"/>
      <c r="BG403" s="51"/>
      <c r="BH403" s="94"/>
      <c r="BI403" s="94"/>
      <c r="BJ403" s="94"/>
      <c r="BK403" s="94"/>
      <c r="BL403" s="94"/>
      <c r="BM403" s="483"/>
      <c r="BN403" s="94"/>
      <c r="BO403" s="94"/>
      <c r="BP403" s="94"/>
      <c r="BQ403" s="94"/>
      <c r="BR403" s="94"/>
      <c r="BS403" s="94"/>
      <c r="BT403" s="94"/>
      <c r="BU403" s="94"/>
      <c r="BV403" s="94"/>
      <c r="BW403" s="688">
        <f t="shared" si="50"/>
        <v>0</v>
      </c>
      <c r="BX403" s="51"/>
      <c r="BY403" s="51"/>
      <c r="BZ403" s="51"/>
      <c r="CA403" s="51"/>
      <c r="CB403" s="51"/>
      <c r="CC403" s="51"/>
      <c r="CD403" s="97"/>
      <c r="CE403" s="479"/>
      <c r="CF403" s="51"/>
      <c r="CG403" s="51"/>
      <c r="CH403" s="62"/>
      <c r="CI403" s="62"/>
      <c r="CJ403" s="51"/>
      <c r="CK403" s="51"/>
      <c r="CL403" s="95"/>
      <c r="CM403" s="93"/>
      <c r="CN403" s="51"/>
      <c r="CO403" s="51"/>
      <c r="CP403" s="51"/>
      <c r="CQ403" s="51"/>
      <c r="CR403" s="51"/>
      <c r="CS403" s="51"/>
      <c r="CT403" s="51"/>
      <c r="CU403" s="95"/>
      <c r="CV403" s="93"/>
      <c r="CW403" s="51"/>
      <c r="CX403" s="51"/>
      <c r="CY403" s="51"/>
      <c r="CZ403" s="51"/>
      <c r="DA403" s="51"/>
      <c r="DB403" s="51"/>
      <c r="DC403" s="51"/>
      <c r="DD403" s="95"/>
      <c r="DE403" s="93"/>
      <c r="DF403" s="51"/>
      <c r="DG403" s="51"/>
      <c r="DH403" s="51"/>
      <c r="DI403" s="51"/>
      <c r="DJ403" s="51"/>
      <c r="DK403" s="51"/>
      <c r="DL403" s="95"/>
      <c r="DM403" s="478"/>
      <c r="DN403" s="682">
        <f t="shared" si="55"/>
        <v>0</v>
      </c>
      <c r="DO403" s="683"/>
    </row>
    <row r="404" spans="1:119" ht="25.5" customHeight="1" thickTop="1" thickBot="1" x14ac:dyDescent="0.2">
      <c r="A404" s="676">
        <f t="shared" si="51"/>
        <v>389</v>
      </c>
      <c r="B404" s="1054"/>
      <c r="C404" s="1055"/>
      <c r="D404" s="83"/>
      <c r="E404" s="954"/>
      <c r="F404" s="52"/>
      <c r="G404" s="103"/>
      <c r="H404" s="1058"/>
      <c r="I404" s="684" t="str">
        <f t="shared" si="48"/>
        <v/>
      </c>
      <c r="J404" s="685">
        <f t="shared" si="49"/>
        <v>0</v>
      </c>
      <c r="K404" s="1258"/>
      <c r="L404" s="1251"/>
      <c r="M404" s="1257"/>
      <c r="N404" s="719" t="str">
        <f t="shared" si="52"/>
        <v/>
      </c>
      <c r="O404" s="720" t="str">
        <f>IF('Set up ~ Config'!$G$32=6,IF(OR($N404=7,$N404=8,$N404=9),1,IF(OR($N404=10,$N404=11,$N404=12),2,IF(OR($N404=1,$N404=2,$N404=3),3,IF(OR($N404=4,$N404=5,$N404=6),4,"")))),IF(OR($N404=9,$N404=10,$N404=11),1,IF(OR($N404=12,$N404=1,$N404=2),2,IF(OR($N404=3,$N404=4,$N404=5),3,IF(OR($N404=6,$N404=7,$N404=8),4,"")))))</f>
        <v/>
      </c>
      <c r="P404" s="99"/>
      <c r="Q404" s="62"/>
      <c r="R404" s="62"/>
      <c r="S404" s="51"/>
      <c r="T404" s="51"/>
      <c r="U404" s="51"/>
      <c r="V404" s="51"/>
      <c r="W404" s="51"/>
      <c r="X404" s="51"/>
      <c r="Y404" s="51"/>
      <c r="Z404" s="51"/>
      <c r="AA404" s="51"/>
      <c r="AB404" s="51"/>
      <c r="AC404" s="51"/>
      <c r="AD404" s="51"/>
      <c r="AE404" s="51"/>
      <c r="AF404" s="51"/>
      <c r="AG404" s="51"/>
      <c r="AH404" s="94"/>
      <c r="AI404" s="94"/>
      <c r="AJ404" s="94"/>
      <c r="AK404" s="94"/>
      <c r="AL404" s="94"/>
      <c r="AM404" s="94"/>
      <c r="AN404" s="94"/>
      <c r="AO404" s="95"/>
      <c r="AP404" s="686">
        <f t="shared" si="53"/>
        <v>0</v>
      </c>
      <c r="AQ404" s="42"/>
      <c r="AR404" s="42"/>
      <c r="AS404" s="42"/>
      <c r="AT404" s="43"/>
      <c r="AU404" s="687">
        <f t="shared" si="54"/>
        <v>0</v>
      </c>
      <c r="AV404" s="42"/>
      <c r="AW404" s="42"/>
      <c r="AX404" s="42"/>
      <c r="AY404" s="43"/>
      <c r="AZ404" s="486"/>
      <c r="BA404" s="51"/>
      <c r="BB404" s="51"/>
      <c r="BC404" s="51"/>
      <c r="BD404" s="51"/>
      <c r="BE404" s="51"/>
      <c r="BF404" s="51"/>
      <c r="BG404" s="51"/>
      <c r="BH404" s="94"/>
      <c r="BI404" s="94"/>
      <c r="BJ404" s="94"/>
      <c r="BK404" s="94"/>
      <c r="BL404" s="94"/>
      <c r="BM404" s="483"/>
      <c r="BN404" s="94"/>
      <c r="BO404" s="94"/>
      <c r="BP404" s="94"/>
      <c r="BQ404" s="94"/>
      <c r="BR404" s="94"/>
      <c r="BS404" s="94"/>
      <c r="BT404" s="94"/>
      <c r="BU404" s="94"/>
      <c r="BV404" s="94"/>
      <c r="BW404" s="688">
        <f t="shared" si="50"/>
        <v>0</v>
      </c>
      <c r="BX404" s="51"/>
      <c r="BY404" s="51"/>
      <c r="BZ404" s="51"/>
      <c r="CA404" s="51"/>
      <c r="CB404" s="51"/>
      <c r="CC404" s="51"/>
      <c r="CD404" s="97"/>
      <c r="CE404" s="479"/>
      <c r="CF404" s="51"/>
      <c r="CG404" s="51"/>
      <c r="CH404" s="62"/>
      <c r="CI404" s="62"/>
      <c r="CJ404" s="51"/>
      <c r="CK404" s="51"/>
      <c r="CL404" s="95"/>
      <c r="CM404" s="93"/>
      <c r="CN404" s="51"/>
      <c r="CO404" s="51"/>
      <c r="CP404" s="51"/>
      <c r="CQ404" s="51"/>
      <c r="CR404" s="51"/>
      <c r="CS404" s="51"/>
      <c r="CT404" s="51"/>
      <c r="CU404" s="95"/>
      <c r="CV404" s="93"/>
      <c r="CW404" s="51"/>
      <c r="CX404" s="51"/>
      <c r="CY404" s="51"/>
      <c r="CZ404" s="51"/>
      <c r="DA404" s="51"/>
      <c r="DB404" s="51"/>
      <c r="DC404" s="51"/>
      <c r="DD404" s="95"/>
      <c r="DE404" s="93"/>
      <c r="DF404" s="51"/>
      <c r="DG404" s="51"/>
      <c r="DH404" s="51"/>
      <c r="DI404" s="51"/>
      <c r="DJ404" s="51"/>
      <c r="DK404" s="51"/>
      <c r="DL404" s="95"/>
      <c r="DM404" s="478"/>
      <c r="DN404" s="682">
        <f t="shared" si="55"/>
        <v>0</v>
      </c>
      <c r="DO404" s="683"/>
    </row>
    <row r="405" spans="1:119" ht="25.5" customHeight="1" thickTop="1" thickBot="1" x14ac:dyDescent="0.2">
      <c r="A405" s="676">
        <f t="shared" si="51"/>
        <v>390</v>
      </c>
      <c r="B405" s="1054"/>
      <c r="C405" s="1055"/>
      <c r="D405" s="83"/>
      <c r="E405" s="954"/>
      <c r="F405" s="52"/>
      <c r="G405" s="103"/>
      <c r="H405" s="1058"/>
      <c r="I405" s="684" t="str">
        <f t="shared" si="48"/>
        <v/>
      </c>
      <c r="J405" s="685">
        <f t="shared" si="49"/>
        <v>0</v>
      </c>
      <c r="K405" s="1258"/>
      <c r="L405" s="1251"/>
      <c r="M405" s="1257"/>
      <c r="N405" s="719" t="str">
        <f t="shared" si="52"/>
        <v/>
      </c>
      <c r="O405" s="720" t="str">
        <f>IF('Set up ~ Config'!$G$32=6,IF(OR($N405=7,$N405=8,$N405=9),1,IF(OR($N405=10,$N405=11,$N405=12),2,IF(OR($N405=1,$N405=2,$N405=3),3,IF(OR($N405=4,$N405=5,$N405=6),4,"")))),IF(OR($N405=9,$N405=10,$N405=11),1,IF(OR($N405=12,$N405=1,$N405=2),2,IF(OR($N405=3,$N405=4,$N405=5),3,IF(OR($N405=6,$N405=7,$N405=8),4,"")))))</f>
        <v/>
      </c>
      <c r="P405" s="99"/>
      <c r="Q405" s="62"/>
      <c r="R405" s="62"/>
      <c r="S405" s="51"/>
      <c r="T405" s="51"/>
      <c r="U405" s="51"/>
      <c r="V405" s="51"/>
      <c r="W405" s="51"/>
      <c r="X405" s="51"/>
      <c r="Y405" s="51"/>
      <c r="Z405" s="51"/>
      <c r="AA405" s="51"/>
      <c r="AB405" s="51"/>
      <c r="AC405" s="51"/>
      <c r="AD405" s="51"/>
      <c r="AE405" s="51"/>
      <c r="AF405" s="51"/>
      <c r="AG405" s="51"/>
      <c r="AH405" s="94"/>
      <c r="AI405" s="94"/>
      <c r="AJ405" s="94"/>
      <c r="AK405" s="94"/>
      <c r="AL405" s="94"/>
      <c r="AM405" s="94"/>
      <c r="AN405" s="94"/>
      <c r="AO405" s="95"/>
      <c r="AP405" s="686">
        <f t="shared" si="53"/>
        <v>0</v>
      </c>
      <c r="AQ405" s="42"/>
      <c r="AR405" s="42"/>
      <c r="AS405" s="42"/>
      <c r="AT405" s="43"/>
      <c r="AU405" s="687">
        <f t="shared" si="54"/>
        <v>0</v>
      </c>
      <c r="AV405" s="42"/>
      <c r="AW405" s="42"/>
      <c r="AX405" s="42"/>
      <c r="AY405" s="43"/>
      <c r="AZ405" s="486"/>
      <c r="BA405" s="51"/>
      <c r="BB405" s="51"/>
      <c r="BC405" s="51"/>
      <c r="BD405" s="51"/>
      <c r="BE405" s="51"/>
      <c r="BF405" s="51"/>
      <c r="BG405" s="51"/>
      <c r="BH405" s="94"/>
      <c r="BI405" s="94"/>
      <c r="BJ405" s="94"/>
      <c r="BK405" s="94"/>
      <c r="BL405" s="94"/>
      <c r="BM405" s="483"/>
      <c r="BN405" s="94"/>
      <c r="BO405" s="94"/>
      <c r="BP405" s="94"/>
      <c r="BQ405" s="94"/>
      <c r="BR405" s="94"/>
      <c r="BS405" s="94"/>
      <c r="BT405" s="94"/>
      <c r="BU405" s="94"/>
      <c r="BV405" s="94"/>
      <c r="BW405" s="688">
        <f t="shared" si="50"/>
        <v>0</v>
      </c>
      <c r="BX405" s="51"/>
      <c r="BY405" s="51"/>
      <c r="BZ405" s="51"/>
      <c r="CA405" s="51"/>
      <c r="CB405" s="51"/>
      <c r="CC405" s="51"/>
      <c r="CD405" s="97"/>
      <c r="CE405" s="479"/>
      <c r="CF405" s="51"/>
      <c r="CG405" s="51"/>
      <c r="CH405" s="62"/>
      <c r="CI405" s="62"/>
      <c r="CJ405" s="51"/>
      <c r="CK405" s="51"/>
      <c r="CL405" s="95"/>
      <c r="CM405" s="93"/>
      <c r="CN405" s="51"/>
      <c r="CO405" s="51"/>
      <c r="CP405" s="51"/>
      <c r="CQ405" s="51"/>
      <c r="CR405" s="51"/>
      <c r="CS405" s="51"/>
      <c r="CT405" s="51"/>
      <c r="CU405" s="95"/>
      <c r="CV405" s="93"/>
      <c r="CW405" s="51"/>
      <c r="CX405" s="51"/>
      <c r="CY405" s="51"/>
      <c r="CZ405" s="51"/>
      <c r="DA405" s="51"/>
      <c r="DB405" s="51"/>
      <c r="DC405" s="51"/>
      <c r="DD405" s="95"/>
      <c r="DE405" s="93"/>
      <c r="DF405" s="51"/>
      <c r="DG405" s="51"/>
      <c r="DH405" s="51"/>
      <c r="DI405" s="51"/>
      <c r="DJ405" s="51"/>
      <c r="DK405" s="51"/>
      <c r="DL405" s="95"/>
      <c r="DM405" s="478"/>
      <c r="DN405" s="682">
        <f t="shared" si="55"/>
        <v>0</v>
      </c>
      <c r="DO405" s="683"/>
    </row>
    <row r="406" spans="1:119" ht="25.5" customHeight="1" thickTop="1" thickBot="1" x14ac:dyDescent="0.2">
      <c r="A406" s="676">
        <f t="shared" si="51"/>
        <v>391</v>
      </c>
      <c r="B406" s="1054"/>
      <c r="C406" s="1055"/>
      <c r="D406" s="83"/>
      <c r="E406" s="954"/>
      <c r="F406" s="52"/>
      <c r="G406" s="103"/>
      <c r="H406" s="1058"/>
      <c r="I406" s="684" t="str">
        <f t="shared" si="48"/>
        <v/>
      </c>
      <c r="J406" s="685">
        <f t="shared" si="49"/>
        <v>0</v>
      </c>
      <c r="K406" s="1258"/>
      <c r="L406" s="1251"/>
      <c r="M406" s="1257"/>
      <c r="N406" s="719" t="str">
        <f t="shared" si="52"/>
        <v/>
      </c>
      <c r="O406" s="720" t="str">
        <f>IF('Set up ~ Config'!$G$32=6,IF(OR($N406=7,$N406=8,$N406=9),1,IF(OR($N406=10,$N406=11,$N406=12),2,IF(OR($N406=1,$N406=2,$N406=3),3,IF(OR($N406=4,$N406=5,$N406=6),4,"")))),IF(OR($N406=9,$N406=10,$N406=11),1,IF(OR($N406=12,$N406=1,$N406=2),2,IF(OR($N406=3,$N406=4,$N406=5),3,IF(OR($N406=6,$N406=7,$N406=8),4,"")))))</f>
        <v/>
      </c>
      <c r="P406" s="99"/>
      <c r="Q406" s="62"/>
      <c r="R406" s="62"/>
      <c r="S406" s="51"/>
      <c r="T406" s="51"/>
      <c r="U406" s="51"/>
      <c r="V406" s="51"/>
      <c r="W406" s="51"/>
      <c r="X406" s="51"/>
      <c r="Y406" s="51"/>
      <c r="Z406" s="51"/>
      <c r="AA406" s="51"/>
      <c r="AB406" s="51"/>
      <c r="AC406" s="51"/>
      <c r="AD406" s="51"/>
      <c r="AE406" s="51"/>
      <c r="AF406" s="51"/>
      <c r="AG406" s="51"/>
      <c r="AH406" s="94"/>
      <c r="AI406" s="94"/>
      <c r="AJ406" s="94"/>
      <c r="AK406" s="94"/>
      <c r="AL406" s="94"/>
      <c r="AM406" s="94"/>
      <c r="AN406" s="94"/>
      <c r="AO406" s="95"/>
      <c r="AP406" s="686">
        <f t="shared" si="53"/>
        <v>0</v>
      </c>
      <c r="AQ406" s="42"/>
      <c r="AR406" s="42"/>
      <c r="AS406" s="42"/>
      <c r="AT406" s="43"/>
      <c r="AU406" s="687">
        <f t="shared" si="54"/>
        <v>0</v>
      </c>
      <c r="AV406" s="42"/>
      <c r="AW406" s="42"/>
      <c r="AX406" s="42"/>
      <c r="AY406" s="43"/>
      <c r="AZ406" s="486"/>
      <c r="BA406" s="51"/>
      <c r="BB406" s="51"/>
      <c r="BC406" s="51"/>
      <c r="BD406" s="51"/>
      <c r="BE406" s="51"/>
      <c r="BF406" s="51"/>
      <c r="BG406" s="51"/>
      <c r="BH406" s="94"/>
      <c r="BI406" s="94"/>
      <c r="BJ406" s="94"/>
      <c r="BK406" s="94"/>
      <c r="BL406" s="94"/>
      <c r="BM406" s="483"/>
      <c r="BN406" s="94"/>
      <c r="BO406" s="94"/>
      <c r="BP406" s="94"/>
      <c r="BQ406" s="94"/>
      <c r="BR406" s="94"/>
      <c r="BS406" s="94"/>
      <c r="BT406" s="94"/>
      <c r="BU406" s="94"/>
      <c r="BV406" s="94"/>
      <c r="BW406" s="688">
        <f t="shared" si="50"/>
        <v>0</v>
      </c>
      <c r="BX406" s="51"/>
      <c r="BY406" s="51"/>
      <c r="BZ406" s="51"/>
      <c r="CA406" s="51"/>
      <c r="CB406" s="51"/>
      <c r="CC406" s="51"/>
      <c r="CD406" s="97"/>
      <c r="CE406" s="479"/>
      <c r="CF406" s="51"/>
      <c r="CG406" s="51"/>
      <c r="CH406" s="62"/>
      <c r="CI406" s="62"/>
      <c r="CJ406" s="51"/>
      <c r="CK406" s="51"/>
      <c r="CL406" s="95"/>
      <c r="CM406" s="93"/>
      <c r="CN406" s="51"/>
      <c r="CO406" s="51"/>
      <c r="CP406" s="51"/>
      <c r="CQ406" s="51"/>
      <c r="CR406" s="51"/>
      <c r="CS406" s="51"/>
      <c r="CT406" s="51"/>
      <c r="CU406" s="95"/>
      <c r="CV406" s="93"/>
      <c r="CW406" s="51"/>
      <c r="CX406" s="51"/>
      <c r="CY406" s="51"/>
      <c r="CZ406" s="51"/>
      <c r="DA406" s="51"/>
      <c r="DB406" s="51"/>
      <c r="DC406" s="51"/>
      <c r="DD406" s="95"/>
      <c r="DE406" s="93"/>
      <c r="DF406" s="51"/>
      <c r="DG406" s="51"/>
      <c r="DH406" s="51"/>
      <c r="DI406" s="51"/>
      <c r="DJ406" s="51"/>
      <c r="DK406" s="51"/>
      <c r="DL406" s="95"/>
      <c r="DM406" s="478"/>
      <c r="DN406" s="682">
        <f t="shared" si="55"/>
        <v>0</v>
      </c>
      <c r="DO406" s="683"/>
    </row>
    <row r="407" spans="1:119" ht="25.5" customHeight="1" thickTop="1" thickBot="1" x14ac:dyDescent="0.2">
      <c r="A407" s="676">
        <f t="shared" si="51"/>
        <v>392</v>
      </c>
      <c r="B407" s="1054"/>
      <c r="C407" s="1055"/>
      <c r="D407" s="83"/>
      <c r="E407" s="954"/>
      <c r="F407" s="52"/>
      <c r="G407" s="103"/>
      <c r="H407" s="1058"/>
      <c r="I407" s="684" t="str">
        <f t="shared" si="48"/>
        <v/>
      </c>
      <c r="J407" s="685">
        <f t="shared" si="49"/>
        <v>0</v>
      </c>
      <c r="K407" s="1258"/>
      <c r="L407" s="1251"/>
      <c r="M407" s="1257"/>
      <c r="N407" s="719" t="str">
        <f t="shared" si="52"/>
        <v/>
      </c>
      <c r="O407" s="720" t="str">
        <f>IF('Set up ~ Config'!$G$32=6,IF(OR($N407=7,$N407=8,$N407=9),1,IF(OR($N407=10,$N407=11,$N407=12),2,IF(OR($N407=1,$N407=2,$N407=3),3,IF(OR($N407=4,$N407=5,$N407=6),4,"")))),IF(OR($N407=9,$N407=10,$N407=11),1,IF(OR($N407=12,$N407=1,$N407=2),2,IF(OR($N407=3,$N407=4,$N407=5),3,IF(OR($N407=6,$N407=7,$N407=8),4,"")))))</f>
        <v/>
      </c>
      <c r="P407" s="99"/>
      <c r="Q407" s="62"/>
      <c r="R407" s="62"/>
      <c r="S407" s="51"/>
      <c r="T407" s="51"/>
      <c r="U407" s="51"/>
      <c r="V407" s="51"/>
      <c r="W407" s="51"/>
      <c r="X407" s="51"/>
      <c r="Y407" s="51"/>
      <c r="Z407" s="51"/>
      <c r="AA407" s="51"/>
      <c r="AB407" s="51"/>
      <c r="AC407" s="51"/>
      <c r="AD407" s="51"/>
      <c r="AE407" s="51"/>
      <c r="AF407" s="51"/>
      <c r="AG407" s="51"/>
      <c r="AH407" s="94"/>
      <c r="AI407" s="94"/>
      <c r="AJ407" s="94"/>
      <c r="AK407" s="94"/>
      <c r="AL407" s="94"/>
      <c r="AM407" s="94"/>
      <c r="AN407" s="94"/>
      <c r="AO407" s="95"/>
      <c r="AP407" s="686">
        <f t="shared" si="53"/>
        <v>0</v>
      </c>
      <c r="AQ407" s="42"/>
      <c r="AR407" s="42"/>
      <c r="AS407" s="42"/>
      <c r="AT407" s="43"/>
      <c r="AU407" s="687">
        <f t="shared" si="54"/>
        <v>0</v>
      </c>
      <c r="AV407" s="42"/>
      <c r="AW407" s="42"/>
      <c r="AX407" s="42"/>
      <c r="AY407" s="43"/>
      <c r="AZ407" s="486"/>
      <c r="BA407" s="51"/>
      <c r="BB407" s="51"/>
      <c r="BC407" s="51"/>
      <c r="BD407" s="51"/>
      <c r="BE407" s="51"/>
      <c r="BF407" s="51"/>
      <c r="BG407" s="51"/>
      <c r="BH407" s="94"/>
      <c r="BI407" s="94"/>
      <c r="BJ407" s="94"/>
      <c r="BK407" s="94"/>
      <c r="BL407" s="94"/>
      <c r="BM407" s="483"/>
      <c r="BN407" s="94"/>
      <c r="BO407" s="94"/>
      <c r="BP407" s="94"/>
      <c r="BQ407" s="94"/>
      <c r="BR407" s="94"/>
      <c r="BS407" s="94"/>
      <c r="BT407" s="94"/>
      <c r="BU407" s="94"/>
      <c r="BV407" s="94"/>
      <c r="BW407" s="688">
        <f t="shared" si="50"/>
        <v>0</v>
      </c>
      <c r="BX407" s="51"/>
      <c r="BY407" s="51"/>
      <c r="BZ407" s="51"/>
      <c r="CA407" s="51"/>
      <c r="CB407" s="51"/>
      <c r="CC407" s="51"/>
      <c r="CD407" s="97"/>
      <c r="CE407" s="479"/>
      <c r="CF407" s="51"/>
      <c r="CG407" s="51"/>
      <c r="CH407" s="62"/>
      <c r="CI407" s="62"/>
      <c r="CJ407" s="51"/>
      <c r="CK407" s="51"/>
      <c r="CL407" s="95"/>
      <c r="CM407" s="93"/>
      <c r="CN407" s="51"/>
      <c r="CO407" s="51"/>
      <c r="CP407" s="51"/>
      <c r="CQ407" s="51"/>
      <c r="CR407" s="51"/>
      <c r="CS407" s="51"/>
      <c r="CT407" s="51"/>
      <c r="CU407" s="95"/>
      <c r="CV407" s="93"/>
      <c r="CW407" s="51"/>
      <c r="CX407" s="51"/>
      <c r="CY407" s="51"/>
      <c r="CZ407" s="51"/>
      <c r="DA407" s="51"/>
      <c r="DB407" s="51"/>
      <c r="DC407" s="51"/>
      <c r="DD407" s="95"/>
      <c r="DE407" s="93"/>
      <c r="DF407" s="51"/>
      <c r="DG407" s="51"/>
      <c r="DH407" s="51"/>
      <c r="DI407" s="51"/>
      <c r="DJ407" s="51"/>
      <c r="DK407" s="51"/>
      <c r="DL407" s="95"/>
      <c r="DM407" s="478"/>
      <c r="DN407" s="682">
        <f t="shared" si="55"/>
        <v>0</v>
      </c>
      <c r="DO407" s="683"/>
    </row>
    <row r="408" spans="1:119" ht="25.5" customHeight="1" thickTop="1" thickBot="1" x14ac:dyDescent="0.2">
      <c r="A408" s="676">
        <f t="shared" si="51"/>
        <v>393</v>
      </c>
      <c r="B408" s="1054"/>
      <c r="C408" s="1055"/>
      <c r="D408" s="83"/>
      <c r="E408" s="954"/>
      <c r="F408" s="52"/>
      <c r="G408" s="103"/>
      <c r="H408" s="1058"/>
      <c r="I408" s="684" t="str">
        <f t="shared" si="48"/>
        <v/>
      </c>
      <c r="J408" s="685">
        <f t="shared" si="49"/>
        <v>0</v>
      </c>
      <c r="K408" s="1258"/>
      <c r="L408" s="1251"/>
      <c r="M408" s="1257"/>
      <c r="N408" s="719" t="str">
        <f t="shared" si="52"/>
        <v/>
      </c>
      <c r="O408" s="720" t="str">
        <f>IF('Set up ~ Config'!$G$32=6,IF(OR($N408=7,$N408=8,$N408=9),1,IF(OR($N408=10,$N408=11,$N408=12),2,IF(OR($N408=1,$N408=2,$N408=3),3,IF(OR($N408=4,$N408=5,$N408=6),4,"")))),IF(OR($N408=9,$N408=10,$N408=11),1,IF(OR($N408=12,$N408=1,$N408=2),2,IF(OR($N408=3,$N408=4,$N408=5),3,IF(OR($N408=6,$N408=7,$N408=8),4,"")))))</f>
        <v/>
      </c>
      <c r="P408" s="99"/>
      <c r="Q408" s="62"/>
      <c r="R408" s="62"/>
      <c r="S408" s="51"/>
      <c r="T408" s="51"/>
      <c r="U408" s="51"/>
      <c r="V408" s="51"/>
      <c r="W408" s="51"/>
      <c r="X408" s="51"/>
      <c r="Y408" s="51"/>
      <c r="Z408" s="51"/>
      <c r="AA408" s="51"/>
      <c r="AB408" s="51"/>
      <c r="AC408" s="51"/>
      <c r="AD408" s="51"/>
      <c r="AE408" s="51"/>
      <c r="AF408" s="51"/>
      <c r="AG408" s="51"/>
      <c r="AH408" s="94"/>
      <c r="AI408" s="94"/>
      <c r="AJ408" s="94"/>
      <c r="AK408" s="94"/>
      <c r="AL408" s="94"/>
      <c r="AM408" s="94"/>
      <c r="AN408" s="94"/>
      <c r="AO408" s="95"/>
      <c r="AP408" s="686">
        <f t="shared" si="53"/>
        <v>0</v>
      </c>
      <c r="AQ408" s="42"/>
      <c r="AR408" s="42"/>
      <c r="AS408" s="42"/>
      <c r="AT408" s="43"/>
      <c r="AU408" s="687">
        <f t="shared" si="54"/>
        <v>0</v>
      </c>
      <c r="AV408" s="42"/>
      <c r="AW408" s="42"/>
      <c r="AX408" s="42"/>
      <c r="AY408" s="43"/>
      <c r="AZ408" s="486"/>
      <c r="BA408" s="51"/>
      <c r="BB408" s="51"/>
      <c r="BC408" s="51"/>
      <c r="BD408" s="51"/>
      <c r="BE408" s="51"/>
      <c r="BF408" s="51"/>
      <c r="BG408" s="51"/>
      <c r="BH408" s="94"/>
      <c r="BI408" s="94"/>
      <c r="BJ408" s="94"/>
      <c r="BK408" s="94"/>
      <c r="BL408" s="94"/>
      <c r="BM408" s="483"/>
      <c r="BN408" s="94"/>
      <c r="BO408" s="94"/>
      <c r="BP408" s="94"/>
      <c r="BQ408" s="94"/>
      <c r="BR408" s="94"/>
      <c r="BS408" s="94"/>
      <c r="BT408" s="94"/>
      <c r="BU408" s="94"/>
      <c r="BV408" s="94"/>
      <c r="BW408" s="688">
        <f t="shared" si="50"/>
        <v>0</v>
      </c>
      <c r="BX408" s="51"/>
      <c r="BY408" s="51"/>
      <c r="BZ408" s="51"/>
      <c r="CA408" s="51"/>
      <c r="CB408" s="51"/>
      <c r="CC408" s="51"/>
      <c r="CD408" s="97"/>
      <c r="CE408" s="479"/>
      <c r="CF408" s="51"/>
      <c r="CG408" s="51"/>
      <c r="CH408" s="62"/>
      <c r="CI408" s="62"/>
      <c r="CJ408" s="51"/>
      <c r="CK408" s="51"/>
      <c r="CL408" s="95"/>
      <c r="CM408" s="93"/>
      <c r="CN408" s="51"/>
      <c r="CO408" s="51"/>
      <c r="CP408" s="51"/>
      <c r="CQ408" s="51"/>
      <c r="CR408" s="51"/>
      <c r="CS408" s="51"/>
      <c r="CT408" s="51"/>
      <c r="CU408" s="95"/>
      <c r="CV408" s="93"/>
      <c r="CW408" s="51"/>
      <c r="CX408" s="51"/>
      <c r="CY408" s="51"/>
      <c r="CZ408" s="51"/>
      <c r="DA408" s="51"/>
      <c r="DB408" s="51"/>
      <c r="DC408" s="51"/>
      <c r="DD408" s="95"/>
      <c r="DE408" s="93"/>
      <c r="DF408" s="51"/>
      <c r="DG408" s="51"/>
      <c r="DH408" s="51"/>
      <c r="DI408" s="51"/>
      <c r="DJ408" s="51"/>
      <c r="DK408" s="51"/>
      <c r="DL408" s="95"/>
      <c r="DM408" s="478"/>
      <c r="DN408" s="682">
        <f t="shared" si="55"/>
        <v>0</v>
      </c>
      <c r="DO408" s="683"/>
    </row>
    <row r="409" spans="1:119" ht="25.5" customHeight="1" thickTop="1" thickBot="1" x14ac:dyDescent="0.2">
      <c r="A409" s="676">
        <f t="shared" si="51"/>
        <v>394</v>
      </c>
      <c r="B409" s="1054"/>
      <c r="C409" s="1055"/>
      <c r="D409" s="83"/>
      <c r="E409" s="954"/>
      <c r="F409" s="52"/>
      <c r="G409" s="103"/>
      <c r="H409" s="1058"/>
      <c r="I409" s="684" t="str">
        <f t="shared" si="48"/>
        <v/>
      </c>
      <c r="J409" s="685">
        <f t="shared" si="49"/>
        <v>0</v>
      </c>
      <c r="K409" s="1258"/>
      <c r="L409" s="1251"/>
      <c r="M409" s="1257"/>
      <c r="N409" s="719" t="str">
        <f t="shared" si="52"/>
        <v/>
      </c>
      <c r="O409" s="720" t="str">
        <f>IF('Set up ~ Config'!$G$32=6,IF(OR($N409=7,$N409=8,$N409=9),1,IF(OR($N409=10,$N409=11,$N409=12),2,IF(OR($N409=1,$N409=2,$N409=3),3,IF(OR($N409=4,$N409=5,$N409=6),4,"")))),IF(OR($N409=9,$N409=10,$N409=11),1,IF(OR($N409=12,$N409=1,$N409=2),2,IF(OR($N409=3,$N409=4,$N409=5),3,IF(OR($N409=6,$N409=7,$N409=8),4,"")))))</f>
        <v/>
      </c>
      <c r="P409" s="99"/>
      <c r="Q409" s="62"/>
      <c r="R409" s="62"/>
      <c r="S409" s="51"/>
      <c r="T409" s="51"/>
      <c r="U409" s="51"/>
      <c r="V409" s="51"/>
      <c r="W409" s="51"/>
      <c r="X409" s="51"/>
      <c r="Y409" s="51"/>
      <c r="Z409" s="51"/>
      <c r="AA409" s="51"/>
      <c r="AB409" s="51"/>
      <c r="AC409" s="51"/>
      <c r="AD409" s="51"/>
      <c r="AE409" s="51"/>
      <c r="AF409" s="51"/>
      <c r="AG409" s="51"/>
      <c r="AH409" s="94"/>
      <c r="AI409" s="94"/>
      <c r="AJ409" s="94"/>
      <c r="AK409" s="94"/>
      <c r="AL409" s="94"/>
      <c r="AM409" s="94"/>
      <c r="AN409" s="94"/>
      <c r="AO409" s="95"/>
      <c r="AP409" s="686">
        <f t="shared" si="53"/>
        <v>0</v>
      </c>
      <c r="AQ409" s="42"/>
      <c r="AR409" s="42"/>
      <c r="AS409" s="42"/>
      <c r="AT409" s="43"/>
      <c r="AU409" s="687">
        <f t="shared" si="54"/>
        <v>0</v>
      </c>
      <c r="AV409" s="42"/>
      <c r="AW409" s="42"/>
      <c r="AX409" s="42"/>
      <c r="AY409" s="43"/>
      <c r="AZ409" s="486"/>
      <c r="BA409" s="51"/>
      <c r="BB409" s="51"/>
      <c r="BC409" s="51"/>
      <c r="BD409" s="51"/>
      <c r="BE409" s="51"/>
      <c r="BF409" s="51"/>
      <c r="BG409" s="51"/>
      <c r="BH409" s="94"/>
      <c r="BI409" s="94"/>
      <c r="BJ409" s="94"/>
      <c r="BK409" s="94"/>
      <c r="BL409" s="94"/>
      <c r="BM409" s="483"/>
      <c r="BN409" s="94"/>
      <c r="BO409" s="94"/>
      <c r="BP409" s="94"/>
      <c r="BQ409" s="94"/>
      <c r="BR409" s="94"/>
      <c r="BS409" s="94"/>
      <c r="BT409" s="94"/>
      <c r="BU409" s="94"/>
      <c r="BV409" s="94"/>
      <c r="BW409" s="688">
        <f t="shared" si="50"/>
        <v>0</v>
      </c>
      <c r="BX409" s="51"/>
      <c r="BY409" s="51"/>
      <c r="BZ409" s="51"/>
      <c r="CA409" s="51"/>
      <c r="CB409" s="51"/>
      <c r="CC409" s="51"/>
      <c r="CD409" s="97"/>
      <c r="CE409" s="479"/>
      <c r="CF409" s="51"/>
      <c r="CG409" s="51"/>
      <c r="CH409" s="62"/>
      <c r="CI409" s="62"/>
      <c r="CJ409" s="51"/>
      <c r="CK409" s="51"/>
      <c r="CL409" s="95"/>
      <c r="CM409" s="93"/>
      <c r="CN409" s="51"/>
      <c r="CO409" s="51"/>
      <c r="CP409" s="51"/>
      <c r="CQ409" s="51"/>
      <c r="CR409" s="51"/>
      <c r="CS409" s="51"/>
      <c r="CT409" s="51"/>
      <c r="CU409" s="95"/>
      <c r="CV409" s="93"/>
      <c r="CW409" s="51"/>
      <c r="CX409" s="51"/>
      <c r="CY409" s="51"/>
      <c r="CZ409" s="51"/>
      <c r="DA409" s="51"/>
      <c r="DB409" s="51"/>
      <c r="DC409" s="51"/>
      <c r="DD409" s="95"/>
      <c r="DE409" s="93"/>
      <c r="DF409" s="51"/>
      <c r="DG409" s="51"/>
      <c r="DH409" s="51"/>
      <c r="DI409" s="51"/>
      <c r="DJ409" s="51"/>
      <c r="DK409" s="51"/>
      <c r="DL409" s="95"/>
      <c r="DM409" s="478"/>
      <c r="DN409" s="682">
        <f t="shared" si="55"/>
        <v>0</v>
      </c>
      <c r="DO409" s="683"/>
    </row>
    <row r="410" spans="1:119" ht="25.5" customHeight="1" thickTop="1" thickBot="1" x14ac:dyDescent="0.2">
      <c r="A410" s="676">
        <f t="shared" si="51"/>
        <v>395</v>
      </c>
      <c r="B410" s="1054"/>
      <c r="C410" s="1055"/>
      <c r="D410" s="83"/>
      <c r="E410" s="954"/>
      <c r="F410" s="52"/>
      <c r="G410" s="103"/>
      <c r="H410" s="1058"/>
      <c r="I410" s="684" t="str">
        <f t="shared" si="48"/>
        <v/>
      </c>
      <c r="J410" s="685">
        <f t="shared" si="49"/>
        <v>0</v>
      </c>
      <c r="K410" s="1258"/>
      <c r="L410" s="1251"/>
      <c r="M410" s="1257"/>
      <c r="N410" s="719" t="str">
        <f t="shared" si="52"/>
        <v/>
      </c>
      <c r="O410" s="720" t="str">
        <f>IF('Set up ~ Config'!$G$32=6,IF(OR($N410=7,$N410=8,$N410=9),1,IF(OR($N410=10,$N410=11,$N410=12),2,IF(OR($N410=1,$N410=2,$N410=3),3,IF(OR($N410=4,$N410=5,$N410=6),4,"")))),IF(OR($N410=9,$N410=10,$N410=11),1,IF(OR($N410=12,$N410=1,$N410=2),2,IF(OR($N410=3,$N410=4,$N410=5),3,IF(OR($N410=6,$N410=7,$N410=8),4,"")))))</f>
        <v/>
      </c>
      <c r="P410" s="99"/>
      <c r="Q410" s="62"/>
      <c r="R410" s="62"/>
      <c r="S410" s="51"/>
      <c r="T410" s="51"/>
      <c r="U410" s="51"/>
      <c r="V410" s="51"/>
      <c r="W410" s="51"/>
      <c r="X410" s="51"/>
      <c r="Y410" s="51"/>
      <c r="Z410" s="51"/>
      <c r="AA410" s="51"/>
      <c r="AB410" s="51"/>
      <c r="AC410" s="51"/>
      <c r="AD410" s="51"/>
      <c r="AE410" s="51"/>
      <c r="AF410" s="51"/>
      <c r="AG410" s="51"/>
      <c r="AH410" s="94"/>
      <c r="AI410" s="94"/>
      <c r="AJ410" s="94"/>
      <c r="AK410" s="94"/>
      <c r="AL410" s="94"/>
      <c r="AM410" s="94"/>
      <c r="AN410" s="94"/>
      <c r="AO410" s="95"/>
      <c r="AP410" s="686">
        <f t="shared" si="53"/>
        <v>0</v>
      </c>
      <c r="AQ410" s="42"/>
      <c r="AR410" s="42"/>
      <c r="AS410" s="42"/>
      <c r="AT410" s="43"/>
      <c r="AU410" s="687">
        <f t="shared" si="54"/>
        <v>0</v>
      </c>
      <c r="AV410" s="42"/>
      <c r="AW410" s="42"/>
      <c r="AX410" s="42"/>
      <c r="AY410" s="43"/>
      <c r="AZ410" s="486"/>
      <c r="BA410" s="51"/>
      <c r="BB410" s="51"/>
      <c r="BC410" s="51"/>
      <c r="BD410" s="51"/>
      <c r="BE410" s="51"/>
      <c r="BF410" s="51"/>
      <c r="BG410" s="51"/>
      <c r="BH410" s="94"/>
      <c r="BI410" s="94"/>
      <c r="BJ410" s="94"/>
      <c r="BK410" s="94"/>
      <c r="BL410" s="94"/>
      <c r="BM410" s="483"/>
      <c r="BN410" s="94"/>
      <c r="BO410" s="94"/>
      <c r="BP410" s="94"/>
      <c r="BQ410" s="94"/>
      <c r="BR410" s="94"/>
      <c r="BS410" s="94"/>
      <c r="BT410" s="94"/>
      <c r="BU410" s="94"/>
      <c r="BV410" s="94"/>
      <c r="BW410" s="688">
        <f t="shared" si="50"/>
        <v>0</v>
      </c>
      <c r="BX410" s="51"/>
      <c r="BY410" s="51"/>
      <c r="BZ410" s="51"/>
      <c r="CA410" s="51"/>
      <c r="CB410" s="51"/>
      <c r="CC410" s="51"/>
      <c r="CD410" s="97"/>
      <c r="CE410" s="479"/>
      <c r="CF410" s="51"/>
      <c r="CG410" s="51"/>
      <c r="CH410" s="62"/>
      <c r="CI410" s="62"/>
      <c r="CJ410" s="51"/>
      <c r="CK410" s="51"/>
      <c r="CL410" s="95"/>
      <c r="CM410" s="93"/>
      <c r="CN410" s="51"/>
      <c r="CO410" s="51"/>
      <c r="CP410" s="51"/>
      <c r="CQ410" s="51"/>
      <c r="CR410" s="51"/>
      <c r="CS410" s="51"/>
      <c r="CT410" s="51"/>
      <c r="CU410" s="95"/>
      <c r="CV410" s="93"/>
      <c r="CW410" s="51"/>
      <c r="CX410" s="51"/>
      <c r="CY410" s="51"/>
      <c r="CZ410" s="51"/>
      <c r="DA410" s="51"/>
      <c r="DB410" s="51"/>
      <c r="DC410" s="51"/>
      <c r="DD410" s="95"/>
      <c r="DE410" s="93"/>
      <c r="DF410" s="51"/>
      <c r="DG410" s="51"/>
      <c r="DH410" s="51"/>
      <c r="DI410" s="51"/>
      <c r="DJ410" s="51"/>
      <c r="DK410" s="51"/>
      <c r="DL410" s="95"/>
      <c r="DM410" s="478"/>
      <c r="DN410" s="682">
        <f t="shared" si="55"/>
        <v>0</v>
      </c>
      <c r="DO410" s="683"/>
    </row>
    <row r="411" spans="1:119" ht="25.5" customHeight="1" thickTop="1" thickBot="1" x14ac:dyDescent="0.2">
      <c r="A411" s="676">
        <f t="shared" si="51"/>
        <v>396</v>
      </c>
      <c r="B411" s="1054"/>
      <c r="C411" s="1055"/>
      <c r="D411" s="83"/>
      <c r="E411" s="954"/>
      <c r="F411" s="52"/>
      <c r="G411" s="103"/>
      <c r="H411" s="1058"/>
      <c r="I411" s="684" t="str">
        <f t="shared" si="48"/>
        <v/>
      </c>
      <c r="J411" s="685">
        <f t="shared" si="49"/>
        <v>0</v>
      </c>
      <c r="K411" s="1258"/>
      <c r="L411" s="1251"/>
      <c r="M411" s="1257"/>
      <c r="N411" s="719" t="str">
        <f t="shared" si="52"/>
        <v/>
      </c>
      <c r="O411" s="720" t="str">
        <f>IF('Set up ~ Config'!$G$32=6,IF(OR($N411=7,$N411=8,$N411=9),1,IF(OR($N411=10,$N411=11,$N411=12),2,IF(OR($N411=1,$N411=2,$N411=3),3,IF(OR($N411=4,$N411=5,$N411=6),4,"")))),IF(OR($N411=9,$N411=10,$N411=11),1,IF(OR($N411=12,$N411=1,$N411=2),2,IF(OR($N411=3,$N411=4,$N411=5),3,IF(OR($N411=6,$N411=7,$N411=8),4,"")))))</f>
        <v/>
      </c>
      <c r="P411" s="99"/>
      <c r="Q411" s="62"/>
      <c r="R411" s="62"/>
      <c r="S411" s="51"/>
      <c r="T411" s="51"/>
      <c r="U411" s="51"/>
      <c r="V411" s="51"/>
      <c r="W411" s="51"/>
      <c r="X411" s="51"/>
      <c r="Y411" s="51"/>
      <c r="Z411" s="51"/>
      <c r="AA411" s="51"/>
      <c r="AB411" s="51"/>
      <c r="AC411" s="51"/>
      <c r="AD411" s="51"/>
      <c r="AE411" s="51"/>
      <c r="AF411" s="51"/>
      <c r="AG411" s="51"/>
      <c r="AH411" s="94"/>
      <c r="AI411" s="94"/>
      <c r="AJ411" s="94"/>
      <c r="AK411" s="94"/>
      <c r="AL411" s="94"/>
      <c r="AM411" s="94"/>
      <c r="AN411" s="94"/>
      <c r="AO411" s="95"/>
      <c r="AP411" s="686">
        <f t="shared" si="53"/>
        <v>0</v>
      </c>
      <c r="AQ411" s="42"/>
      <c r="AR411" s="42"/>
      <c r="AS411" s="42"/>
      <c r="AT411" s="43"/>
      <c r="AU411" s="687">
        <f t="shared" si="54"/>
        <v>0</v>
      </c>
      <c r="AV411" s="42"/>
      <c r="AW411" s="42"/>
      <c r="AX411" s="42"/>
      <c r="AY411" s="43"/>
      <c r="AZ411" s="486"/>
      <c r="BA411" s="51"/>
      <c r="BB411" s="51"/>
      <c r="BC411" s="51"/>
      <c r="BD411" s="51"/>
      <c r="BE411" s="51"/>
      <c r="BF411" s="51"/>
      <c r="BG411" s="51"/>
      <c r="BH411" s="94"/>
      <c r="BI411" s="94"/>
      <c r="BJ411" s="94"/>
      <c r="BK411" s="94"/>
      <c r="BL411" s="94"/>
      <c r="BM411" s="483"/>
      <c r="BN411" s="94"/>
      <c r="BO411" s="94"/>
      <c r="BP411" s="94"/>
      <c r="BQ411" s="94"/>
      <c r="BR411" s="94"/>
      <c r="BS411" s="94"/>
      <c r="BT411" s="94"/>
      <c r="BU411" s="94"/>
      <c r="BV411" s="94"/>
      <c r="BW411" s="688">
        <f t="shared" si="50"/>
        <v>0</v>
      </c>
      <c r="BX411" s="51"/>
      <c r="BY411" s="51"/>
      <c r="BZ411" s="51"/>
      <c r="CA411" s="51"/>
      <c r="CB411" s="51"/>
      <c r="CC411" s="51"/>
      <c r="CD411" s="97"/>
      <c r="CE411" s="479"/>
      <c r="CF411" s="51"/>
      <c r="CG411" s="51"/>
      <c r="CH411" s="62"/>
      <c r="CI411" s="62"/>
      <c r="CJ411" s="51"/>
      <c r="CK411" s="51"/>
      <c r="CL411" s="95"/>
      <c r="CM411" s="93"/>
      <c r="CN411" s="51"/>
      <c r="CO411" s="51"/>
      <c r="CP411" s="51"/>
      <c r="CQ411" s="51"/>
      <c r="CR411" s="51"/>
      <c r="CS411" s="51"/>
      <c r="CT411" s="51"/>
      <c r="CU411" s="95"/>
      <c r="CV411" s="93"/>
      <c r="CW411" s="51"/>
      <c r="CX411" s="51"/>
      <c r="CY411" s="51"/>
      <c r="CZ411" s="51"/>
      <c r="DA411" s="51"/>
      <c r="DB411" s="51"/>
      <c r="DC411" s="51"/>
      <c r="DD411" s="95"/>
      <c r="DE411" s="93"/>
      <c r="DF411" s="51"/>
      <c r="DG411" s="51"/>
      <c r="DH411" s="51"/>
      <c r="DI411" s="51"/>
      <c r="DJ411" s="51"/>
      <c r="DK411" s="51"/>
      <c r="DL411" s="95"/>
      <c r="DM411" s="478"/>
      <c r="DN411" s="682">
        <f t="shared" si="55"/>
        <v>0</v>
      </c>
      <c r="DO411" s="683"/>
    </row>
    <row r="412" spans="1:119" ht="25.5" customHeight="1" thickTop="1" thickBot="1" x14ac:dyDescent="0.2">
      <c r="A412" s="676">
        <f t="shared" si="51"/>
        <v>397</v>
      </c>
      <c r="B412" s="1054"/>
      <c r="C412" s="1055"/>
      <c r="D412" s="83"/>
      <c r="E412" s="954"/>
      <c r="F412" s="52"/>
      <c r="G412" s="103"/>
      <c r="H412" s="1058"/>
      <c r="I412" s="684" t="str">
        <f t="shared" si="48"/>
        <v/>
      </c>
      <c r="J412" s="685">
        <f t="shared" si="49"/>
        <v>0</v>
      </c>
      <c r="K412" s="1258"/>
      <c r="L412" s="1251"/>
      <c r="M412" s="1257"/>
      <c r="N412" s="719" t="str">
        <f t="shared" si="52"/>
        <v/>
      </c>
      <c r="O412" s="720" t="str">
        <f>IF('Set up ~ Config'!$G$32=6,IF(OR($N412=7,$N412=8,$N412=9),1,IF(OR($N412=10,$N412=11,$N412=12),2,IF(OR($N412=1,$N412=2,$N412=3),3,IF(OR($N412=4,$N412=5,$N412=6),4,"")))),IF(OR($N412=9,$N412=10,$N412=11),1,IF(OR($N412=12,$N412=1,$N412=2),2,IF(OR($N412=3,$N412=4,$N412=5),3,IF(OR($N412=6,$N412=7,$N412=8),4,"")))))</f>
        <v/>
      </c>
      <c r="P412" s="99"/>
      <c r="Q412" s="62"/>
      <c r="R412" s="62"/>
      <c r="S412" s="51"/>
      <c r="T412" s="51"/>
      <c r="U412" s="51"/>
      <c r="V412" s="51"/>
      <c r="W412" s="51"/>
      <c r="X412" s="51"/>
      <c r="Y412" s="51"/>
      <c r="Z412" s="51"/>
      <c r="AA412" s="51"/>
      <c r="AB412" s="51"/>
      <c r="AC412" s="51"/>
      <c r="AD412" s="51"/>
      <c r="AE412" s="51"/>
      <c r="AF412" s="51"/>
      <c r="AG412" s="51"/>
      <c r="AH412" s="94"/>
      <c r="AI412" s="94"/>
      <c r="AJ412" s="94"/>
      <c r="AK412" s="94"/>
      <c r="AL412" s="94"/>
      <c r="AM412" s="94"/>
      <c r="AN412" s="94"/>
      <c r="AO412" s="95"/>
      <c r="AP412" s="686">
        <f t="shared" si="53"/>
        <v>0</v>
      </c>
      <c r="AQ412" s="42"/>
      <c r="AR412" s="42"/>
      <c r="AS412" s="42"/>
      <c r="AT412" s="43"/>
      <c r="AU412" s="687">
        <f t="shared" si="54"/>
        <v>0</v>
      </c>
      <c r="AV412" s="42"/>
      <c r="AW412" s="42"/>
      <c r="AX412" s="42"/>
      <c r="AY412" s="43"/>
      <c r="AZ412" s="486"/>
      <c r="BA412" s="51"/>
      <c r="BB412" s="51"/>
      <c r="BC412" s="51"/>
      <c r="BD412" s="51"/>
      <c r="BE412" s="51"/>
      <c r="BF412" s="51"/>
      <c r="BG412" s="51"/>
      <c r="BH412" s="94"/>
      <c r="BI412" s="94"/>
      <c r="BJ412" s="94"/>
      <c r="BK412" s="94"/>
      <c r="BL412" s="94"/>
      <c r="BM412" s="483"/>
      <c r="BN412" s="94"/>
      <c r="BO412" s="94"/>
      <c r="BP412" s="94"/>
      <c r="BQ412" s="94"/>
      <c r="BR412" s="94"/>
      <c r="BS412" s="94"/>
      <c r="BT412" s="94"/>
      <c r="BU412" s="94"/>
      <c r="BV412" s="94"/>
      <c r="BW412" s="688">
        <f t="shared" si="50"/>
        <v>0</v>
      </c>
      <c r="BX412" s="51"/>
      <c r="BY412" s="51"/>
      <c r="BZ412" s="51"/>
      <c r="CA412" s="51"/>
      <c r="CB412" s="51"/>
      <c r="CC412" s="51"/>
      <c r="CD412" s="97"/>
      <c r="CE412" s="479"/>
      <c r="CF412" s="51"/>
      <c r="CG412" s="51"/>
      <c r="CH412" s="62"/>
      <c r="CI412" s="62"/>
      <c r="CJ412" s="51"/>
      <c r="CK412" s="51"/>
      <c r="CL412" s="95"/>
      <c r="CM412" s="93"/>
      <c r="CN412" s="51"/>
      <c r="CO412" s="51"/>
      <c r="CP412" s="51"/>
      <c r="CQ412" s="51"/>
      <c r="CR412" s="51"/>
      <c r="CS412" s="51"/>
      <c r="CT412" s="51"/>
      <c r="CU412" s="95"/>
      <c r="CV412" s="93"/>
      <c r="CW412" s="51"/>
      <c r="CX412" s="51"/>
      <c r="CY412" s="51"/>
      <c r="CZ412" s="51"/>
      <c r="DA412" s="51"/>
      <c r="DB412" s="51"/>
      <c r="DC412" s="51"/>
      <c r="DD412" s="95"/>
      <c r="DE412" s="93"/>
      <c r="DF412" s="51"/>
      <c r="DG412" s="51"/>
      <c r="DH412" s="51"/>
      <c r="DI412" s="51"/>
      <c r="DJ412" s="51"/>
      <c r="DK412" s="51"/>
      <c r="DL412" s="95"/>
      <c r="DM412" s="478"/>
      <c r="DN412" s="682">
        <f t="shared" si="55"/>
        <v>0</v>
      </c>
      <c r="DO412" s="683"/>
    </row>
    <row r="413" spans="1:119" ht="25.5" customHeight="1" thickTop="1" thickBot="1" x14ac:dyDescent="0.2">
      <c r="A413" s="676">
        <f t="shared" si="51"/>
        <v>398</v>
      </c>
      <c r="B413" s="1054"/>
      <c r="C413" s="1055"/>
      <c r="D413" s="83"/>
      <c r="E413" s="954"/>
      <c r="F413" s="52"/>
      <c r="G413" s="103"/>
      <c r="H413" s="1058"/>
      <c r="I413" s="684" t="str">
        <f t="shared" si="48"/>
        <v/>
      </c>
      <c r="J413" s="685">
        <f t="shared" si="49"/>
        <v>0</v>
      </c>
      <c r="K413" s="1258"/>
      <c r="L413" s="1251"/>
      <c r="M413" s="1257"/>
      <c r="N413" s="719" t="str">
        <f t="shared" si="52"/>
        <v/>
      </c>
      <c r="O413" s="720" t="str">
        <f>IF('Set up ~ Config'!$G$32=6,IF(OR($N413=7,$N413=8,$N413=9),1,IF(OR($N413=10,$N413=11,$N413=12),2,IF(OR($N413=1,$N413=2,$N413=3),3,IF(OR($N413=4,$N413=5,$N413=6),4,"")))),IF(OR($N413=9,$N413=10,$N413=11),1,IF(OR($N413=12,$N413=1,$N413=2),2,IF(OR($N413=3,$N413=4,$N413=5),3,IF(OR($N413=6,$N413=7,$N413=8),4,"")))))</f>
        <v/>
      </c>
      <c r="P413" s="99"/>
      <c r="Q413" s="62"/>
      <c r="R413" s="62"/>
      <c r="S413" s="51"/>
      <c r="T413" s="51"/>
      <c r="U413" s="51"/>
      <c r="V413" s="51"/>
      <c r="W413" s="51"/>
      <c r="X413" s="51"/>
      <c r="Y413" s="51"/>
      <c r="Z413" s="51"/>
      <c r="AA413" s="51"/>
      <c r="AB413" s="51"/>
      <c r="AC413" s="51"/>
      <c r="AD413" s="51"/>
      <c r="AE413" s="51"/>
      <c r="AF413" s="51"/>
      <c r="AG413" s="51"/>
      <c r="AH413" s="94"/>
      <c r="AI413" s="94"/>
      <c r="AJ413" s="94"/>
      <c r="AK413" s="94"/>
      <c r="AL413" s="94"/>
      <c r="AM413" s="94"/>
      <c r="AN413" s="94"/>
      <c r="AO413" s="95"/>
      <c r="AP413" s="686">
        <f t="shared" si="53"/>
        <v>0</v>
      </c>
      <c r="AQ413" s="42"/>
      <c r="AR413" s="42"/>
      <c r="AS413" s="42"/>
      <c r="AT413" s="43"/>
      <c r="AU413" s="687">
        <f t="shared" si="54"/>
        <v>0</v>
      </c>
      <c r="AV413" s="42"/>
      <c r="AW413" s="42"/>
      <c r="AX413" s="42"/>
      <c r="AY413" s="43"/>
      <c r="AZ413" s="486"/>
      <c r="BA413" s="51"/>
      <c r="BB413" s="51"/>
      <c r="BC413" s="51"/>
      <c r="BD413" s="51"/>
      <c r="BE413" s="51"/>
      <c r="BF413" s="51"/>
      <c r="BG413" s="51"/>
      <c r="BH413" s="94"/>
      <c r="BI413" s="94"/>
      <c r="BJ413" s="94"/>
      <c r="BK413" s="94"/>
      <c r="BL413" s="94"/>
      <c r="BM413" s="483"/>
      <c r="BN413" s="94"/>
      <c r="BO413" s="94"/>
      <c r="BP413" s="94"/>
      <c r="BQ413" s="94"/>
      <c r="BR413" s="94"/>
      <c r="BS413" s="94"/>
      <c r="BT413" s="94"/>
      <c r="BU413" s="94"/>
      <c r="BV413" s="94"/>
      <c r="BW413" s="688">
        <f t="shared" si="50"/>
        <v>0</v>
      </c>
      <c r="BX413" s="51"/>
      <c r="BY413" s="51"/>
      <c r="BZ413" s="51"/>
      <c r="CA413" s="51"/>
      <c r="CB413" s="51"/>
      <c r="CC413" s="51"/>
      <c r="CD413" s="97"/>
      <c r="CE413" s="479"/>
      <c r="CF413" s="51"/>
      <c r="CG413" s="51"/>
      <c r="CH413" s="62"/>
      <c r="CI413" s="62"/>
      <c r="CJ413" s="51"/>
      <c r="CK413" s="51"/>
      <c r="CL413" s="95"/>
      <c r="CM413" s="93"/>
      <c r="CN413" s="51"/>
      <c r="CO413" s="51"/>
      <c r="CP413" s="51"/>
      <c r="CQ413" s="51"/>
      <c r="CR413" s="51"/>
      <c r="CS413" s="51"/>
      <c r="CT413" s="51"/>
      <c r="CU413" s="95"/>
      <c r="CV413" s="93"/>
      <c r="CW413" s="51"/>
      <c r="CX413" s="51"/>
      <c r="CY413" s="51"/>
      <c r="CZ413" s="51"/>
      <c r="DA413" s="51"/>
      <c r="DB413" s="51"/>
      <c r="DC413" s="51"/>
      <c r="DD413" s="95"/>
      <c r="DE413" s="93"/>
      <c r="DF413" s="51"/>
      <c r="DG413" s="51"/>
      <c r="DH413" s="51"/>
      <c r="DI413" s="51"/>
      <c r="DJ413" s="51"/>
      <c r="DK413" s="51"/>
      <c r="DL413" s="95"/>
      <c r="DM413" s="478"/>
      <c r="DN413" s="682">
        <f t="shared" si="55"/>
        <v>0</v>
      </c>
      <c r="DO413" s="683"/>
    </row>
    <row r="414" spans="1:119" ht="25.5" customHeight="1" thickTop="1" thickBot="1" x14ac:dyDescent="0.2">
      <c r="A414" s="676">
        <f t="shared" si="51"/>
        <v>399</v>
      </c>
      <c r="B414" s="1054"/>
      <c r="C414" s="1055"/>
      <c r="D414" s="83"/>
      <c r="E414" s="954"/>
      <c r="F414" s="52"/>
      <c r="G414" s="103"/>
      <c r="H414" s="1058"/>
      <c r="I414" s="684" t="str">
        <f t="shared" si="48"/>
        <v/>
      </c>
      <c r="J414" s="685">
        <f t="shared" si="49"/>
        <v>0</v>
      </c>
      <c r="K414" s="1258"/>
      <c r="L414" s="1251"/>
      <c r="M414" s="1257"/>
      <c r="N414" s="719" t="str">
        <f t="shared" si="52"/>
        <v/>
      </c>
      <c r="O414" s="720" t="str">
        <f>IF('Set up ~ Config'!$G$32=6,IF(OR($N414=7,$N414=8,$N414=9),1,IF(OR($N414=10,$N414=11,$N414=12),2,IF(OR($N414=1,$N414=2,$N414=3),3,IF(OR($N414=4,$N414=5,$N414=6),4,"")))),IF(OR($N414=9,$N414=10,$N414=11),1,IF(OR($N414=12,$N414=1,$N414=2),2,IF(OR($N414=3,$N414=4,$N414=5),3,IF(OR($N414=6,$N414=7,$N414=8),4,"")))))</f>
        <v/>
      </c>
      <c r="P414" s="99"/>
      <c r="Q414" s="62"/>
      <c r="R414" s="62"/>
      <c r="S414" s="51"/>
      <c r="T414" s="51"/>
      <c r="U414" s="51"/>
      <c r="V414" s="51"/>
      <c r="W414" s="51"/>
      <c r="X414" s="51"/>
      <c r="Y414" s="51"/>
      <c r="Z414" s="51"/>
      <c r="AA414" s="51"/>
      <c r="AB414" s="51"/>
      <c r="AC414" s="51"/>
      <c r="AD414" s="51"/>
      <c r="AE414" s="51"/>
      <c r="AF414" s="51"/>
      <c r="AG414" s="51"/>
      <c r="AH414" s="94"/>
      <c r="AI414" s="94"/>
      <c r="AJ414" s="94"/>
      <c r="AK414" s="94"/>
      <c r="AL414" s="94"/>
      <c r="AM414" s="94"/>
      <c r="AN414" s="94"/>
      <c r="AO414" s="95"/>
      <c r="AP414" s="686">
        <f t="shared" si="53"/>
        <v>0</v>
      </c>
      <c r="AQ414" s="42"/>
      <c r="AR414" s="42"/>
      <c r="AS414" s="42"/>
      <c r="AT414" s="43"/>
      <c r="AU414" s="687">
        <f t="shared" si="54"/>
        <v>0</v>
      </c>
      <c r="AV414" s="42"/>
      <c r="AW414" s="42"/>
      <c r="AX414" s="42"/>
      <c r="AY414" s="43"/>
      <c r="AZ414" s="486"/>
      <c r="BA414" s="51"/>
      <c r="BB414" s="51"/>
      <c r="BC414" s="51"/>
      <c r="BD414" s="51"/>
      <c r="BE414" s="51"/>
      <c r="BF414" s="51"/>
      <c r="BG414" s="51"/>
      <c r="BH414" s="94"/>
      <c r="BI414" s="94"/>
      <c r="BJ414" s="94"/>
      <c r="BK414" s="94"/>
      <c r="BL414" s="94"/>
      <c r="BM414" s="483"/>
      <c r="BN414" s="94"/>
      <c r="BO414" s="94"/>
      <c r="BP414" s="94"/>
      <c r="BQ414" s="94"/>
      <c r="BR414" s="94"/>
      <c r="BS414" s="94"/>
      <c r="BT414" s="94"/>
      <c r="BU414" s="94"/>
      <c r="BV414" s="94"/>
      <c r="BW414" s="688">
        <f t="shared" si="50"/>
        <v>0</v>
      </c>
      <c r="BX414" s="51"/>
      <c r="BY414" s="51"/>
      <c r="BZ414" s="51"/>
      <c r="CA414" s="51"/>
      <c r="CB414" s="51"/>
      <c r="CC414" s="51"/>
      <c r="CD414" s="97"/>
      <c r="CE414" s="479"/>
      <c r="CF414" s="51"/>
      <c r="CG414" s="51"/>
      <c r="CH414" s="62"/>
      <c r="CI414" s="62"/>
      <c r="CJ414" s="51"/>
      <c r="CK414" s="51"/>
      <c r="CL414" s="95"/>
      <c r="CM414" s="93"/>
      <c r="CN414" s="51"/>
      <c r="CO414" s="51"/>
      <c r="CP414" s="51"/>
      <c r="CQ414" s="51"/>
      <c r="CR414" s="51"/>
      <c r="CS414" s="51"/>
      <c r="CT414" s="51"/>
      <c r="CU414" s="95"/>
      <c r="CV414" s="93"/>
      <c r="CW414" s="51"/>
      <c r="CX414" s="51"/>
      <c r="CY414" s="51"/>
      <c r="CZ414" s="51"/>
      <c r="DA414" s="51"/>
      <c r="DB414" s="51"/>
      <c r="DC414" s="51"/>
      <c r="DD414" s="95"/>
      <c r="DE414" s="93"/>
      <c r="DF414" s="51"/>
      <c r="DG414" s="51"/>
      <c r="DH414" s="51"/>
      <c r="DI414" s="51"/>
      <c r="DJ414" s="51"/>
      <c r="DK414" s="51"/>
      <c r="DL414" s="95"/>
      <c r="DM414" s="478"/>
      <c r="DN414" s="682">
        <f t="shared" si="55"/>
        <v>0</v>
      </c>
      <c r="DO414" s="683"/>
    </row>
    <row r="415" spans="1:119" ht="25.5" customHeight="1" thickTop="1" thickBot="1" x14ac:dyDescent="0.2">
      <c r="A415" s="676">
        <f t="shared" si="51"/>
        <v>400</v>
      </c>
      <c r="B415" s="1054"/>
      <c r="C415" s="1055"/>
      <c r="D415" s="83"/>
      <c r="E415" s="954"/>
      <c r="F415" s="52"/>
      <c r="G415" s="103"/>
      <c r="H415" s="1058"/>
      <c r="I415" s="684" t="str">
        <f t="shared" si="48"/>
        <v/>
      </c>
      <c r="J415" s="685">
        <f t="shared" si="49"/>
        <v>0</v>
      </c>
      <c r="K415" s="1258"/>
      <c r="L415" s="1251"/>
      <c r="M415" s="1257"/>
      <c r="N415" s="719" t="str">
        <f t="shared" si="52"/>
        <v/>
      </c>
      <c r="O415" s="720" t="str">
        <f>IF('Set up ~ Config'!$G$32=6,IF(OR($N415=7,$N415=8,$N415=9),1,IF(OR($N415=10,$N415=11,$N415=12),2,IF(OR($N415=1,$N415=2,$N415=3),3,IF(OR($N415=4,$N415=5,$N415=6),4,"")))),IF(OR($N415=9,$N415=10,$N415=11),1,IF(OR($N415=12,$N415=1,$N415=2),2,IF(OR($N415=3,$N415=4,$N415=5),3,IF(OR($N415=6,$N415=7,$N415=8),4,"")))))</f>
        <v/>
      </c>
      <c r="P415" s="99"/>
      <c r="Q415" s="62"/>
      <c r="R415" s="62"/>
      <c r="S415" s="51"/>
      <c r="T415" s="51"/>
      <c r="U415" s="51"/>
      <c r="V415" s="51"/>
      <c r="W415" s="51"/>
      <c r="X415" s="51"/>
      <c r="Y415" s="51"/>
      <c r="Z415" s="51"/>
      <c r="AA415" s="51"/>
      <c r="AB415" s="51"/>
      <c r="AC415" s="51"/>
      <c r="AD415" s="51"/>
      <c r="AE415" s="51"/>
      <c r="AF415" s="51"/>
      <c r="AG415" s="51"/>
      <c r="AH415" s="94"/>
      <c r="AI415" s="94"/>
      <c r="AJ415" s="94"/>
      <c r="AK415" s="94"/>
      <c r="AL415" s="94"/>
      <c r="AM415" s="94"/>
      <c r="AN415" s="94"/>
      <c r="AO415" s="95"/>
      <c r="AP415" s="686">
        <f t="shared" si="53"/>
        <v>0</v>
      </c>
      <c r="AQ415" s="42"/>
      <c r="AR415" s="42"/>
      <c r="AS415" s="42"/>
      <c r="AT415" s="43"/>
      <c r="AU415" s="687">
        <f t="shared" si="54"/>
        <v>0</v>
      </c>
      <c r="AV415" s="42"/>
      <c r="AW415" s="42"/>
      <c r="AX415" s="42"/>
      <c r="AY415" s="43"/>
      <c r="AZ415" s="486"/>
      <c r="BA415" s="51"/>
      <c r="BB415" s="51"/>
      <c r="BC415" s="51"/>
      <c r="BD415" s="51"/>
      <c r="BE415" s="51"/>
      <c r="BF415" s="51"/>
      <c r="BG415" s="51"/>
      <c r="BH415" s="94"/>
      <c r="BI415" s="94"/>
      <c r="BJ415" s="94"/>
      <c r="BK415" s="94"/>
      <c r="BL415" s="94"/>
      <c r="BM415" s="483"/>
      <c r="BN415" s="94"/>
      <c r="BO415" s="94"/>
      <c r="BP415" s="94"/>
      <c r="BQ415" s="94"/>
      <c r="BR415" s="94"/>
      <c r="BS415" s="94"/>
      <c r="BT415" s="94"/>
      <c r="BU415" s="94"/>
      <c r="BV415" s="94"/>
      <c r="BW415" s="688">
        <f t="shared" si="50"/>
        <v>0</v>
      </c>
      <c r="BX415" s="51"/>
      <c r="BY415" s="51"/>
      <c r="BZ415" s="51"/>
      <c r="CA415" s="51"/>
      <c r="CB415" s="51"/>
      <c r="CC415" s="51"/>
      <c r="CD415" s="97"/>
      <c r="CE415" s="479"/>
      <c r="CF415" s="51"/>
      <c r="CG415" s="51"/>
      <c r="CH415" s="62"/>
      <c r="CI415" s="62"/>
      <c r="CJ415" s="51"/>
      <c r="CK415" s="51"/>
      <c r="CL415" s="95"/>
      <c r="CM415" s="93"/>
      <c r="CN415" s="51"/>
      <c r="CO415" s="51"/>
      <c r="CP415" s="51"/>
      <c r="CQ415" s="51"/>
      <c r="CR415" s="51"/>
      <c r="CS415" s="51"/>
      <c r="CT415" s="51"/>
      <c r="CU415" s="95"/>
      <c r="CV415" s="93"/>
      <c r="CW415" s="51"/>
      <c r="CX415" s="51"/>
      <c r="CY415" s="51"/>
      <c r="CZ415" s="51"/>
      <c r="DA415" s="51"/>
      <c r="DB415" s="51"/>
      <c r="DC415" s="51"/>
      <c r="DD415" s="95"/>
      <c r="DE415" s="93"/>
      <c r="DF415" s="51"/>
      <c r="DG415" s="51"/>
      <c r="DH415" s="51"/>
      <c r="DI415" s="51"/>
      <c r="DJ415" s="51"/>
      <c r="DK415" s="51"/>
      <c r="DL415" s="95"/>
      <c r="DM415" s="478"/>
      <c r="DN415" s="682">
        <f t="shared" si="55"/>
        <v>0</v>
      </c>
      <c r="DO415" s="683"/>
    </row>
    <row r="416" spans="1:119" ht="25.5" customHeight="1" thickTop="1" thickBot="1" x14ac:dyDescent="0.2">
      <c r="A416" s="676">
        <f t="shared" si="51"/>
        <v>401</v>
      </c>
      <c r="B416" s="1054"/>
      <c r="C416" s="1055"/>
      <c r="D416" s="83"/>
      <c r="E416" s="954"/>
      <c r="F416" s="52"/>
      <c r="G416" s="103"/>
      <c r="H416" s="1058"/>
      <c r="I416" s="684" t="str">
        <f t="shared" si="48"/>
        <v/>
      </c>
      <c r="J416" s="685">
        <f t="shared" si="49"/>
        <v>0</v>
      </c>
      <c r="K416" s="1258"/>
      <c r="L416" s="1251"/>
      <c r="M416" s="1257"/>
      <c r="N416" s="719" t="str">
        <f t="shared" si="52"/>
        <v/>
      </c>
      <c r="O416" s="720" t="str">
        <f>IF('Set up ~ Config'!$G$32=6,IF(OR($N416=7,$N416=8,$N416=9),1,IF(OR($N416=10,$N416=11,$N416=12),2,IF(OR($N416=1,$N416=2,$N416=3),3,IF(OR($N416=4,$N416=5,$N416=6),4,"")))),IF(OR($N416=9,$N416=10,$N416=11),1,IF(OR($N416=12,$N416=1,$N416=2),2,IF(OR($N416=3,$N416=4,$N416=5),3,IF(OR($N416=6,$N416=7,$N416=8),4,"")))))</f>
        <v/>
      </c>
      <c r="P416" s="99"/>
      <c r="Q416" s="62"/>
      <c r="R416" s="62"/>
      <c r="S416" s="51"/>
      <c r="T416" s="51"/>
      <c r="U416" s="51"/>
      <c r="V416" s="51"/>
      <c r="W416" s="51"/>
      <c r="X416" s="51"/>
      <c r="Y416" s="51"/>
      <c r="Z416" s="51"/>
      <c r="AA416" s="51"/>
      <c r="AB416" s="51"/>
      <c r="AC416" s="51"/>
      <c r="AD416" s="51"/>
      <c r="AE416" s="51"/>
      <c r="AF416" s="51"/>
      <c r="AG416" s="51"/>
      <c r="AH416" s="94"/>
      <c r="AI416" s="94"/>
      <c r="AJ416" s="94"/>
      <c r="AK416" s="94"/>
      <c r="AL416" s="94"/>
      <c r="AM416" s="94"/>
      <c r="AN416" s="94"/>
      <c r="AO416" s="95"/>
      <c r="AP416" s="686">
        <f t="shared" si="53"/>
        <v>0</v>
      </c>
      <c r="AQ416" s="42"/>
      <c r="AR416" s="42"/>
      <c r="AS416" s="42"/>
      <c r="AT416" s="43"/>
      <c r="AU416" s="687">
        <f t="shared" si="54"/>
        <v>0</v>
      </c>
      <c r="AV416" s="42"/>
      <c r="AW416" s="42"/>
      <c r="AX416" s="42"/>
      <c r="AY416" s="43"/>
      <c r="AZ416" s="486"/>
      <c r="BA416" s="51"/>
      <c r="BB416" s="51"/>
      <c r="BC416" s="51"/>
      <c r="BD416" s="51"/>
      <c r="BE416" s="51"/>
      <c r="BF416" s="51"/>
      <c r="BG416" s="51"/>
      <c r="BH416" s="94"/>
      <c r="BI416" s="94"/>
      <c r="BJ416" s="94"/>
      <c r="BK416" s="94"/>
      <c r="BL416" s="94"/>
      <c r="BM416" s="483"/>
      <c r="BN416" s="94"/>
      <c r="BO416" s="94"/>
      <c r="BP416" s="94"/>
      <c r="BQ416" s="94"/>
      <c r="BR416" s="94"/>
      <c r="BS416" s="94"/>
      <c r="BT416" s="94"/>
      <c r="BU416" s="94"/>
      <c r="BV416" s="94"/>
      <c r="BW416" s="688">
        <f t="shared" si="50"/>
        <v>0</v>
      </c>
      <c r="BX416" s="51"/>
      <c r="BY416" s="51"/>
      <c r="BZ416" s="51"/>
      <c r="CA416" s="51"/>
      <c r="CB416" s="51"/>
      <c r="CC416" s="51"/>
      <c r="CD416" s="97"/>
      <c r="CE416" s="479"/>
      <c r="CF416" s="51"/>
      <c r="CG416" s="51"/>
      <c r="CH416" s="62"/>
      <c r="CI416" s="62"/>
      <c r="CJ416" s="51"/>
      <c r="CK416" s="51"/>
      <c r="CL416" s="95"/>
      <c r="CM416" s="93"/>
      <c r="CN416" s="51"/>
      <c r="CO416" s="51"/>
      <c r="CP416" s="51"/>
      <c r="CQ416" s="51"/>
      <c r="CR416" s="51"/>
      <c r="CS416" s="51"/>
      <c r="CT416" s="51"/>
      <c r="CU416" s="95"/>
      <c r="CV416" s="93"/>
      <c r="CW416" s="51"/>
      <c r="CX416" s="51"/>
      <c r="CY416" s="51"/>
      <c r="CZ416" s="51"/>
      <c r="DA416" s="51"/>
      <c r="DB416" s="51"/>
      <c r="DC416" s="51"/>
      <c r="DD416" s="95"/>
      <c r="DE416" s="93"/>
      <c r="DF416" s="51"/>
      <c r="DG416" s="51"/>
      <c r="DH416" s="51"/>
      <c r="DI416" s="51"/>
      <c r="DJ416" s="51"/>
      <c r="DK416" s="51"/>
      <c r="DL416" s="95"/>
      <c r="DM416" s="478"/>
      <c r="DN416" s="682">
        <f t="shared" si="55"/>
        <v>0</v>
      </c>
      <c r="DO416" s="683"/>
    </row>
    <row r="417" spans="1:119" ht="25.5" customHeight="1" thickTop="1" thickBot="1" x14ac:dyDescent="0.2">
      <c r="A417" s="676">
        <f t="shared" si="51"/>
        <v>402</v>
      </c>
      <c r="B417" s="1054"/>
      <c r="C417" s="1055"/>
      <c r="D417" s="83"/>
      <c r="E417" s="954"/>
      <c r="F417" s="52"/>
      <c r="G417" s="103"/>
      <c r="H417" s="1058"/>
      <c r="I417" s="684" t="str">
        <f t="shared" si="48"/>
        <v/>
      </c>
      <c r="J417" s="685">
        <f t="shared" si="49"/>
        <v>0</v>
      </c>
      <c r="K417" s="1258"/>
      <c r="L417" s="1251"/>
      <c r="M417" s="1257"/>
      <c r="N417" s="719" t="str">
        <f t="shared" si="52"/>
        <v/>
      </c>
      <c r="O417" s="720" t="str">
        <f>IF('Set up ~ Config'!$G$32=6,IF(OR($N417=7,$N417=8,$N417=9),1,IF(OR($N417=10,$N417=11,$N417=12),2,IF(OR($N417=1,$N417=2,$N417=3),3,IF(OR($N417=4,$N417=5,$N417=6),4,"")))),IF(OR($N417=9,$N417=10,$N417=11),1,IF(OR($N417=12,$N417=1,$N417=2),2,IF(OR($N417=3,$N417=4,$N417=5),3,IF(OR($N417=6,$N417=7,$N417=8),4,"")))))</f>
        <v/>
      </c>
      <c r="P417" s="99"/>
      <c r="Q417" s="62"/>
      <c r="R417" s="62"/>
      <c r="S417" s="51"/>
      <c r="T417" s="51"/>
      <c r="U417" s="51"/>
      <c r="V417" s="51"/>
      <c r="W417" s="51"/>
      <c r="X417" s="51"/>
      <c r="Y417" s="51"/>
      <c r="Z417" s="51"/>
      <c r="AA417" s="51"/>
      <c r="AB417" s="51"/>
      <c r="AC417" s="51"/>
      <c r="AD417" s="51"/>
      <c r="AE417" s="51"/>
      <c r="AF417" s="51"/>
      <c r="AG417" s="51"/>
      <c r="AH417" s="94"/>
      <c r="AI417" s="94"/>
      <c r="AJ417" s="94"/>
      <c r="AK417" s="94"/>
      <c r="AL417" s="94"/>
      <c r="AM417" s="94"/>
      <c r="AN417" s="94"/>
      <c r="AO417" s="95"/>
      <c r="AP417" s="686">
        <f t="shared" si="53"/>
        <v>0</v>
      </c>
      <c r="AQ417" s="42"/>
      <c r="AR417" s="42"/>
      <c r="AS417" s="42"/>
      <c r="AT417" s="43"/>
      <c r="AU417" s="687">
        <f t="shared" si="54"/>
        <v>0</v>
      </c>
      <c r="AV417" s="42"/>
      <c r="AW417" s="42"/>
      <c r="AX417" s="42"/>
      <c r="AY417" s="43"/>
      <c r="AZ417" s="486"/>
      <c r="BA417" s="51"/>
      <c r="BB417" s="51"/>
      <c r="BC417" s="51"/>
      <c r="BD417" s="51"/>
      <c r="BE417" s="51"/>
      <c r="BF417" s="51"/>
      <c r="BG417" s="51"/>
      <c r="BH417" s="94"/>
      <c r="BI417" s="94"/>
      <c r="BJ417" s="94"/>
      <c r="BK417" s="94"/>
      <c r="BL417" s="94"/>
      <c r="BM417" s="483"/>
      <c r="BN417" s="94"/>
      <c r="BO417" s="94"/>
      <c r="BP417" s="94"/>
      <c r="BQ417" s="94"/>
      <c r="BR417" s="94"/>
      <c r="BS417" s="94"/>
      <c r="BT417" s="94"/>
      <c r="BU417" s="94"/>
      <c r="BV417" s="94"/>
      <c r="BW417" s="688">
        <f t="shared" si="50"/>
        <v>0</v>
      </c>
      <c r="BX417" s="51"/>
      <c r="BY417" s="51"/>
      <c r="BZ417" s="51"/>
      <c r="CA417" s="51"/>
      <c r="CB417" s="51"/>
      <c r="CC417" s="51"/>
      <c r="CD417" s="97"/>
      <c r="CE417" s="479"/>
      <c r="CF417" s="51"/>
      <c r="CG417" s="51"/>
      <c r="CH417" s="62"/>
      <c r="CI417" s="62"/>
      <c r="CJ417" s="51"/>
      <c r="CK417" s="51"/>
      <c r="CL417" s="95"/>
      <c r="CM417" s="93"/>
      <c r="CN417" s="51"/>
      <c r="CO417" s="51"/>
      <c r="CP417" s="51"/>
      <c r="CQ417" s="51"/>
      <c r="CR417" s="51"/>
      <c r="CS417" s="51"/>
      <c r="CT417" s="51"/>
      <c r="CU417" s="95"/>
      <c r="CV417" s="93"/>
      <c r="CW417" s="51"/>
      <c r="CX417" s="51"/>
      <c r="CY417" s="51"/>
      <c r="CZ417" s="51"/>
      <c r="DA417" s="51"/>
      <c r="DB417" s="51"/>
      <c r="DC417" s="51"/>
      <c r="DD417" s="95"/>
      <c r="DE417" s="93"/>
      <c r="DF417" s="51"/>
      <c r="DG417" s="51"/>
      <c r="DH417" s="51"/>
      <c r="DI417" s="51"/>
      <c r="DJ417" s="51"/>
      <c r="DK417" s="51"/>
      <c r="DL417" s="95"/>
      <c r="DM417" s="478"/>
      <c r="DN417" s="682">
        <f t="shared" si="55"/>
        <v>0</v>
      </c>
      <c r="DO417" s="683"/>
    </row>
    <row r="418" spans="1:119" ht="25.5" customHeight="1" thickTop="1" thickBot="1" x14ac:dyDescent="0.2">
      <c r="A418" s="676">
        <f t="shared" si="51"/>
        <v>403</v>
      </c>
      <c r="B418" s="1054"/>
      <c r="C418" s="1055"/>
      <c r="D418" s="83"/>
      <c r="E418" s="954"/>
      <c r="F418" s="52"/>
      <c r="G418" s="103"/>
      <c r="H418" s="1058"/>
      <c r="I418" s="684" t="str">
        <f t="shared" si="48"/>
        <v/>
      </c>
      <c r="J418" s="685">
        <f t="shared" si="49"/>
        <v>0</v>
      </c>
      <c r="K418" s="1258"/>
      <c r="L418" s="1251"/>
      <c r="M418" s="1257"/>
      <c r="N418" s="719" t="str">
        <f t="shared" si="52"/>
        <v/>
      </c>
      <c r="O418" s="720" t="str">
        <f>IF('Set up ~ Config'!$G$32=6,IF(OR($N418=7,$N418=8,$N418=9),1,IF(OR($N418=10,$N418=11,$N418=12),2,IF(OR($N418=1,$N418=2,$N418=3),3,IF(OR($N418=4,$N418=5,$N418=6),4,"")))),IF(OR($N418=9,$N418=10,$N418=11),1,IF(OR($N418=12,$N418=1,$N418=2),2,IF(OR($N418=3,$N418=4,$N418=5),3,IF(OR($N418=6,$N418=7,$N418=8),4,"")))))</f>
        <v/>
      </c>
      <c r="P418" s="99"/>
      <c r="Q418" s="62"/>
      <c r="R418" s="62"/>
      <c r="S418" s="51"/>
      <c r="T418" s="51"/>
      <c r="U418" s="51"/>
      <c r="V418" s="51"/>
      <c r="W418" s="51"/>
      <c r="X418" s="51"/>
      <c r="Y418" s="51"/>
      <c r="Z418" s="51"/>
      <c r="AA418" s="51"/>
      <c r="AB418" s="51"/>
      <c r="AC418" s="51"/>
      <c r="AD418" s="51"/>
      <c r="AE418" s="51"/>
      <c r="AF418" s="51"/>
      <c r="AG418" s="51"/>
      <c r="AH418" s="94"/>
      <c r="AI418" s="94"/>
      <c r="AJ418" s="94"/>
      <c r="AK418" s="94"/>
      <c r="AL418" s="94"/>
      <c r="AM418" s="94"/>
      <c r="AN418" s="94"/>
      <c r="AO418" s="95"/>
      <c r="AP418" s="686">
        <f t="shared" si="53"/>
        <v>0</v>
      </c>
      <c r="AQ418" s="42"/>
      <c r="AR418" s="42"/>
      <c r="AS418" s="42"/>
      <c r="AT418" s="43"/>
      <c r="AU418" s="687">
        <f t="shared" si="54"/>
        <v>0</v>
      </c>
      <c r="AV418" s="42"/>
      <c r="AW418" s="42"/>
      <c r="AX418" s="42"/>
      <c r="AY418" s="43"/>
      <c r="AZ418" s="486"/>
      <c r="BA418" s="51"/>
      <c r="BB418" s="51"/>
      <c r="BC418" s="51"/>
      <c r="BD418" s="51"/>
      <c r="BE418" s="51"/>
      <c r="BF418" s="51"/>
      <c r="BG418" s="51"/>
      <c r="BH418" s="94"/>
      <c r="BI418" s="94"/>
      <c r="BJ418" s="94"/>
      <c r="BK418" s="94"/>
      <c r="BL418" s="94"/>
      <c r="BM418" s="483"/>
      <c r="BN418" s="94"/>
      <c r="BO418" s="94"/>
      <c r="BP418" s="94"/>
      <c r="BQ418" s="94"/>
      <c r="BR418" s="94"/>
      <c r="BS418" s="94"/>
      <c r="BT418" s="94"/>
      <c r="BU418" s="94"/>
      <c r="BV418" s="94"/>
      <c r="BW418" s="688">
        <f t="shared" si="50"/>
        <v>0</v>
      </c>
      <c r="BX418" s="51"/>
      <c r="BY418" s="51"/>
      <c r="BZ418" s="51"/>
      <c r="CA418" s="51"/>
      <c r="CB418" s="51"/>
      <c r="CC418" s="51"/>
      <c r="CD418" s="97"/>
      <c r="CE418" s="479"/>
      <c r="CF418" s="51"/>
      <c r="CG418" s="51"/>
      <c r="CH418" s="62"/>
      <c r="CI418" s="62"/>
      <c r="CJ418" s="51"/>
      <c r="CK418" s="51"/>
      <c r="CL418" s="95"/>
      <c r="CM418" s="93"/>
      <c r="CN418" s="51"/>
      <c r="CO418" s="51"/>
      <c r="CP418" s="51"/>
      <c r="CQ418" s="51"/>
      <c r="CR418" s="51"/>
      <c r="CS418" s="51"/>
      <c r="CT418" s="51"/>
      <c r="CU418" s="95"/>
      <c r="CV418" s="93"/>
      <c r="CW418" s="51"/>
      <c r="CX418" s="51"/>
      <c r="CY418" s="51"/>
      <c r="CZ418" s="51"/>
      <c r="DA418" s="51"/>
      <c r="DB418" s="51"/>
      <c r="DC418" s="51"/>
      <c r="DD418" s="95"/>
      <c r="DE418" s="93"/>
      <c r="DF418" s="51"/>
      <c r="DG418" s="51"/>
      <c r="DH418" s="51"/>
      <c r="DI418" s="51"/>
      <c r="DJ418" s="51"/>
      <c r="DK418" s="51"/>
      <c r="DL418" s="95"/>
      <c r="DM418" s="478"/>
      <c r="DN418" s="682">
        <f t="shared" si="55"/>
        <v>0</v>
      </c>
      <c r="DO418" s="683"/>
    </row>
    <row r="419" spans="1:119" ht="25.5" customHeight="1" thickTop="1" thickBot="1" x14ac:dyDescent="0.2">
      <c r="A419" s="676">
        <f t="shared" si="51"/>
        <v>404</v>
      </c>
      <c r="B419" s="1054"/>
      <c r="C419" s="1055"/>
      <c r="D419" s="83"/>
      <c r="E419" s="954"/>
      <c r="F419" s="52"/>
      <c r="G419" s="103"/>
      <c r="H419" s="1058"/>
      <c r="I419" s="684" t="str">
        <f t="shared" si="48"/>
        <v/>
      </c>
      <c r="J419" s="685">
        <f t="shared" si="49"/>
        <v>0</v>
      </c>
      <c r="K419" s="1258"/>
      <c r="L419" s="1251"/>
      <c r="M419" s="1257"/>
      <c r="N419" s="719" t="str">
        <f t="shared" si="52"/>
        <v/>
      </c>
      <c r="O419" s="720" t="str">
        <f>IF('Set up ~ Config'!$G$32=6,IF(OR($N419=7,$N419=8,$N419=9),1,IF(OR($N419=10,$N419=11,$N419=12),2,IF(OR($N419=1,$N419=2,$N419=3),3,IF(OR($N419=4,$N419=5,$N419=6),4,"")))),IF(OR($N419=9,$N419=10,$N419=11),1,IF(OR($N419=12,$N419=1,$N419=2),2,IF(OR($N419=3,$N419=4,$N419=5),3,IF(OR($N419=6,$N419=7,$N419=8),4,"")))))</f>
        <v/>
      </c>
      <c r="P419" s="99"/>
      <c r="Q419" s="62"/>
      <c r="R419" s="62"/>
      <c r="S419" s="51"/>
      <c r="T419" s="51"/>
      <c r="U419" s="51"/>
      <c r="V419" s="51"/>
      <c r="W419" s="51"/>
      <c r="X419" s="51"/>
      <c r="Y419" s="51"/>
      <c r="Z419" s="51"/>
      <c r="AA419" s="51"/>
      <c r="AB419" s="51"/>
      <c r="AC419" s="51"/>
      <c r="AD419" s="51"/>
      <c r="AE419" s="51"/>
      <c r="AF419" s="51"/>
      <c r="AG419" s="51"/>
      <c r="AH419" s="94"/>
      <c r="AI419" s="94"/>
      <c r="AJ419" s="94"/>
      <c r="AK419" s="94"/>
      <c r="AL419" s="94"/>
      <c r="AM419" s="94"/>
      <c r="AN419" s="94"/>
      <c r="AO419" s="95"/>
      <c r="AP419" s="686">
        <f t="shared" si="53"/>
        <v>0</v>
      </c>
      <c r="AQ419" s="42"/>
      <c r="AR419" s="42"/>
      <c r="AS419" s="42"/>
      <c r="AT419" s="43"/>
      <c r="AU419" s="687">
        <f t="shared" si="54"/>
        <v>0</v>
      </c>
      <c r="AV419" s="42"/>
      <c r="AW419" s="42"/>
      <c r="AX419" s="42"/>
      <c r="AY419" s="43"/>
      <c r="AZ419" s="486"/>
      <c r="BA419" s="51"/>
      <c r="BB419" s="51"/>
      <c r="BC419" s="51"/>
      <c r="BD419" s="51"/>
      <c r="BE419" s="51"/>
      <c r="BF419" s="51"/>
      <c r="BG419" s="51"/>
      <c r="BH419" s="94"/>
      <c r="BI419" s="94"/>
      <c r="BJ419" s="94"/>
      <c r="BK419" s="94"/>
      <c r="BL419" s="94"/>
      <c r="BM419" s="483"/>
      <c r="BN419" s="94"/>
      <c r="BO419" s="94"/>
      <c r="BP419" s="94"/>
      <c r="BQ419" s="94"/>
      <c r="BR419" s="94"/>
      <c r="BS419" s="94"/>
      <c r="BT419" s="94"/>
      <c r="BU419" s="94"/>
      <c r="BV419" s="94"/>
      <c r="BW419" s="688">
        <f t="shared" si="50"/>
        <v>0</v>
      </c>
      <c r="BX419" s="51"/>
      <c r="BY419" s="51"/>
      <c r="BZ419" s="51"/>
      <c r="CA419" s="51"/>
      <c r="CB419" s="51"/>
      <c r="CC419" s="51"/>
      <c r="CD419" s="97"/>
      <c r="CE419" s="479"/>
      <c r="CF419" s="51"/>
      <c r="CG419" s="51"/>
      <c r="CH419" s="62"/>
      <c r="CI419" s="62"/>
      <c r="CJ419" s="51"/>
      <c r="CK419" s="51"/>
      <c r="CL419" s="95"/>
      <c r="CM419" s="93"/>
      <c r="CN419" s="51"/>
      <c r="CO419" s="51"/>
      <c r="CP419" s="51"/>
      <c r="CQ419" s="51"/>
      <c r="CR419" s="51"/>
      <c r="CS419" s="51"/>
      <c r="CT419" s="51"/>
      <c r="CU419" s="95"/>
      <c r="CV419" s="93"/>
      <c r="CW419" s="51"/>
      <c r="CX419" s="51"/>
      <c r="CY419" s="51"/>
      <c r="CZ419" s="51"/>
      <c r="DA419" s="51"/>
      <c r="DB419" s="51"/>
      <c r="DC419" s="51"/>
      <c r="DD419" s="95"/>
      <c r="DE419" s="93"/>
      <c r="DF419" s="51"/>
      <c r="DG419" s="51"/>
      <c r="DH419" s="51"/>
      <c r="DI419" s="51"/>
      <c r="DJ419" s="51"/>
      <c r="DK419" s="51"/>
      <c r="DL419" s="95"/>
      <c r="DM419" s="478"/>
      <c r="DN419" s="682">
        <f t="shared" si="55"/>
        <v>0</v>
      </c>
      <c r="DO419" s="683"/>
    </row>
    <row r="420" spans="1:119" ht="25.5" customHeight="1" thickTop="1" thickBot="1" x14ac:dyDescent="0.2">
      <c r="A420" s="676">
        <f t="shared" si="51"/>
        <v>405</v>
      </c>
      <c r="B420" s="1054"/>
      <c r="C420" s="1055"/>
      <c r="D420" s="83"/>
      <c r="E420" s="954"/>
      <c r="F420" s="52"/>
      <c r="G420" s="103"/>
      <c r="H420" s="1058"/>
      <c r="I420" s="684" t="str">
        <f t="shared" si="48"/>
        <v/>
      </c>
      <c r="J420" s="685">
        <f t="shared" si="49"/>
        <v>0</v>
      </c>
      <c r="K420" s="1258"/>
      <c r="L420" s="1251"/>
      <c r="M420" s="1257"/>
      <c r="N420" s="719" t="str">
        <f t="shared" si="52"/>
        <v/>
      </c>
      <c r="O420" s="720" t="str">
        <f>IF('Set up ~ Config'!$G$32=6,IF(OR($N420=7,$N420=8,$N420=9),1,IF(OR($N420=10,$N420=11,$N420=12),2,IF(OR($N420=1,$N420=2,$N420=3),3,IF(OR($N420=4,$N420=5,$N420=6),4,"")))),IF(OR($N420=9,$N420=10,$N420=11),1,IF(OR($N420=12,$N420=1,$N420=2),2,IF(OR($N420=3,$N420=4,$N420=5),3,IF(OR($N420=6,$N420=7,$N420=8),4,"")))))</f>
        <v/>
      </c>
      <c r="P420" s="99"/>
      <c r="Q420" s="62"/>
      <c r="R420" s="62"/>
      <c r="S420" s="51"/>
      <c r="T420" s="51"/>
      <c r="U420" s="51"/>
      <c r="V420" s="51"/>
      <c r="W420" s="51"/>
      <c r="X420" s="51"/>
      <c r="Y420" s="51"/>
      <c r="Z420" s="51"/>
      <c r="AA420" s="51"/>
      <c r="AB420" s="51"/>
      <c r="AC420" s="51"/>
      <c r="AD420" s="51"/>
      <c r="AE420" s="51"/>
      <c r="AF420" s="51"/>
      <c r="AG420" s="51"/>
      <c r="AH420" s="94"/>
      <c r="AI420" s="94"/>
      <c r="AJ420" s="94"/>
      <c r="AK420" s="94"/>
      <c r="AL420" s="94"/>
      <c r="AM420" s="94"/>
      <c r="AN420" s="94"/>
      <c r="AO420" s="95"/>
      <c r="AP420" s="686">
        <f t="shared" si="53"/>
        <v>0</v>
      </c>
      <c r="AQ420" s="42"/>
      <c r="AR420" s="42"/>
      <c r="AS420" s="42"/>
      <c r="AT420" s="43"/>
      <c r="AU420" s="687">
        <f t="shared" si="54"/>
        <v>0</v>
      </c>
      <c r="AV420" s="42"/>
      <c r="AW420" s="42"/>
      <c r="AX420" s="42"/>
      <c r="AY420" s="43"/>
      <c r="AZ420" s="486"/>
      <c r="BA420" s="51"/>
      <c r="BB420" s="51"/>
      <c r="BC420" s="51"/>
      <c r="BD420" s="51"/>
      <c r="BE420" s="51"/>
      <c r="BF420" s="51"/>
      <c r="BG420" s="51"/>
      <c r="BH420" s="94"/>
      <c r="BI420" s="94"/>
      <c r="BJ420" s="94"/>
      <c r="BK420" s="94"/>
      <c r="BL420" s="94"/>
      <c r="BM420" s="483"/>
      <c r="BN420" s="94"/>
      <c r="BO420" s="94"/>
      <c r="BP420" s="94"/>
      <c r="BQ420" s="94"/>
      <c r="BR420" s="94"/>
      <c r="BS420" s="94"/>
      <c r="BT420" s="94"/>
      <c r="BU420" s="94"/>
      <c r="BV420" s="94"/>
      <c r="BW420" s="688">
        <f t="shared" si="50"/>
        <v>0</v>
      </c>
      <c r="BX420" s="51"/>
      <c r="BY420" s="51"/>
      <c r="BZ420" s="51"/>
      <c r="CA420" s="51"/>
      <c r="CB420" s="51"/>
      <c r="CC420" s="51"/>
      <c r="CD420" s="97"/>
      <c r="CE420" s="479"/>
      <c r="CF420" s="51"/>
      <c r="CG420" s="51"/>
      <c r="CH420" s="62"/>
      <c r="CI420" s="62"/>
      <c r="CJ420" s="51"/>
      <c r="CK420" s="51"/>
      <c r="CL420" s="95"/>
      <c r="CM420" s="93"/>
      <c r="CN420" s="51"/>
      <c r="CO420" s="51"/>
      <c r="CP420" s="51"/>
      <c r="CQ420" s="51"/>
      <c r="CR420" s="51"/>
      <c r="CS420" s="51"/>
      <c r="CT420" s="51"/>
      <c r="CU420" s="95"/>
      <c r="CV420" s="93"/>
      <c r="CW420" s="51"/>
      <c r="CX420" s="51"/>
      <c r="CY420" s="51"/>
      <c r="CZ420" s="51"/>
      <c r="DA420" s="51"/>
      <c r="DB420" s="51"/>
      <c r="DC420" s="51"/>
      <c r="DD420" s="95"/>
      <c r="DE420" s="93"/>
      <c r="DF420" s="51"/>
      <c r="DG420" s="51"/>
      <c r="DH420" s="51"/>
      <c r="DI420" s="51"/>
      <c r="DJ420" s="51"/>
      <c r="DK420" s="51"/>
      <c r="DL420" s="95"/>
      <c r="DM420" s="478"/>
      <c r="DN420" s="682">
        <f t="shared" si="55"/>
        <v>0</v>
      </c>
      <c r="DO420" s="683"/>
    </row>
    <row r="421" spans="1:119" ht="25.5" customHeight="1" thickTop="1" thickBot="1" x14ac:dyDescent="0.2">
      <c r="A421" s="676">
        <f t="shared" si="51"/>
        <v>406</v>
      </c>
      <c r="B421" s="1054"/>
      <c r="C421" s="1055"/>
      <c r="D421" s="83"/>
      <c r="E421" s="954"/>
      <c r="F421" s="52"/>
      <c r="G421" s="103"/>
      <c r="H421" s="1058"/>
      <c r="I421" s="684" t="str">
        <f t="shared" si="48"/>
        <v/>
      </c>
      <c r="J421" s="685">
        <f t="shared" si="49"/>
        <v>0</v>
      </c>
      <c r="K421" s="1258"/>
      <c r="L421" s="1251"/>
      <c r="M421" s="1257"/>
      <c r="N421" s="719" t="str">
        <f t="shared" si="52"/>
        <v/>
      </c>
      <c r="O421" s="720" t="str">
        <f>IF('Set up ~ Config'!$G$32=6,IF(OR($N421=7,$N421=8,$N421=9),1,IF(OR($N421=10,$N421=11,$N421=12),2,IF(OR($N421=1,$N421=2,$N421=3),3,IF(OR($N421=4,$N421=5,$N421=6),4,"")))),IF(OR($N421=9,$N421=10,$N421=11),1,IF(OR($N421=12,$N421=1,$N421=2),2,IF(OR($N421=3,$N421=4,$N421=5),3,IF(OR($N421=6,$N421=7,$N421=8),4,"")))))</f>
        <v/>
      </c>
      <c r="P421" s="99"/>
      <c r="Q421" s="62"/>
      <c r="R421" s="62"/>
      <c r="S421" s="51"/>
      <c r="T421" s="51"/>
      <c r="U421" s="51"/>
      <c r="V421" s="51"/>
      <c r="W421" s="51"/>
      <c r="X421" s="51"/>
      <c r="Y421" s="51"/>
      <c r="Z421" s="51"/>
      <c r="AA421" s="51"/>
      <c r="AB421" s="51"/>
      <c r="AC421" s="51"/>
      <c r="AD421" s="51"/>
      <c r="AE421" s="51"/>
      <c r="AF421" s="51"/>
      <c r="AG421" s="51"/>
      <c r="AH421" s="94"/>
      <c r="AI421" s="94"/>
      <c r="AJ421" s="94"/>
      <c r="AK421" s="94"/>
      <c r="AL421" s="94"/>
      <c r="AM421" s="94"/>
      <c r="AN421" s="94"/>
      <c r="AO421" s="95"/>
      <c r="AP421" s="686">
        <f t="shared" si="53"/>
        <v>0</v>
      </c>
      <c r="AQ421" s="42"/>
      <c r="AR421" s="42"/>
      <c r="AS421" s="42"/>
      <c r="AT421" s="43"/>
      <c r="AU421" s="687">
        <f t="shared" si="54"/>
        <v>0</v>
      </c>
      <c r="AV421" s="42"/>
      <c r="AW421" s="42"/>
      <c r="AX421" s="42"/>
      <c r="AY421" s="43"/>
      <c r="AZ421" s="486"/>
      <c r="BA421" s="51"/>
      <c r="BB421" s="51"/>
      <c r="BC421" s="51"/>
      <c r="BD421" s="51"/>
      <c r="BE421" s="51"/>
      <c r="BF421" s="51"/>
      <c r="BG421" s="51"/>
      <c r="BH421" s="94"/>
      <c r="BI421" s="94"/>
      <c r="BJ421" s="94"/>
      <c r="BK421" s="94"/>
      <c r="BL421" s="94"/>
      <c r="BM421" s="483"/>
      <c r="BN421" s="94"/>
      <c r="BO421" s="94"/>
      <c r="BP421" s="94"/>
      <c r="BQ421" s="94"/>
      <c r="BR421" s="94"/>
      <c r="BS421" s="94"/>
      <c r="BT421" s="94"/>
      <c r="BU421" s="94"/>
      <c r="BV421" s="94"/>
      <c r="BW421" s="688">
        <f t="shared" si="50"/>
        <v>0</v>
      </c>
      <c r="BX421" s="51"/>
      <c r="BY421" s="51"/>
      <c r="BZ421" s="51"/>
      <c r="CA421" s="51"/>
      <c r="CB421" s="51"/>
      <c r="CC421" s="51"/>
      <c r="CD421" s="97"/>
      <c r="CE421" s="479"/>
      <c r="CF421" s="51"/>
      <c r="CG421" s="51"/>
      <c r="CH421" s="62"/>
      <c r="CI421" s="62"/>
      <c r="CJ421" s="51"/>
      <c r="CK421" s="51"/>
      <c r="CL421" s="95"/>
      <c r="CM421" s="93"/>
      <c r="CN421" s="51"/>
      <c r="CO421" s="51"/>
      <c r="CP421" s="51"/>
      <c r="CQ421" s="51"/>
      <c r="CR421" s="51"/>
      <c r="CS421" s="51"/>
      <c r="CT421" s="51"/>
      <c r="CU421" s="95"/>
      <c r="CV421" s="93"/>
      <c r="CW421" s="51"/>
      <c r="CX421" s="51"/>
      <c r="CY421" s="51"/>
      <c r="CZ421" s="51"/>
      <c r="DA421" s="51"/>
      <c r="DB421" s="51"/>
      <c r="DC421" s="51"/>
      <c r="DD421" s="95"/>
      <c r="DE421" s="93"/>
      <c r="DF421" s="51"/>
      <c r="DG421" s="51"/>
      <c r="DH421" s="51"/>
      <c r="DI421" s="51"/>
      <c r="DJ421" s="51"/>
      <c r="DK421" s="51"/>
      <c r="DL421" s="95"/>
      <c r="DM421" s="478"/>
      <c r="DN421" s="682">
        <f t="shared" si="55"/>
        <v>0</v>
      </c>
      <c r="DO421" s="683"/>
    </row>
    <row r="422" spans="1:119" ht="25.5" customHeight="1" thickTop="1" thickBot="1" x14ac:dyDescent="0.2">
      <c r="A422" s="676">
        <f t="shared" si="51"/>
        <v>407</v>
      </c>
      <c r="B422" s="1054"/>
      <c r="C422" s="1055"/>
      <c r="D422" s="83"/>
      <c r="E422" s="954"/>
      <c r="F422" s="52"/>
      <c r="G422" s="103"/>
      <c r="H422" s="1058"/>
      <c r="I422" s="684" t="str">
        <f t="shared" si="48"/>
        <v/>
      </c>
      <c r="J422" s="685">
        <f t="shared" si="49"/>
        <v>0</v>
      </c>
      <c r="K422" s="1258"/>
      <c r="L422" s="1251"/>
      <c r="M422" s="1257"/>
      <c r="N422" s="719" t="str">
        <f t="shared" si="52"/>
        <v/>
      </c>
      <c r="O422" s="720" t="str">
        <f>IF('Set up ~ Config'!$G$32=6,IF(OR($N422=7,$N422=8,$N422=9),1,IF(OR($N422=10,$N422=11,$N422=12),2,IF(OR($N422=1,$N422=2,$N422=3),3,IF(OR($N422=4,$N422=5,$N422=6),4,"")))),IF(OR($N422=9,$N422=10,$N422=11),1,IF(OR($N422=12,$N422=1,$N422=2),2,IF(OR($N422=3,$N422=4,$N422=5),3,IF(OR($N422=6,$N422=7,$N422=8),4,"")))))</f>
        <v/>
      </c>
      <c r="P422" s="99"/>
      <c r="Q422" s="62"/>
      <c r="R422" s="62"/>
      <c r="S422" s="51"/>
      <c r="T422" s="51"/>
      <c r="U422" s="51"/>
      <c r="V422" s="51"/>
      <c r="W422" s="51"/>
      <c r="X422" s="51"/>
      <c r="Y422" s="51"/>
      <c r="Z422" s="51"/>
      <c r="AA422" s="51"/>
      <c r="AB422" s="51"/>
      <c r="AC422" s="51"/>
      <c r="AD422" s="51"/>
      <c r="AE422" s="51"/>
      <c r="AF422" s="51"/>
      <c r="AG422" s="51"/>
      <c r="AH422" s="94"/>
      <c r="AI422" s="94"/>
      <c r="AJ422" s="94"/>
      <c r="AK422" s="94"/>
      <c r="AL422" s="94"/>
      <c r="AM422" s="94"/>
      <c r="AN422" s="94"/>
      <c r="AO422" s="95"/>
      <c r="AP422" s="686">
        <f t="shared" si="53"/>
        <v>0</v>
      </c>
      <c r="AQ422" s="42"/>
      <c r="AR422" s="42"/>
      <c r="AS422" s="42"/>
      <c r="AT422" s="43"/>
      <c r="AU422" s="687">
        <f t="shared" si="54"/>
        <v>0</v>
      </c>
      <c r="AV422" s="42"/>
      <c r="AW422" s="42"/>
      <c r="AX422" s="42"/>
      <c r="AY422" s="43"/>
      <c r="AZ422" s="486"/>
      <c r="BA422" s="51"/>
      <c r="BB422" s="51"/>
      <c r="BC422" s="51"/>
      <c r="BD422" s="51"/>
      <c r="BE422" s="51"/>
      <c r="BF422" s="51"/>
      <c r="BG422" s="51"/>
      <c r="BH422" s="94"/>
      <c r="BI422" s="94"/>
      <c r="BJ422" s="94"/>
      <c r="BK422" s="94"/>
      <c r="BL422" s="94"/>
      <c r="BM422" s="483"/>
      <c r="BN422" s="94"/>
      <c r="BO422" s="94"/>
      <c r="BP422" s="94"/>
      <c r="BQ422" s="94"/>
      <c r="BR422" s="94"/>
      <c r="BS422" s="94"/>
      <c r="BT422" s="94"/>
      <c r="BU422" s="94"/>
      <c r="BV422" s="94"/>
      <c r="BW422" s="688">
        <f t="shared" si="50"/>
        <v>0</v>
      </c>
      <c r="BX422" s="51"/>
      <c r="BY422" s="51"/>
      <c r="BZ422" s="51"/>
      <c r="CA422" s="51"/>
      <c r="CB422" s="51"/>
      <c r="CC422" s="51"/>
      <c r="CD422" s="97"/>
      <c r="CE422" s="479"/>
      <c r="CF422" s="51"/>
      <c r="CG422" s="51"/>
      <c r="CH422" s="62"/>
      <c r="CI422" s="62"/>
      <c r="CJ422" s="51"/>
      <c r="CK422" s="51"/>
      <c r="CL422" s="95"/>
      <c r="CM422" s="93"/>
      <c r="CN422" s="51"/>
      <c r="CO422" s="51"/>
      <c r="CP422" s="51"/>
      <c r="CQ422" s="51"/>
      <c r="CR422" s="51"/>
      <c r="CS422" s="51"/>
      <c r="CT422" s="51"/>
      <c r="CU422" s="95"/>
      <c r="CV422" s="93"/>
      <c r="CW422" s="51"/>
      <c r="CX422" s="51"/>
      <c r="CY422" s="51"/>
      <c r="CZ422" s="51"/>
      <c r="DA422" s="51"/>
      <c r="DB422" s="51"/>
      <c r="DC422" s="51"/>
      <c r="DD422" s="95"/>
      <c r="DE422" s="93"/>
      <c r="DF422" s="51"/>
      <c r="DG422" s="51"/>
      <c r="DH422" s="51"/>
      <c r="DI422" s="51"/>
      <c r="DJ422" s="51"/>
      <c r="DK422" s="51"/>
      <c r="DL422" s="95"/>
      <c r="DM422" s="478"/>
      <c r="DN422" s="682">
        <f t="shared" si="55"/>
        <v>0</v>
      </c>
      <c r="DO422" s="683"/>
    </row>
    <row r="423" spans="1:119" ht="25.5" customHeight="1" thickTop="1" thickBot="1" x14ac:dyDescent="0.2">
      <c r="A423" s="676">
        <f t="shared" si="51"/>
        <v>408</v>
      </c>
      <c r="B423" s="1054"/>
      <c r="C423" s="1055"/>
      <c r="D423" s="83"/>
      <c r="E423" s="954"/>
      <c r="F423" s="52"/>
      <c r="G423" s="103"/>
      <c r="H423" s="1058"/>
      <c r="I423" s="684" t="str">
        <f t="shared" si="48"/>
        <v/>
      </c>
      <c r="J423" s="685">
        <f t="shared" si="49"/>
        <v>0</v>
      </c>
      <c r="K423" s="1258"/>
      <c r="L423" s="1251"/>
      <c r="M423" s="1257"/>
      <c r="N423" s="719" t="str">
        <f t="shared" si="52"/>
        <v/>
      </c>
      <c r="O423" s="720" t="str">
        <f>IF('Set up ~ Config'!$G$32=6,IF(OR($N423=7,$N423=8,$N423=9),1,IF(OR($N423=10,$N423=11,$N423=12),2,IF(OR($N423=1,$N423=2,$N423=3),3,IF(OR($N423=4,$N423=5,$N423=6),4,"")))),IF(OR($N423=9,$N423=10,$N423=11),1,IF(OR($N423=12,$N423=1,$N423=2),2,IF(OR($N423=3,$N423=4,$N423=5),3,IF(OR($N423=6,$N423=7,$N423=8),4,"")))))</f>
        <v/>
      </c>
      <c r="P423" s="99"/>
      <c r="Q423" s="62"/>
      <c r="R423" s="62"/>
      <c r="S423" s="51"/>
      <c r="T423" s="51"/>
      <c r="U423" s="51"/>
      <c r="V423" s="51"/>
      <c r="W423" s="51"/>
      <c r="X423" s="51"/>
      <c r="Y423" s="51"/>
      <c r="Z423" s="51"/>
      <c r="AA423" s="51"/>
      <c r="AB423" s="51"/>
      <c r="AC423" s="51"/>
      <c r="AD423" s="51"/>
      <c r="AE423" s="51"/>
      <c r="AF423" s="51"/>
      <c r="AG423" s="51"/>
      <c r="AH423" s="94"/>
      <c r="AI423" s="94"/>
      <c r="AJ423" s="94"/>
      <c r="AK423" s="94"/>
      <c r="AL423" s="94"/>
      <c r="AM423" s="94"/>
      <c r="AN423" s="94"/>
      <c r="AO423" s="95"/>
      <c r="AP423" s="686">
        <f t="shared" si="53"/>
        <v>0</v>
      </c>
      <c r="AQ423" s="42"/>
      <c r="AR423" s="42"/>
      <c r="AS423" s="42"/>
      <c r="AT423" s="43"/>
      <c r="AU423" s="687">
        <f t="shared" si="54"/>
        <v>0</v>
      </c>
      <c r="AV423" s="42"/>
      <c r="AW423" s="42"/>
      <c r="AX423" s="42"/>
      <c r="AY423" s="43"/>
      <c r="AZ423" s="486"/>
      <c r="BA423" s="51"/>
      <c r="BB423" s="51"/>
      <c r="BC423" s="51"/>
      <c r="BD423" s="51"/>
      <c r="BE423" s="51"/>
      <c r="BF423" s="51"/>
      <c r="BG423" s="51"/>
      <c r="BH423" s="94"/>
      <c r="BI423" s="94"/>
      <c r="BJ423" s="94"/>
      <c r="BK423" s="94"/>
      <c r="BL423" s="94"/>
      <c r="BM423" s="483"/>
      <c r="BN423" s="94"/>
      <c r="BO423" s="94"/>
      <c r="BP423" s="94"/>
      <c r="BQ423" s="94"/>
      <c r="BR423" s="94"/>
      <c r="BS423" s="94"/>
      <c r="BT423" s="94"/>
      <c r="BU423" s="94"/>
      <c r="BV423" s="94"/>
      <c r="BW423" s="688">
        <f t="shared" si="50"/>
        <v>0</v>
      </c>
      <c r="BX423" s="51"/>
      <c r="BY423" s="51"/>
      <c r="BZ423" s="51"/>
      <c r="CA423" s="51"/>
      <c r="CB423" s="51"/>
      <c r="CC423" s="51"/>
      <c r="CD423" s="97"/>
      <c r="CE423" s="479"/>
      <c r="CF423" s="51"/>
      <c r="CG423" s="51"/>
      <c r="CH423" s="62"/>
      <c r="CI423" s="62"/>
      <c r="CJ423" s="51"/>
      <c r="CK423" s="51"/>
      <c r="CL423" s="95"/>
      <c r="CM423" s="93"/>
      <c r="CN423" s="51"/>
      <c r="CO423" s="51"/>
      <c r="CP423" s="51"/>
      <c r="CQ423" s="51"/>
      <c r="CR423" s="51"/>
      <c r="CS423" s="51"/>
      <c r="CT423" s="51"/>
      <c r="CU423" s="95"/>
      <c r="CV423" s="93"/>
      <c r="CW423" s="51"/>
      <c r="CX423" s="51"/>
      <c r="CY423" s="51"/>
      <c r="CZ423" s="51"/>
      <c r="DA423" s="51"/>
      <c r="DB423" s="51"/>
      <c r="DC423" s="51"/>
      <c r="DD423" s="95"/>
      <c r="DE423" s="93"/>
      <c r="DF423" s="51"/>
      <c r="DG423" s="51"/>
      <c r="DH423" s="51"/>
      <c r="DI423" s="51"/>
      <c r="DJ423" s="51"/>
      <c r="DK423" s="51"/>
      <c r="DL423" s="95"/>
      <c r="DM423" s="478"/>
      <c r="DN423" s="682">
        <f t="shared" si="55"/>
        <v>0</v>
      </c>
      <c r="DO423" s="683"/>
    </row>
    <row r="424" spans="1:119" ht="25.5" customHeight="1" thickTop="1" thickBot="1" x14ac:dyDescent="0.2">
      <c r="A424" s="676">
        <f t="shared" si="51"/>
        <v>409</v>
      </c>
      <c r="B424" s="1054"/>
      <c r="C424" s="1055"/>
      <c r="D424" s="83"/>
      <c r="E424" s="954"/>
      <c r="F424" s="52"/>
      <c r="G424" s="103"/>
      <c r="H424" s="1058"/>
      <c r="I424" s="684" t="str">
        <f t="shared" si="48"/>
        <v/>
      </c>
      <c r="J424" s="685">
        <f t="shared" si="49"/>
        <v>0</v>
      </c>
      <c r="K424" s="1258"/>
      <c r="L424" s="1251"/>
      <c r="M424" s="1257"/>
      <c r="N424" s="719" t="str">
        <f t="shared" si="52"/>
        <v/>
      </c>
      <c r="O424" s="720" t="str">
        <f>IF('Set up ~ Config'!$G$32=6,IF(OR($N424=7,$N424=8,$N424=9),1,IF(OR($N424=10,$N424=11,$N424=12),2,IF(OR($N424=1,$N424=2,$N424=3),3,IF(OR($N424=4,$N424=5,$N424=6),4,"")))),IF(OR($N424=9,$N424=10,$N424=11),1,IF(OR($N424=12,$N424=1,$N424=2),2,IF(OR($N424=3,$N424=4,$N424=5),3,IF(OR($N424=6,$N424=7,$N424=8),4,"")))))</f>
        <v/>
      </c>
      <c r="P424" s="99"/>
      <c r="Q424" s="62"/>
      <c r="R424" s="62"/>
      <c r="S424" s="51"/>
      <c r="T424" s="51"/>
      <c r="U424" s="51"/>
      <c r="V424" s="51"/>
      <c r="W424" s="51"/>
      <c r="X424" s="51"/>
      <c r="Y424" s="51"/>
      <c r="Z424" s="51"/>
      <c r="AA424" s="51"/>
      <c r="AB424" s="51"/>
      <c r="AC424" s="51"/>
      <c r="AD424" s="51"/>
      <c r="AE424" s="51"/>
      <c r="AF424" s="51"/>
      <c r="AG424" s="51"/>
      <c r="AH424" s="94"/>
      <c r="AI424" s="94"/>
      <c r="AJ424" s="94"/>
      <c r="AK424" s="94"/>
      <c r="AL424" s="94"/>
      <c r="AM424" s="94"/>
      <c r="AN424" s="94"/>
      <c r="AO424" s="95"/>
      <c r="AP424" s="686">
        <f t="shared" si="53"/>
        <v>0</v>
      </c>
      <c r="AQ424" s="42"/>
      <c r="AR424" s="42"/>
      <c r="AS424" s="42"/>
      <c r="AT424" s="43"/>
      <c r="AU424" s="687">
        <f t="shared" si="54"/>
        <v>0</v>
      </c>
      <c r="AV424" s="42"/>
      <c r="AW424" s="42"/>
      <c r="AX424" s="42"/>
      <c r="AY424" s="43"/>
      <c r="AZ424" s="486"/>
      <c r="BA424" s="51"/>
      <c r="BB424" s="51"/>
      <c r="BC424" s="51"/>
      <c r="BD424" s="51"/>
      <c r="BE424" s="51"/>
      <c r="BF424" s="51"/>
      <c r="BG424" s="51"/>
      <c r="BH424" s="94"/>
      <c r="BI424" s="94"/>
      <c r="BJ424" s="94"/>
      <c r="BK424" s="94"/>
      <c r="BL424" s="94"/>
      <c r="BM424" s="483"/>
      <c r="BN424" s="94"/>
      <c r="BO424" s="94"/>
      <c r="BP424" s="94"/>
      <c r="BQ424" s="94"/>
      <c r="BR424" s="94"/>
      <c r="BS424" s="94"/>
      <c r="BT424" s="94"/>
      <c r="BU424" s="94"/>
      <c r="BV424" s="94"/>
      <c r="BW424" s="688">
        <f t="shared" si="50"/>
        <v>0</v>
      </c>
      <c r="BX424" s="51"/>
      <c r="BY424" s="51"/>
      <c r="BZ424" s="51"/>
      <c r="CA424" s="51"/>
      <c r="CB424" s="51"/>
      <c r="CC424" s="51"/>
      <c r="CD424" s="97"/>
      <c r="CE424" s="479"/>
      <c r="CF424" s="51"/>
      <c r="CG424" s="51"/>
      <c r="CH424" s="62"/>
      <c r="CI424" s="62"/>
      <c r="CJ424" s="51"/>
      <c r="CK424" s="51"/>
      <c r="CL424" s="95"/>
      <c r="CM424" s="93"/>
      <c r="CN424" s="51"/>
      <c r="CO424" s="51"/>
      <c r="CP424" s="51"/>
      <c r="CQ424" s="51"/>
      <c r="CR424" s="51"/>
      <c r="CS424" s="51"/>
      <c r="CT424" s="51"/>
      <c r="CU424" s="95"/>
      <c r="CV424" s="93"/>
      <c r="CW424" s="51"/>
      <c r="CX424" s="51"/>
      <c r="CY424" s="51"/>
      <c r="CZ424" s="51"/>
      <c r="DA424" s="51"/>
      <c r="DB424" s="51"/>
      <c r="DC424" s="51"/>
      <c r="DD424" s="95"/>
      <c r="DE424" s="93"/>
      <c r="DF424" s="51"/>
      <c r="DG424" s="51"/>
      <c r="DH424" s="51"/>
      <c r="DI424" s="51"/>
      <c r="DJ424" s="51"/>
      <c r="DK424" s="51"/>
      <c r="DL424" s="95"/>
      <c r="DM424" s="478"/>
      <c r="DN424" s="682">
        <f t="shared" si="55"/>
        <v>0</v>
      </c>
      <c r="DO424" s="683"/>
    </row>
    <row r="425" spans="1:119" ht="25.5" customHeight="1" thickTop="1" thickBot="1" x14ac:dyDescent="0.2">
      <c r="A425" s="676">
        <f t="shared" si="51"/>
        <v>410</v>
      </c>
      <c r="B425" s="1054"/>
      <c r="C425" s="1055"/>
      <c r="D425" s="83"/>
      <c r="E425" s="954"/>
      <c r="F425" s="52"/>
      <c r="G425" s="103"/>
      <c r="H425" s="1058"/>
      <c r="I425" s="684" t="str">
        <f t="shared" si="48"/>
        <v/>
      </c>
      <c r="J425" s="685">
        <f t="shared" si="49"/>
        <v>0</v>
      </c>
      <c r="K425" s="1258"/>
      <c r="L425" s="1251"/>
      <c r="M425" s="1257"/>
      <c r="N425" s="719" t="str">
        <f t="shared" si="52"/>
        <v/>
      </c>
      <c r="O425" s="720" t="str">
        <f>IF('Set up ~ Config'!$G$32=6,IF(OR($N425=7,$N425=8,$N425=9),1,IF(OR($N425=10,$N425=11,$N425=12),2,IF(OR($N425=1,$N425=2,$N425=3),3,IF(OR($N425=4,$N425=5,$N425=6),4,"")))),IF(OR($N425=9,$N425=10,$N425=11),1,IF(OR($N425=12,$N425=1,$N425=2),2,IF(OR($N425=3,$N425=4,$N425=5),3,IF(OR($N425=6,$N425=7,$N425=8),4,"")))))</f>
        <v/>
      </c>
      <c r="P425" s="99"/>
      <c r="Q425" s="62"/>
      <c r="R425" s="62"/>
      <c r="S425" s="51"/>
      <c r="T425" s="51"/>
      <c r="U425" s="51"/>
      <c r="V425" s="51"/>
      <c r="W425" s="51"/>
      <c r="X425" s="51"/>
      <c r="Y425" s="51"/>
      <c r="Z425" s="51"/>
      <c r="AA425" s="51"/>
      <c r="AB425" s="51"/>
      <c r="AC425" s="51"/>
      <c r="AD425" s="51"/>
      <c r="AE425" s="51"/>
      <c r="AF425" s="51"/>
      <c r="AG425" s="51"/>
      <c r="AH425" s="94"/>
      <c r="AI425" s="94"/>
      <c r="AJ425" s="94"/>
      <c r="AK425" s="94"/>
      <c r="AL425" s="94"/>
      <c r="AM425" s="94"/>
      <c r="AN425" s="94"/>
      <c r="AO425" s="95"/>
      <c r="AP425" s="686">
        <f t="shared" si="53"/>
        <v>0</v>
      </c>
      <c r="AQ425" s="42"/>
      <c r="AR425" s="42"/>
      <c r="AS425" s="42"/>
      <c r="AT425" s="43"/>
      <c r="AU425" s="687">
        <f t="shared" si="54"/>
        <v>0</v>
      </c>
      <c r="AV425" s="42"/>
      <c r="AW425" s="42"/>
      <c r="AX425" s="42"/>
      <c r="AY425" s="43"/>
      <c r="AZ425" s="486"/>
      <c r="BA425" s="51"/>
      <c r="BB425" s="51"/>
      <c r="BC425" s="51"/>
      <c r="BD425" s="51"/>
      <c r="BE425" s="51"/>
      <c r="BF425" s="51"/>
      <c r="BG425" s="51"/>
      <c r="BH425" s="94"/>
      <c r="BI425" s="94"/>
      <c r="BJ425" s="94"/>
      <c r="BK425" s="94"/>
      <c r="BL425" s="94"/>
      <c r="BM425" s="483"/>
      <c r="BN425" s="94"/>
      <c r="BO425" s="94"/>
      <c r="BP425" s="94"/>
      <c r="BQ425" s="94"/>
      <c r="BR425" s="94"/>
      <c r="BS425" s="94"/>
      <c r="BT425" s="94"/>
      <c r="BU425" s="94"/>
      <c r="BV425" s="94"/>
      <c r="BW425" s="688">
        <f t="shared" si="50"/>
        <v>0</v>
      </c>
      <c r="BX425" s="51"/>
      <c r="BY425" s="51"/>
      <c r="BZ425" s="51"/>
      <c r="CA425" s="51"/>
      <c r="CB425" s="51"/>
      <c r="CC425" s="51"/>
      <c r="CD425" s="97"/>
      <c r="CE425" s="479"/>
      <c r="CF425" s="51"/>
      <c r="CG425" s="51"/>
      <c r="CH425" s="62"/>
      <c r="CI425" s="62"/>
      <c r="CJ425" s="51"/>
      <c r="CK425" s="51"/>
      <c r="CL425" s="95"/>
      <c r="CM425" s="93"/>
      <c r="CN425" s="51"/>
      <c r="CO425" s="51"/>
      <c r="CP425" s="51"/>
      <c r="CQ425" s="51"/>
      <c r="CR425" s="51"/>
      <c r="CS425" s="51"/>
      <c r="CT425" s="51"/>
      <c r="CU425" s="95"/>
      <c r="CV425" s="93"/>
      <c r="CW425" s="51"/>
      <c r="CX425" s="51"/>
      <c r="CY425" s="51"/>
      <c r="CZ425" s="51"/>
      <c r="DA425" s="51"/>
      <c r="DB425" s="51"/>
      <c r="DC425" s="51"/>
      <c r="DD425" s="95"/>
      <c r="DE425" s="93"/>
      <c r="DF425" s="51"/>
      <c r="DG425" s="51"/>
      <c r="DH425" s="51"/>
      <c r="DI425" s="51"/>
      <c r="DJ425" s="51"/>
      <c r="DK425" s="51"/>
      <c r="DL425" s="95"/>
      <c r="DM425" s="478"/>
      <c r="DN425" s="682">
        <f t="shared" si="55"/>
        <v>0</v>
      </c>
      <c r="DO425" s="683"/>
    </row>
    <row r="426" spans="1:119" ht="25.5" customHeight="1" thickTop="1" thickBot="1" x14ac:dyDescent="0.2">
      <c r="A426" s="676">
        <f t="shared" si="51"/>
        <v>411</v>
      </c>
      <c r="B426" s="1054"/>
      <c r="C426" s="1055"/>
      <c r="D426" s="83"/>
      <c r="E426" s="954"/>
      <c r="F426" s="52"/>
      <c r="G426" s="103"/>
      <c r="H426" s="1058"/>
      <c r="I426" s="684" t="str">
        <f t="shared" si="48"/>
        <v/>
      </c>
      <c r="J426" s="685">
        <f t="shared" si="49"/>
        <v>0</v>
      </c>
      <c r="K426" s="1258"/>
      <c r="L426" s="1251"/>
      <c r="M426" s="1257"/>
      <c r="N426" s="719" t="str">
        <f t="shared" si="52"/>
        <v/>
      </c>
      <c r="O426" s="720" t="str">
        <f>IF('Set up ~ Config'!$G$32=6,IF(OR($N426=7,$N426=8,$N426=9),1,IF(OR($N426=10,$N426=11,$N426=12),2,IF(OR($N426=1,$N426=2,$N426=3),3,IF(OR($N426=4,$N426=5,$N426=6),4,"")))),IF(OR($N426=9,$N426=10,$N426=11),1,IF(OR($N426=12,$N426=1,$N426=2),2,IF(OR($N426=3,$N426=4,$N426=5),3,IF(OR($N426=6,$N426=7,$N426=8),4,"")))))</f>
        <v/>
      </c>
      <c r="P426" s="99"/>
      <c r="Q426" s="62"/>
      <c r="R426" s="62"/>
      <c r="S426" s="51"/>
      <c r="T426" s="51"/>
      <c r="U426" s="51"/>
      <c r="V426" s="51"/>
      <c r="W426" s="51"/>
      <c r="X426" s="51"/>
      <c r="Y426" s="51"/>
      <c r="Z426" s="51"/>
      <c r="AA426" s="51"/>
      <c r="AB426" s="51"/>
      <c r="AC426" s="51"/>
      <c r="AD426" s="51"/>
      <c r="AE426" s="51"/>
      <c r="AF426" s="51"/>
      <c r="AG426" s="51"/>
      <c r="AH426" s="94"/>
      <c r="AI426" s="94"/>
      <c r="AJ426" s="94"/>
      <c r="AK426" s="94"/>
      <c r="AL426" s="94"/>
      <c r="AM426" s="94"/>
      <c r="AN426" s="94"/>
      <c r="AO426" s="95"/>
      <c r="AP426" s="686">
        <f t="shared" si="53"/>
        <v>0</v>
      </c>
      <c r="AQ426" s="42"/>
      <c r="AR426" s="42"/>
      <c r="AS426" s="42"/>
      <c r="AT426" s="43"/>
      <c r="AU426" s="687">
        <f t="shared" si="54"/>
        <v>0</v>
      </c>
      <c r="AV426" s="42"/>
      <c r="AW426" s="42"/>
      <c r="AX426" s="42"/>
      <c r="AY426" s="43"/>
      <c r="AZ426" s="486"/>
      <c r="BA426" s="51"/>
      <c r="BB426" s="51"/>
      <c r="BC426" s="51"/>
      <c r="BD426" s="51"/>
      <c r="BE426" s="51"/>
      <c r="BF426" s="51"/>
      <c r="BG426" s="51"/>
      <c r="BH426" s="94"/>
      <c r="BI426" s="94"/>
      <c r="BJ426" s="94"/>
      <c r="BK426" s="94"/>
      <c r="BL426" s="94"/>
      <c r="BM426" s="483"/>
      <c r="BN426" s="94"/>
      <c r="BO426" s="94"/>
      <c r="BP426" s="94"/>
      <c r="BQ426" s="94"/>
      <c r="BR426" s="94"/>
      <c r="BS426" s="94"/>
      <c r="BT426" s="94"/>
      <c r="BU426" s="94"/>
      <c r="BV426" s="94"/>
      <c r="BW426" s="688">
        <f t="shared" si="50"/>
        <v>0</v>
      </c>
      <c r="BX426" s="51"/>
      <c r="BY426" s="51"/>
      <c r="BZ426" s="51"/>
      <c r="CA426" s="51"/>
      <c r="CB426" s="51"/>
      <c r="CC426" s="51"/>
      <c r="CD426" s="97"/>
      <c r="CE426" s="479"/>
      <c r="CF426" s="51"/>
      <c r="CG426" s="51"/>
      <c r="CH426" s="62"/>
      <c r="CI426" s="62"/>
      <c r="CJ426" s="51"/>
      <c r="CK426" s="51"/>
      <c r="CL426" s="95"/>
      <c r="CM426" s="93"/>
      <c r="CN426" s="51"/>
      <c r="CO426" s="51"/>
      <c r="CP426" s="51"/>
      <c r="CQ426" s="51"/>
      <c r="CR426" s="51"/>
      <c r="CS426" s="51"/>
      <c r="CT426" s="51"/>
      <c r="CU426" s="95"/>
      <c r="CV426" s="93"/>
      <c r="CW426" s="51"/>
      <c r="CX426" s="51"/>
      <c r="CY426" s="51"/>
      <c r="CZ426" s="51"/>
      <c r="DA426" s="51"/>
      <c r="DB426" s="51"/>
      <c r="DC426" s="51"/>
      <c r="DD426" s="95"/>
      <c r="DE426" s="93"/>
      <c r="DF426" s="51"/>
      <c r="DG426" s="51"/>
      <c r="DH426" s="51"/>
      <c r="DI426" s="51"/>
      <c r="DJ426" s="51"/>
      <c r="DK426" s="51"/>
      <c r="DL426" s="95"/>
      <c r="DM426" s="478"/>
      <c r="DN426" s="682">
        <f t="shared" si="55"/>
        <v>0</v>
      </c>
      <c r="DO426" s="683"/>
    </row>
    <row r="427" spans="1:119" ht="25.5" customHeight="1" thickTop="1" thickBot="1" x14ac:dyDescent="0.2">
      <c r="A427" s="676">
        <f t="shared" si="51"/>
        <v>412</v>
      </c>
      <c r="B427" s="1054"/>
      <c r="C427" s="1055"/>
      <c r="D427" s="83"/>
      <c r="E427" s="954"/>
      <c r="F427" s="52"/>
      <c r="G427" s="103"/>
      <c r="H427" s="1058"/>
      <c r="I427" s="684" t="str">
        <f t="shared" si="48"/>
        <v/>
      </c>
      <c r="J427" s="685">
        <f t="shared" si="49"/>
        <v>0</v>
      </c>
      <c r="K427" s="1258"/>
      <c r="L427" s="1251"/>
      <c r="M427" s="1257"/>
      <c r="N427" s="719" t="str">
        <f t="shared" si="52"/>
        <v/>
      </c>
      <c r="O427" s="720" t="str">
        <f>IF('Set up ~ Config'!$G$32=6,IF(OR($N427=7,$N427=8,$N427=9),1,IF(OR($N427=10,$N427=11,$N427=12),2,IF(OR($N427=1,$N427=2,$N427=3),3,IF(OR($N427=4,$N427=5,$N427=6),4,"")))),IF(OR($N427=9,$N427=10,$N427=11),1,IF(OR($N427=12,$N427=1,$N427=2),2,IF(OR($N427=3,$N427=4,$N427=5),3,IF(OR($N427=6,$N427=7,$N427=8),4,"")))))</f>
        <v/>
      </c>
      <c r="P427" s="99"/>
      <c r="Q427" s="62"/>
      <c r="R427" s="62"/>
      <c r="S427" s="51"/>
      <c r="T427" s="51"/>
      <c r="U427" s="51"/>
      <c r="V427" s="51"/>
      <c r="W427" s="51"/>
      <c r="X427" s="51"/>
      <c r="Y427" s="51"/>
      <c r="Z427" s="51"/>
      <c r="AA427" s="51"/>
      <c r="AB427" s="51"/>
      <c r="AC427" s="51"/>
      <c r="AD427" s="51"/>
      <c r="AE427" s="51"/>
      <c r="AF427" s="51"/>
      <c r="AG427" s="51"/>
      <c r="AH427" s="94"/>
      <c r="AI427" s="94"/>
      <c r="AJ427" s="94"/>
      <c r="AK427" s="94"/>
      <c r="AL427" s="94"/>
      <c r="AM427" s="94"/>
      <c r="AN427" s="94"/>
      <c r="AO427" s="95"/>
      <c r="AP427" s="686">
        <f t="shared" si="53"/>
        <v>0</v>
      </c>
      <c r="AQ427" s="42"/>
      <c r="AR427" s="42"/>
      <c r="AS427" s="42"/>
      <c r="AT427" s="43"/>
      <c r="AU427" s="687">
        <f t="shared" si="54"/>
        <v>0</v>
      </c>
      <c r="AV427" s="42"/>
      <c r="AW427" s="42"/>
      <c r="AX427" s="42"/>
      <c r="AY427" s="43"/>
      <c r="AZ427" s="486"/>
      <c r="BA427" s="51"/>
      <c r="BB427" s="51"/>
      <c r="BC427" s="51"/>
      <c r="BD427" s="51"/>
      <c r="BE427" s="51"/>
      <c r="BF427" s="51"/>
      <c r="BG427" s="51"/>
      <c r="BH427" s="94"/>
      <c r="BI427" s="94"/>
      <c r="BJ427" s="94"/>
      <c r="BK427" s="94"/>
      <c r="BL427" s="94"/>
      <c r="BM427" s="483"/>
      <c r="BN427" s="94"/>
      <c r="BO427" s="94"/>
      <c r="BP427" s="94"/>
      <c r="BQ427" s="94"/>
      <c r="BR427" s="94"/>
      <c r="BS427" s="94"/>
      <c r="BT427" s="94"/>
      <c r="BU427" s="94"/>
      <c r="BV427" s="94"/>
      <c r="BW427" s="688">
        <f t="shared" si="50"/>
        <v>0</v>
      </c>
      <c r="BX427" s="51"/>
      <c r="BY427" s="51"/>
      <c r="BZ427" s="51"/>
      <c r="CA427" s="51"/>
      <c r="CB427" s="51"/>
      <c r="CC427" s="51"/>
      <c r="CD427" s="97"/>
      <c r="CE427" s="479"/>
      <c r="CF427" s="51"/>
      <c r="CG427" s="51"/>
      <c r="CH427" s="62"/>
      <c r="CI427" s="62"/>
      <c r="CJ427" s="51"/>
      <c r="CK427" s="51"/>
      <c r="CL427" s="95"/>
      <c r="CM427" s="93"/>
      <c r="CN427" s="51"/>
      <c r="CO427" s="51"/>
      <c r="CP427" s="51"/>
      <c r="CQ427" s="51"/>
      <c r="CR427" s="51"/>
      <c r="CS427" s="51"/>
      <c r="CT427" s="51"/>
      <c r="CU427" s="95"/>
      <c r="CV427" s="93"/>
      <c r="CW427" s="51"/>
      <c r="CX427" s="51"/>
      <c r="CY427" s="51"/>
      <c r="CZ427" s="51"/>
      <c r="DA427" s="51"/>
      <c r="DB427" s="51"/>
      <c r="DC427" s="51"/>
      <c r="DD427" s="95"/>
      <c r="DE427" s="93"/>
      <c r="DF427" s="51"/>
      <c r="DG427" s="51"/>
      <c r="DH427" s="51"/>
      <c r="DI427" s="51"/>
      <c r="DJ427" s="51"/>
      <c r="DK427" s="51"/>
      <c r="DL427" s="95"/>
      <c r="DM427" s="478"/>
      <c r="DN427" s="682">
        <f t="shared" si="55"/>
        <v>0</v>
      </c>
      <c r="DO427" s="683"/>
    </row>
    <row r="428" spans="1:119" ht="25.5" customHeight="1" thickTop="1" thickBot="1" x14ac:dyDescent="0.2">
      <c r="A428" s="676">
        <f t="shared" si="51"/>
        <v>413</v>
      </c>
      <c r="B428" s="1054"/>
      <c r="C428" s="1055"/>
      <c r="D428" s="83"/>
      <c r="E428" s="954"/>
      <c r="F428" s="52"/>
      <c r="G428" s="103"/>
      <c r="H428" s="1058"/>
      <c r="I428" s="684" t="str">
        <f t="shared" si="48"/>
        <v/>
      </c>
      <c r="J428" s="685">
        <f t="shared" si="49"/>
        <v>0</v>
      </c>
      <c r="K428" s="1258"/>
      <c r="L428" s="1251"/>
      <c r="M428" s="1257"/>
      <c r="N428" s="719" t="str">
        <f t="shared" si="52"/>
        <v/>
      </c>
      <c r="O428" s="720" t="str">
        <f>IF('Set up ~ Config'!$G$32=6,IF(OR($N428=7,$N428=8,$N428=9),1,IF(OR($N428=10,$N428=11,$N428=12),2,IF(OR($N428=1,$N428=2,$N428=3),3,IF(OR($N428=4,$N428=5,$N428=6),4,"")))),IF(OR($N428=9,$N428=10,$N428=11),1,IF(OR($N428=12,$N428=1,$N428=2),2,IF(OR($N428=3,$N428=4,$N428=5),3,IF(OR($N428=6,$N428=7,$N428=8),4,"")))))</f>
        <v/>
      </c>
      <c r="P428" s="99"/>
      <c r="Q428" s="62"/>
      <c r="R428" s="62"/>
      <c r="S428" s="51"/>
      <c r="T428" s="51"/>
      <c r="U428" s="51"/>
      <c r="V428" s="51"/>
      <c r="W428" s="51"/>
      <c r="X428" s="51"/>
      <c r="Y428" s="51"/>
      <c r="Z428" s="51"/>
      <c r="AA428" s="51"/>
      <c r="AB428" s="51"/>
      <c r="AC428" s="51"/>
      <c r="AD428" s="51"/>
      <c r="AE428" s="51"/>
      <c r="AF428" s="51"/>
      <c r="AG428" s="51"/>
      <c r="AH428" s="94"/>
      <c r="AI428" s="94"/>
      <c r="AJ428" s="94"/>
      <c r="AK428" s="94"/>
      <c r="AL428" s="94"/>
      <c r="AM428" s="94"/>
      <c r="AN428" s="94"/>
      <c r="AO428" s="95"/>
      <c r="AP428" s="686">
        <f t="shared" si="53"/>
        <v>0</v>
      </c>
      <c r="AQ428" s="42"/>
      <c r="AR428" s="42"/>
      <c r="AS428" s="42"/>
      <c r="AT428" s="43"/>
      <c r="AU428" s="687">
        <f t="shared" si="54"/>
        <v>0</v>
      </c>
      <c r="AV428" s="42"/>
      <c r="AW428" s="42"/>
      <c r="AX428" s="42"/>
      <c r="AY428" s="43"/>
      <c r="AZ428" s="486"/>
      <c r="BA428" s="51"/>
      <c r="BB428" s="51"/>
      <c r="BC428" s="51"/>
      <c r="BD428" s="51"/>
      <c r="BE428" s="51"/>
      <c r="BF428" s="51"/>
      <c r="BG428" s="51"/>
      <c r="BH428" s="94"/>
      <c r="BI428" s="94"/>
      <c r="BJ428" s="94"/>
      <c r="BK428" s="94"/>
      <c r="BL428" s="94"/>
      <c r="BM428" s="483"/>
      <c r="BN428" s="94"/>
      <c r="BO428" s="94"/>
      <c r="BP428" s="94"/>
      <c r="BQ428" s="94"/>
      <c r="BR428" s="94"/>
      <c r="BS428" s="94"/>
      <c r="BT428" s="94"/>
      <c r="BU428" s="94"/>
      <c r="BV428" s="94"/>
      <c r="BW428" s="688">
        <f t="shared" si="50"/>
        <v>0</v>
      </c>
      <c r="BX428" s="51"/>
      <c r="BY428" s="51"/>
      <c r="BZ428" s="51"/>
      <c r="CA428" s="51"/>
      <c r="CB428" s="51"/>
      <c r="CC428" s="51"/>
      <c r="CD428" s="97"/>
      <c r="CE428" s="479"/>
      <c r="CF428" s="51"/>
      <c r="CG428" s="51"/>
      <c r="CH428" s="62"/>
      <c r="CI428" s="62"/>
      <c r="CJ428" s="51"/>
      <c r="CK428" s="51"/>
      <c r="CL428" s="95"/>
      <c r="CM428" s="93"/>
      <c r="CN428" s="51"/>
      <c r="CO428" s="51"/>
      <c r="CP428" s="51"/>
      <c r="CQ428" s="51"/>
      <c r="CR428" s="51"/>
      <c r="CS428" s="51"/>
      <c r="CT428" s="51"/>
      <c r="CU428" s="95"/>
      <c r="CV428" s="93"/>
      <c r="CW428" s="51"/>
      <c r="CX428" s="51"/>
      <c r="CY428" s="51"/>
      <c r="CZ428" s="51"/>
      <c r="DA428" s="51"/>
      <c r="DB428" s="51"/>
      <c r="DC428" s="51"/>
      <c r="DD428" s="95"/>
      <c r="DE428" s="93"/>
      <c r="DF428" s="51"/>
      <c r="DG428" s="51"/>
      <c r="DH428" s="51"/>
      <c r="DI428" s="51"/>
      <c r="DJ428" s="51"/>
      <c r="DK428" s="51"/>
      <c r="DL428" s="95"/>
      <c r="DM428" s="478"/>
      <c r="DN428" s="682">
        <f t="shared" si="55"/>
        <v>0</v>
      </c>
      <c r="DO428" s="683"/>
    </row>
    <row r="429" spans="1:119" ht="25.5" customHeight="1" thickTop="1" thickBot="1" x14ac:dyDescent="0.2">
      <c r="A429" s="676">
        <f t="shared" si="51"/>
        <v>414</v>
      </c>
      <c r="B429" s="1054"/>
      <c r="C429" s="1055"/>
      <c r="D429" s="83"/>
      <c r="E429" s="954"/>
      <c r="F429" s="52"/>
      <c r="G429" s="103"/>
      <c r="H429" s="1058"/>
      <c r="I429" s="684" t="str">
        <f t="shared" si="48"/>
        <v/>
      </c>
      <c r="J429" s="685">
        <f t="shared" si="49"/>
        <v>0</v>
      </c>
      <c r="K429" s="1258"/>
      <c r="L429" s="1251"/>
      <c r="M429" s="1257"/>
      <c r="N429" s="719" t="str">
        <f t="shared" si="52"/>
        <v/>
      </c>
      <c r="O429" s="720" t="str">
        <f>IF('Set up ~ Config'!$G$32=6,IF(OR($N429=7,$N429=8,$N429=9),1,IF(OR($N429=10,$N429=11,$N429=12),2,IF(OR($N429=1,$N429=2,$N429=3),3,IF(OR($N429=4,$N429=5,$N429=6),4,"")))),IF(OR($N429=9,$N429=10,$N429=11),1,IF(OR($N429=12,$N429=1,$N429=2),2,IF(OR($N429=3,$N429=4,$N429=5),3,IF(OR($N429=6,$N429=7,$N429=8),4,"")))))</f>
        <v/>
      </c>
      <c r="P429" s="99"/>
      <c r="Q429" s="62"/>
      <c r="R429" s="62"/>
      <c r="S429" s="51"/>
      <c r="T429" s="51"/>
      <c r="U429" s="51"/>
      <c r="V429" s="51"/>
      <c r="W429" s="51"/>
      <c r="X429" s="51"/>
      <c r="Y429" s="51"/>
      <c r="Z429" s="51"/>
      <c r="AA429" s="51"/>
      <c r="AB429" s="51"/>
      <c r="AC429" s="51"/>
      <c r="AD429" s="51"/>
      <c r="AE429" s="51"/>
      <c r="AF429" s="51"/>
      <c r="AG429" s="51"/>
      <c r="AH429" s="94"/>
      <c r="AI429" s="94"/>
      <c r="AJ429" s="94"/>
      <c r="AK429" s="94"/>
      <c r="AL429" s="94"/>
      <c r="AM429" s="94"/>
      <c r="AN429" s="94"/>
      <c r="AO429" s="95"/>
      <c r="AP429" s="686">
        <f t="shared" si="53"/>
        <v>0</v>
      </c>
      <c r="AQ429" s="42"/>
      <c r="AR429" s="42"/>
      <c r="AS429" s="42"/>
      <c r="AT429" s="43"/>
      <c r="AU429" s="687">
        <f t="shared" si="54"/>
        <v>0</v>
      </c>
      <c r="AV429" s="42"/>
      <c r="AW429" s="42"/>
      <c r="AX429" s="42"/>
      <c r="AY429" s="43"/>
      <c r="AZ429" s="486"/>
      <c r="BA429" s="51"/>
      <c r="BB429" s="51"/>
      <c r="BC429" s="51"/>
      <c r="BD429" s="51"/>
      <c r="BE429" s="51"/>
      <c r="BF429" s="51"/>
      <c r="BG429" s="51"/>
      <c r="BH429" s="94"/>
      <c r="BI429" s="94"/>
      <c r="BJ429" s="94"/>
      <c r="BK429" s="94"/>
      <c r="BL429" s="94"/>
      <c r="BM429" s="483"/>
      <c r="BN429" s="94"/>
      <c r="BO429" s="94"/>
      <c r="BP429" s="94"/>
      <c r="BQ429" s="94"/>
      <c r="BR429" s="94"/>
      <c r="BS429" s="94"/>
      <c r="BT429" s="94"/>
      <c r="BU429" s="94"/>
      <c r="BV429" s="94"/>
      <c r="BW429" s="688">
        <f t="shared" si="50"/>
        <v>0</v>
      </c>
      <c r="BX429" s="51"/>
      <c r="BY429" s="51"/>
      <c r="BZ429" s="51"/>
      <c r="CA429" s="51"/>
      <c r="CB429" s="51"/>
      <c r="CC429" s="51"/>
      <c r="CD429" s="97"/>
      <c r="CE429" s="479"/>
      <c r="CF429" s="51"/>
      <c r="CG429" s="51"/>
      <c r="CH429" s="62"/>
      <c r="CI429" s="62"/>
      <c r="CJ429" s="51"/>
      <c r="CK429" s="51"/>
      <c r="CL429" s="95"/>
      <c r="CM429" s="93"/>
      <c r="CN429" s="51"/>
      <c r="CO429" s="51"/>
      <c r="CP429" s="51"/>
      <c r="CQ429" s="51"/>
      <c r="CR429" s="51"/>
      <c r="CS429" s="51"/>
      <c r="CT429" s="51"/>
      <c r="CU429" s="95"/>
      <c r="CV429" s="93"/>
      <c r="CW429" s="51"/>
      <c r="CX429" s="51"/>
      <c r="CY429" s="51"/>
      <c r="CZ429" s="51"/>
      <c r="DA429" s="51"/>
      <c r="DB429" s="51"/>
      <c r="DC429" s="51"/>
      <c r="DD429" s="95"/>
      <c r="DE429" s="93"/>
      <c r="DF429" s="51"/>
      <c r="DG429" s="51"/>
      <c r="DH429" s="51"/>
      <c r="DI429" s="51"/>
      <c r="DJ429" s="51"/>
      <c r="DK429" s="51"/>
      <c r="DL429" s="95"/>
      <c r="DM429" s="478"/>
      <c r="DN429" s="682">
        <f t="shared" si="55"/>
        <v>0</v>
      </c>
      <c r="DO429" s="683"/>
    </row>
    <row r="430" spans="1:119" ht="25.5" customHeight="1" thickTop="1" thickBot="1" x14ac:dyDescent="0.2">
      <c r="A430" s="676">
        <f t="shared" si="51"/>
        <v>415</v>
      </c>
      <c r="B430" s="1054"/>
      <c r="C430" s="1055"/>
      <c r="D430" s="83"/>
      <c r="E430" s="954"/>
      <c r="F430" s="52"/>
      <c r="G430" s="103"/>
      <c r="H430" s="1058"/>
      <c r="I430" s="684" t="str">
        <f t="shared" si="48"/>
        <v/>
      </c>
      <c r="J430" s="685">
        <f t="shared" si="49"/>
        <v>0</v>
      </c>
      <c r="K430" s="1258"/>
      <c r="L430" s="1251"/>
      <c r="M430" s="1257"/>
      <c r="N430" s="719" t="str">
        <f t="shared" si="52"/>
        <v/>
      </c>
      <c r="O430" s="720" t="str">
        <f>IF('Set up ~ Config'!$G$32=6,IF(OR($N430=7,$N430=8,$N430=9),1,IF(OR($N430=10,$N430=11,$N430=12),2,IF(OR($N430=1,$N430=2,$N430=3),3,IF(OR($N430=4,$N430=5,$N430=6),4,"")))),IF(OR($N430=9,$N430=10,$N430=11),1,IF(OR($N430=12,$N430=1,$N430=2),2,IF(OR($N430=3,$N430=4,$N430=5),3,IF(OR($N430=6,$N430=7,$N430=8),4,"")))))</f>
        <v/>
      </c>
      <c r="P430" s="99"/>
      <c r="Q430" s="62"/>
      <c r="R430" s="62"/>
      <c r="S430" s="51"/>
      <c r="T430" s="51"/>
      <c r="U430" s="51"/>
      <c r="V430" s="51"/>
      <c r="W430" s="51"/>
      <c r="X430" s="51"/>
      <c r="Y430" s="51"/>
      <c r="Z430" s="51"/>
      <c r="AA430" s="51"/>
      <c r="AB430" s="51"/>
      <c r="AC430" s="51"/>
      <c r="AD430" s="51"/>
      <c r="AE430" s="51"/>
      <c r="AF430" s="51"/>
      <c r="AG430" s="51"/>
      <c r="AH430" s="94"/>
      <c r="AI430" s="94"/>
      <c r="AJ430" s="94"/>
      <c r="AK430" s="94"/>
      <c r="AL430" s="94"/>
      <c r="AM430" s="94"/>
      <c r="AN430" s="94"/>
      <c r="AO430" s="95"/>
      <c r="AP430" s="686">
        <f t="shared" si="53"/>
        <v>0</v>
      </c>
      <c r="AQ430" s="42"/>
      <c r="AR430" s="42"/>
      <c r="AS430" s="42"/>
      <c r="AT430" s="43"/>
      <c r="AU430" s="687">
        <f t="shared" si="54"/>
        <v>0</v>
      </c>
      <c r="AV430" s="42"/>
      <c r="AW430" s="42"/>
      <c r="AX430" s="42"/>
      <c r="AY430" s="43"/>
      <c r="AZ430" s="486"/>
      <c r="BA430" s="51"/>
      <c r="BB430" s="51"/>
      <c r="BC430" s="51"/>
      <c r="BD430" s="51"/>
      <c r="BE430" s="51"/>
      <c r="BF430" s="51"/>
      <c r="BG430" s="51"/>
      <c r="BH430" s="94"/>
      <c r="BI430" s="94"/>
      <c r="BJ430" s="94"/>
      <c r="BK430" s="94"/>
      <c r="BL430" s="94"/>
      <c r="BM430" s="483"/>
      <c r="BN430" s="94"/>
      <c r="BO430" s="94"/>
      <c r="BP430" s="94"/>
      <c r="BQ430" s="94"/>
      <c r="BR430" s="94"/>
      <c r="BS430" s="94"/>
      <c r="BT430" s="94"/>
      <c r="BU430" s="94"/>
      <c r="BV430" s="94"/>
      <c r="BW430" s="688">
        <f t="shared" si="50"/>
        <v>0</v>
      </c>
      <c r="BX430" s="51"/>
      <c r="BY430" s="51"/>
      <c r="BZ430" s="51"/>
      <c r="CA430" s="51"/>
      <c r="CB430" s="51"/>
      <c r="CC430" s="51"/>
      <c r="CD430" s="97"/>
      <c r="CE430" s="479"/>
      <c r="CF430" s="51"/>
      <c r="CG430" s="51"/>
      <c r="CH430" s="62"/>
      <c r="CI430" s="62"/>
      <c r="CJ430" s="51"/>
      <c r="CK430" s="51"/>
      <c r="CL430" s="95"/>
      <c r="CM430" s="93"/>
      <c r="CN430" s="51"/>
      <c r="CO430" s="51"/>
      <c r="CP430" s="51"/>
      <c r="CQ430" s="51"/>
      <c r="CR430" s="51"/>
      <c r="CS430" s="51"/>
      <c r="CT430" s="51"/>
      <c r="CU430" s="95"/>
      <c r="CV430" s="93"/>
      <c r="CW430" s="51"/>
      <c r="CX430" s="51"/>
      <c r="CY430" s="51"/>
      <c r="CZ430" s="51"/>
      <c r="DA430" s="51"/>
      <c r="DB430" s="51"/>
      <c r="DC430" s="51"/>
      <c r="DD430" s="95"/>
      <c r="DE430" s="93"/>
      <c r="DF430" s="51"/>
      <c r="DG430" s="51"/>
      <c r="DH430" s="51"/>
      <c r="DI430" s="51"/>
      <c r="DJ430" s="51"/>
      <c r="DK430" s="51"/>
      <c r="DL430" s="95"/>
      <c r="DM430" s="478"/>
      <c r="DN430" s="682">
        <f t="shared" si="55"/>
        <v>0</v>
      </c>
      <c r="DO430" s="683"/>
    </row>
    <row r="431" spans="1:119" ht="25.5" customHeight="1" thickTop="1" thickBot="1" x14ac:dyDescent="0.2">
      <c r="A431" s="676">
        <f t="shared" si="51"/>
        <v>416</v>
      </c>
      <c r="B431" s="1054"/>
      <c r="C431" s="1055"/>
      <c r="D431" s="83"/>
      <c r="E431" s="954"/>
      <c r="F431" s="52"/>
      <c r="G431" s="103"/>
      <c r="H431" s="1058"/>
      <c r="I431" s="684" t="str">
        <f t="shared" si="48"/>
        <v/>
      </c>
      <c r="J431" s="685">
        <f t="shared" si="49"/>
        <v>0</v>
      </c>
      <c r="K431" s="1258"/>
      <c r="L431" s="1251"/>
      <c r="M431" s="1257"/>
      <c r="N431" s="719" t="str">
        <f t="shared" si="52"/>
        <v/>
      </c>
      <c r="O431" s="720" t="str">
        <f>IF('Set up ~ Config'!$G$32=6,IF(OR($N431=7,$N431=8,$N431=9),1,IF(OR($N431=10,$N431=11,$N431=12),2,IF(OR($N431=1,$N431=2,$N431=3),3,IF(OR($N431=4,$N431=5,$N431=6),4,"")))),IF(OR($N431=9,$N431=10,$N431=11),1,IF(OR($N431=12,$N431=1,$N431=2),2,IF(OR($N431=3,$N431=4,$N431=5),3,IF(OR($N431=6,$N431=7,$N431=8),4,"")))))</f>
        <v/>
      </c>
      <c r="P431" s="99"/>
      <c r="Q431" s="62"/>
      <c r="R431" s="62"/>
      <c r="S431" s="51"/>
      <c r="T431" s="51"/>
      <c r="U431" s="51"/>
      <c r="V431" s="51"/>
      <c r="W431" s="51"/>
      <c r="X431" s="51"/>
      <c r="Y431" s="51"/>
      <c r="Z431" s="51"/>
      <c r="AA431" s="51"/>
      <c r="AB431" s="51"/>
      <c r="AC431" s="51"/>
      <c r="AD431" s="51"/>
      <c r="AE431" s="51"/>
      <c r="AF431" s="51"/>
      <c r="AG431" s="51"/>
      <c r="AH431" s="94"/>
      <c r="AI431" s="94"/>
      <c r="AJ431" s="94"/>
      <c r="AK431" s="94"/>
      <c r="AL431" s="94"/>
      <c r="AM431" s="94"/>
      <c r="AN431" s="94"/>
      <c r="AO431" s="95"/>
      <c r="AP431" s="686">
        <f t="shared" si="53"/>
        <v>0</v>
      </c>
      <c r="AQ431" s="42"/>
      <c r="AR431" s="42"/>
      <c r="AS431" s="42"/>
      <c r="AT431" s="43"/>
      <c r="AU431" s="687">
        <f t="shared" si="54"/>
        <v>0</v>
      </c>
      <c r="AV431" s="42"/>
      <c r="AW431" s="42"/>
      <c r="AX431" s="42"/>
      <c r="AY431" s="43"/>
      <c r="AZ431" s="486"/>
      <c r="BA431" s="51"/>
      <c r="BB431" s="51"/>
      <c r="BC431" s="51"/>
      <c r="BD431" s="51"/>
      <c r="BE431" s="51"/>
      <c r="BF431" s="51"/>
      <c r="BG431" s="51"/>
      <c r="BH431" s="94"/>
      <c r="BI431" s="94"/>
      <c r="BJ431" s="94"/>
      <c r="BK431" s="94"/>
      <c r="BL431" s="94"/>
      <c r="BM431" s="483"/>
      <c r="BN431" s="94"/>
      <c r="BO431" s="94"/>
      <c r="BP431" s="94"/>
      <c r="BQ431" s="94"/>
      <c r="BR431" s="94"/>
      <c r="BS431" s="94"/>
      <c r="BT431" s="94"/>
      <c r="BU431" s="94"/>
      <c r="BV431" s="94"/>
      <c r="BW431" s="688">
        <f t="shared" si="50"/>
        <v>0</v>
      </c>
      <c r="BX431" s="51"/>
      <c r="BY431" s="51"/>
      <c r="BZ431" s="51"/>
      <c r="CA431" s="51"/>
      <c r="CB431" s="51"/>
      <c r="CC431" s="51"/>
      <c r="CD431" s="97"/>
      <c r="CE431" s="479"/>
      <c r="CF431" s="51"/>
      <c r="CG431" s="51"/>
      <c r="CH431" s="62"/>
      <c r="CI431" s="62"/>
      <c r="CJ431" s="51"/>
      <c r="CK431" s="51"/>
      <c r="CL431" s="95"/>
      <c r="CM431" s="93"/>
      <c r="CN431" s="51"/>
      <c r="CO431" s="51"/>
      <c r="CP431" s="51"/>
      <c r="CQ431" s="51"/>
      <c r="CR431" s="51"/>
      <c r="CS431" s="51"/>
      <c r="CT431" s="51"/>
      <c r="CU431" s="95"/>
      <c r="CV431" s="93"/>
      <c r="CW431" s="51"/>
      <c r="CX431" s="51"/>
      <c r="CY431" s="51"/>
      <c r="CZ431" s="51"/>
      <c r="DA431" s="51"/>
      <c r="DB431" s="51"/>
      <c r="DC431" s="51"/>
      <c r="DD431" s="95"/>
      <c r="DE431" s="93"/>
      <c r="DF431" s="51"/>
      <c r="DG431" s="51"/>
      <c r="DH431" s="51"/>
      <c r="DI431" s="51"/>
      <c r="DJ431" s="51"/>
      <c r="DK431" s="51"/>
      <c r="DL431" s="95"/>
      <c r="DM431" s="478"/>
      <c r="DN431" s="682">
        <f t="shared" si="55"/>
        <v>0</v>
      </c>
      <c r="DO431" s="683"/>
    </row>
    <row r="432" spans="1:119" ht="25.5" customHeight="1" thickTop="1" thickBot="1" x14ac:dyDescent="0.2">
      <c r="A432" s="676">
        <f t="shared" si="51"/>
        <v>417</v>
      </c>
      <c r="B432" s="1054"/>
      <c r="C432" s="1055"/>
      <c r="D432" s="83"/>
      <c r="E432" s="954"/>
      <c r="F432" s="52"/>
      <c r="G432" s="103"/>
      <c r="H432" s="1058"/>
      <c r="I432" s="684" t="str">
        <f t="shared" si="48"/>
        <v/>
      </c>
      <c r="J432" s="685">
        <f t="shared" si="49"/>
        <v>0</v>
      </c>
      <c r="K432" s="1258"/>
      <c r="L432" s="1251"/>
      <c r="M432" s="1257"/>
      <c r="N432" s="719" t="str">
        <f t="shared" si="52"/>
        <v/>
      </c>
      <c r="O432" s="720" t="str">
        <f>IF('Set up ~ Config'!$G$32=6,IF(OR($N432=7,$N432=8,$N432=9),1,IF(OR($N432=10,$N432=11,$N432=12),2,IF(OR($N432=1,$N432=2,$N432=3),3,IF(OR($N432=4,$N432=5,$N432=6),4,"")))),IF(OR($N432=9,$N432=10,$N432=11),1,IF(OR($N432=12,$N432=1,$N432=2),2,IF(OR($N432=3,$N432=4,$N432=5),3,IF(OR($N432=6,$N432=7,$N432=8),4,"")))))</f>
        <v/>
      </c>
      <c r="P432" s="99"/>
      <c r="Q432" s="62"/>
      <c r="R432" s="62"/>
      <c r="S432" s="51"/>
      <c r="T432" s="51"/>
      <c r="U432" s="51"/>
      <c r="V432" s="51"/>
      <c r="W432" s="51"/>
      <c r="X432" s="51"/>
      <c r="Y432" s="51"/>
      <c r="Z432" s="51"/>
      <c r="AA432" s="51"/>
      <c r="AB432" s="51"/>
      <c r="AC432" s="51"/>
      <c r="AD432" s="51"/>
      <c r="AE432" s="51"/>
      <c r="AF432" s="51"/>
      <c r="AG432" s="51"/>
      <c r="AH432" s="94"/>
      <c r="AI432" s="94"/>
      <c r="AJ432" s="94"/>
      <c r="AK432" s="94"/>
      <c r="AL432" s="94"/>
      <c r="AM432" s="94"/>
      <c r="AN432" s="94"/>
      <c r="AO432" s="95"/>
      <c r="AP432" s="686">
        <f t="shared" si="53"/>
        <v>0</v>
      </c>
      <c r="AQ432" s="42"/>
      <c r="AR432" s="42"/>
      <c r="AS432" s="42"/>
      <c r="AT432" s="43"/>
      <c r="AU432" s="687">
        <f t="shared" si="54"/>
        <v>0</v>
      </c>
      <c r="AV432" s="42"/>
      <c r="AW432" s="42"/>
      <c r="AX432" s="42"/>
      <c r="AY432" s="43"/>
      <c r="AZ432" s="486"/>
      <c r="BA432" s="51"/>
      <c r="BB432" s="51"/>
      <c r="BC432" s="51"/>
      <c r="BD432" s="51"/>
      <c r="BE432" s="51"/>
      <c r="BF432" s="51"/>
      <c r="BG432" s="51"/>
      <c r="BH432" s="94"/>
      <c r="BI432" s="94"/>
      <c r="BJ432" s="94"/>
      <c r="BK432" s="94"/>
      <c r="BL432" s="94"/>
      <c r="BM432" s="483"/>
      <c r="BN432" s="94"/>
      <c r="BO432" s="94"/>
      <c r="BP432" s="94"/>
      <c r="BQ432" s="94"/>
      <c r="BR432" s="94"/>
      <c r="BS432" s="94"/>
      <c r="BT432" s="94"/>
      <c r="BU432" s="94"/>
      <c r="BV432" s="94"/>
      <c r="BW432" s="688">
        <f t="shared" si="50"/>
        <v>0</v>
      </c>
      <c r="BX432" s="51"/>
      <c r="BY432" s="51"/>
      <c r="BZ432" s="51"/>
      <c r="CA432" s="51"/>
      <c r="CB432" s="51"/>
      <c r="CC432" s="51"/>
      <c r="CD432" s="97"/>
      <c r="CE432" s="479"/>
      <c r="CF432" s="51"/>
      <c r="CG432" s="51"/>
      <c r="CH432" s="62"/>
      <c r="CI432" s="62"/>
      <c r="CJ432" s="51"/>
      <c r="CK432" s="51"/>
      <c r="CL432" s="95"/>
      <c r="CM432" s="93"/>
      <c r="CN432" s="51"/>
      <c r="CO432" s="51"/>
      <c r="CP432" s="51"/>
      <c r="CQ432" s="51"/>
      <c r="CR432" s="51"/>
      <c r="CS432" s="51"/>
      <c r="CT432" s="51"/>
      <c r="CU432" s="95"/>
      <c r="CV432" s="93"/>
      <c r="CW432" s="51"/>
      <c r="CX432" s="51"/>
      <c r="CY432" s="51"/>
      <c r="CZ432" s="51"/>
      <c r="DA432" s="51"/>
      <c r="DB432" s="51"/>
      <c r="DC432" s="51"/>
      <c r="DD432" s="95"/>
      <c r="DE432" s="93"/>
      <c r="DF432" s="51"/>
      <c r="DG432" s="51"/>
      <c r="DH432" s="51"/>
      <c r="DI432" s="51"/>
      <c r="DJ432" s="51"/>
      <c r="DK432" s="51"/>
      <c r="DL432" s="95"/>
      <c r="DM432" s="478"/>
      <c r="DN432" s="682">
        <f t="shared" si="55"/>
        <v>0</v>
      </c>
      <c r="DO432" s="683"/>
    </row>
    <row r="433" spans="1:119" ht="25.5" customHeight="1" thickTop="1" thickBot="1" x14ac:dyDescent="0.2">
      <c r="A433" s="676">
        <f t="shared" si="51"/>
        <v>418</v>
      </c>
      <c r="B433" s="1054"/>
      <c r="C433" s="1055"/>
      <c r="D433" s="83"/>
      <c r="E433" s="954"/>
      <c r="F433" s="52"/>
      <c r="G433" s="103"/>
      <c r="H433" s="1058"/>
      <c r="I433" s="684" t="str">
        <f t="shared" si="48"/>
        <v/>
      </c>
      <c r="J433" s="685">
        <f t="shared" si="49"/>
        <v>0</v>
      </c>
      <c r="K433" s="1258"/>
      <c r="L433" s="1251"/>
      <c r="M433" s="1257"/>
      <c r="N433" s="719" t="str">
        <f t="shared" si="52"/>
        <v/>
      </c>
      <c r="O433" s="720" t="str">
        <f>IF('Set up ~ Config'!$G$32=6,IF(OR($N433=7,$N433=8,$N433=9),1,IF(OR($N433=10,$N433=11,$N433=12),2,IF(OR($N433=1,$N433=2,$N433=3),3,IF(OR($N433=4,$N433=5,$N433=6),4,"")))),IF(OR($N433=9,$N433=10,$N433=11),1,IF(OR($N433=12,$N433=1,$N433=2),2,IF(OR($N433=3,$N433=4,$N433=5),3,IF(OR($N433=6,$N433=7,$N433=8),4,"")))))</f>
        <v/>
      </c>
      <c r="P433" s="99"/>
      <c r="Q433" s="62"/>
      <c r="R433" s="62"/>
      <c r="S433" s="51"/>
      <c r="T433" s="51"/>
      <c r="U433" s="51"/>
      <c r="V433" s="51"/>
      <c r="W433" s="51"/>
      <c r="X433" s="51"/>
      <c r="Y433" s="51"/>
      <c r="Z433" s="51"/>
      <c r="AA433" s="51"/>
      <c r="AB433" s="51"/>
      <c r="AC433" s="51"/>
      <c r="AD433" s="51"/>
      <c r="AE433" s="51"/>
      <c r="AF433" s="51"/>
      <c r="AG433" s="51"/>
      <c r="AH433" s="94"/>
      <c r="AI433" s="94"/>
      <c r="AJ433" s="94"/>
      <c r="AK433" s="94"/>
      <c r="AL433" s="94"/>
      <c r="AM433" s="94"/>
      <c r="AN433" s="94"/>
      <c r="AO433" s="95"/>
      <c r="AP433" s="686">
        <f t="shared" si="53"/>
        <v>0</v>
      </c>
      <c r="AQ433" s="42"/>
      <c r="AR433" s="42"/>
      <c r="AS433" s="42"/>
      <c r="AT433" s="43"/>
      <c r="AU433" s="687">
        <f t="shared" si="54"/>
        <v>0</v>
      </c>
      <c r="AV433" s="42"/>
      <c r="AW433" s="42"/>
      <c r="AX433" s="42"/>
      <c r="AY433" s="43"/>
      <c r="AZ433" s="486"/>
      <c r="BA433" s="51"/>
      <c r="BB433" s="51"/>
      <c r="BC433" s="51"/>
      <c r="BD433" s="51"/>
      <c r="BE433" s="51"/>
      <c r="BF433" s="51"/>
      <c r="BG433" s="51"/>
      <c r="BH433" s="94"/>
      <c r="BI433" s="94"/>
      <c r="BJ433" s="94"/>
      <c r="BK433" s="94"/>
      <c r="BL433" s="94"/>
      <c r="BM433" s="483"/>
      <c r="BN433" s="94"/>
      <c r="BO433" s="94"/>
      <c r="BP433" s="94"/>
      <c r="BQ433" s="94"/>
      <c r="BR433" s="94"/>
      <c r="BS433" s="94"/>
      <c r="BT433" s="94"/>
      <c r="BU433" s="94"/>
      <c r="BV433" s="94"/>
      <c r="BW433" s="688">
        <f t="shared" si="50"/>
        <v>0</v>
      </c>
      <c r="BX433" s="51"/>
      <c r="BY433" s="51"/>
      <c r="BZ433" s="51"/>
      <c r="CA433" s="51"/>
      <c r="CB433" s="51"/>
      <c r="CC433" s="51"/>
      <c r="CD433" s="97"/>
      <c r="CE433" s="479"/>
      <c r="CF433" s="51"/>
      <c r="CG433" s="51"/>
      <c r="CH433" s="62"/>
      <c r="CI433" s="62"/>
      <c r="CJ433" s="51"/>
      <c r="CK433" s="51"/>
      <c r="CL433" s="95"/>
      <c r="CM433" s="93"/>
      <c r="CN433" s="51"/>
      <c r="CO433" s="51"/>
      <c r="CP433" s="51"/>
      <c r="CQ433" s="51"/>
      <c r="CR433" s="51"/>
      <c r="CS433" s="51"/>
      <c r="CT433" s="51"/>
      <c r="CU433" s="95"/>
      <c r="CV433" s="93"/>
      <c r="CW433" s="51"/>
      <c r="CX433" s="51"/>
      <c r="CY433" s="51"/>
      <c r="CZ433" s="51"/>
      <c r="DA433" s="51"/>
      <c r="DB433" s="51"/>
      <c r="DC433" s="51"/>
      <c r="DD433" s="95"/>
      <c r="DE433" s="93"/>
      <c r="DF433" s="51"/>
      <c r="DG433" s="51"/>
      <c r="DH433" s="51"/>
      <c r="DI433" s="51"/>
      <c r="DJ433" s="51"/>
      <c r="DK433" s="51"/>
      <c r="DL433" s="95"/>
      <c r="DM433" s="478"/>
      <c r="DN433" s="682">
        <f t="shared" si="55"/>
        <v>0</v>
      </c>
      <c r="DO433" s="683"/>
    </row>
    <row r="434" spans="1:119" ht="25.5" customHeight="1" thickTop="1" thickBot="1" x14ac:dyDescent="0.2">
      <c r="A434" s="676">
        <f t="shared" si="51"/>
        <v>419</v>
      </c>
      <c r="B434" s="1054"/>
      <c r="C434" s="1055"/>
      <c r="D434" s="83"/>
      <c r="E434" s="954"/>
      <c r="F434" s="52"/>
      <c r="G434" s="103"/>
      <c r="H434" s="1058"/>
      <c r="I434" s="684" t="str">
        <f t="shared" si="48"/>
        <v/>
      </c>
      <c r="J434" s="685">
        <f t="shared" si="49"/>
        <v>0</v>
      </c>
      <c r="K434" s="1258"/>
      <c r="L434" s="1251"/>
      <c r="M434" s="1257"/>
      <c r="N434" s="719" t="str">
        <f t="shared" si="52"/>
        <v/>
      </c>
      <c r="O434" s="720" t="str">
        <f>IF('Set up ~ Config'!$G$32=6,IF(OR($N434=7,$N434=8,$N434=9),1,IF(OR($N434=10,$N434=11,$N434=12),2,IF(OR($N434=1,$N434=2,$N434=3),3,IF(OR($N434=4,$N434=5,$N434=6),4,"")))),IF(OR($N434=9,$N434=10,$N434=11),1,IF(OR($N434=12,$N434=1,$N434=2),2,IF(OR($N434=3,$N434=4,$N434=5),3,IF(OR($N434=6,$N434=7,$N434=8),4,"")))))</f>
        <v/>
      </c>
      <c r="P434" s="99"/>
      <c r="Q434" s="62"/>
      <c r="R434" s="62"/>
      <c r="S434" s="51"/>
      <c r="T434" s="51"/>
      <c r="U434" s="51"/>
      <c r="V434" s="51"/>
      <c r="W434" s="51"/>
      <c r="X434" s="51"/>
      <c r="Y434" s="51"/>
      <c r="Z434" s="51"/>
      <c r="AA434" s="51"/>
      <c r="AB434" s="51"/>
      <c r="AC434" s="51"/>
      <c r="AD434" s="51"/>
      <c r="AE434" s="51"/>
      <c r="AF434" s="51"/>
      <c r="AG434" s="51"/>
      <c r="AH434" s="94"/>
      <c r="AI434" s="94"/>
      <c r="AJ434" s="94"/>
      <c r="AK434" s="94"/>
      <c r="AL434" s="94"/>
      <c r="AM434" s="94"/>
      <c r="AN434" s="94"/>
      <c r="AO434" s="95"/>
      <c r="AP434" s="686">
        <f t="shared" si="53"/>
        <v>0</v>
      </c>
      <c r="AQ434" s="42"/>
      <c r="AR434" s="42"/>
      <c r="AS434" s="42"/>
      <c r="AT434" s="43"/>
      <c r="AU434" s="687">
        <f t="shared" si="54"/>
        <v>0</v>
      </c>
      <c r="AV434" s="42"/>
      <c r="AW434" s="42"/>
      <c r="AX434" s="42"/>
      <c r="AY434" s="43"/>
      <c r="AZ434" s="486"/>
      <c r="BA434" s="51"/>
      <c r="BB434" s="51"/>
      <c r="BC434" s="51"/>
      <c r="BD434" s="51"/>
      <c r="BE434" s="51"/>
      <c r="BF434" s="51"/>
      <c r="BG434" s="51"/>
      <c r="BH434" s="94"/>
      <c r="BI434" s="94"/>
      <c r="BJ434" s="94"/>
      <c r="BK434" s="94"/>
      <c r="BL434" s="94"/>
      <c r="BM434" s="483"/>
      <c r="BN434" s="94"/>
      <c r="BO434" s="94"/>
      <c r="BP434" s="94"/>
      <c r="BQ434" s="94"/>
      <c r="BR434" s="94"/>
      <c r="BS434" s="94"/>
      <c r="BT434" s="94"/>
      <c r="BU434" s="94"/>
      <c r="BV434" s="94"/>
      <c r="BW434" s="688">
        <f t="shared" si="50"/>
        <v>0</v>
      </c>
      <c r="BX434" s="51"/>
      <c r="BY434" s="51"/>
      <c r="BZ434" s="51"/>
      <c r="CA434" s="51"/>
      <c r="CB434" s="51"/>
      <c r="CC434" s="51"/>
      <c r="CD434" s="97"/>
      <c r="CE434" s="479"/>
      <c r="CF434" s="51"/>
      <c r="CG434" s="51"/>
      <c r="CH434" s="62"/>
      <c r="CI434" s="62"/>
      <c r="CJ434" s="51"/>
      <c r="CK434" s="51"/>
      <c r="CL434" s="95"/>
      <c r="CM434" s="93"/>
      <c r="CN434" s="51"/>
      <c r="CO434" s="51"/>
      <c r="CP434" s="51"/>
      <c r="CQ434" s="51"/>
      <c r="CR434" s="51"/>
      <c r="CS434" s="51"/>
      <c r="CT434" s="51"/>
      <c r="CU434" s="95"/>
      <c r="CV434" s="93"/>
      <c r="CW434" s="51"/>
      <c r="CX434" s="51"/>
      <c r="CY434" s="51"/>
      <c r="CZ434" s="51"/>
      <c r="DA434" s="51"/>
      <c r="DB434" s="51"/>
      <c r="DC434" s="51"/>
      <c r="DD434" s="95"/>
      <c r="DE434" s="93"/>
      <c r="DF434" s="51"/>
      <c r="DG434" s="51"/>
      <c r="DH434" s="51"/>
      <c r="DI434" s="51"/>
      <c r="DJ434" s="51"/>
      <c r="DK434" s="51"/>
      <c r="DL434" s="95"/>
      <c r="DM434" s="478"/>
      <c r="DN434" s="682">
        <f t="shared" si="55"/>
        <v>0</v>
      </c>
      <c r="DO434" s="683"/>
    </row>
    <row r="435" spans="1:119" ht="25.5" customHeight="1" thickTop="1" thickBot="1" x14ac:dyDescent="0.2">
      <c r="A435" s="676">
        <f t="shared" si="51"/>
        <v>420</v>
      </c>
      <c r="B435" s="1054"/>
      <c r="C435" s="1055"/>
      <c r="D435" s="83"/>
      <c r="E435" s="954"/>
      <c r="F435" s="52"/>
      <c r="G435" s="103"/>
      <c r="H435" s="1058"/>
      <c r="I435" s="684" t="str">
        <f t="shared" si="48"/>
        <v/>
      </c>
      <c r="J435" s="685">
        <f t="shared" si="49"/>
        <v>0</v>
      </c>
      <c r="K435" s="1258"/>
      <c r="L435" s="1251"/>
      <c r="M435" s="1257"/>
      <c r="N435" s="719" t="str">
        <f t="shared" si="52"/>
        <v/>
      </c>
      <c r="O435" s="720" t="str">
        <f>IF('Set up ~ Config'!$G$32=6,IF(OR($N435=7,$N435=8,$N435=9),1,IF(OR($N435=10,$N435=11,$N435=12),2,IF(OR($N435=1,$N435=2,$N435=3),3,IF(OR($N435=4,$N435=5,$N435=6),4,"")))),IF(OR($N435=9,$N435=10,$N435=11),1,IF(OR($N435=12,$N435=1,$N435=2),2,IF(OR($N435=3,$N435=4,$N435=5),3,IF(OR($N435=6,$N435=7,$N435=8),4,"")))))</f>
        <v/>
      </c>
      <c r="P435" s="99"/>
      <c r="Q435" s="62"/>
      <c r="R435" s="62"/>
      <c r="S435" s="51"/>
      <c r="T435" s="51"/>
      <c r="U435" s="51"/>
      <c r="V435" s="51"/>
      <c r="W435" s="51"/>
      <c r="X435" s="51"/>
      <c r="Y435" s="51"/>
      <c r="Z435" s="51"/>
      <c r="AA435" s="51"/>
      <c r="AB435" s="51"/>
      <c r="AC435" s="51"/>
      <c r="AD435" s="51"/>
      <c r="AE435" s="51"/>
      <c r="AF435" s="51"/>
      <c r="AG435" s="51"/>
      <c r="AH435" s="94"/>
      <c r="AI435" s="94"/>
      <c r="AJ435" s="94"/>
      <c r="AK435" s="94"/>
      <c r="AL435" s="94"/>
      <c r="AM435" s="94"/>
      <c r="AN435" s="94"/>
      <c r="AO435" s="95"/>
      <c r="AP435" s="686">
        <f t="shared" si="53"/>
        <v>0</v>
      </c>
      <c r="AQ435" s="42"/>
      <c r="AR435" s="42"/>
      <c r="AS435" s="42"/>
      <c r="AT435" s="43"/>
      <c r="AU435" s="687">
        <f t="shared" si="54"/>
        <v>0</v>
      </c>
      <c r="AV435" s="42"/>
      <c r="AW435" s="42"/>
      <c r="AX435" s="42"/>
      <c r="AY435" s="43"/>
      <c r="AZ435" s="486"/>
      <c r="BA435" s="51"/>
      <c r="BB435" s="51"/>
      <c r="BC435" s="51"/>
      <c r="BD435" s="51"/>
      <c r="BE435" s="51"/>
      <c r="BF435" s="51"/>
      <c r="BG435" s="51"/>
      <c r="BH435" s="94"/>
      <c r="BI435" s="94"/>
      <c r="BJ435" s="94"/>
      <c r="BK435" s="94"/>
      <c r="BL435" s="94"/>
      <c r="BM435" s="483"/>
      <c r="BN435" s="94"/>
      <c r="BO435" s="94"/>
      <c r="BP435" s="94"/>
      <c r="BQ435" s="94"/>
      <c r="BR435" s="94"/>
      <c r="BS435" s="94"/>
      <c r="BT435" s="94"/>
      <c r="BU435" s="94"/>
      <c r="BV435" s="94"/>
      <c r="BW435" s="688">
        <f t="shared" si="50"/>
        <v>0</v>
      </c>
      <c r="BX435" s="51"/>
      <c r="BY435" s="51"/>
      <c r="BZ435" s="51"/>
      <c r="CA435" s="51"/>
      <c r="CB435" s="51"/>
      <c r="CC435" s="51"/>
      <c r="CD435" s="97"/>
      <c r="CE435" s="479"/>
      <c r="CF435" s="51"/>
      <c r="CG435" s="51"/>
      <c r="CH435" s="62"/>
      <c r="CI435" s="62"/>
      <c r="CJ435" s="51"/>
      <c r="CK435" s="51"/>
      <c r="CL435" s="95"/>
      <c r="CM435" s="93"/>
      <c r="CN435" s="51"/>
      <c r="CO435" s="51"/>
      <c r="CP435" s="51"/>
      <c r="CQ435" s="51"/>
      <c r="CR435" s="51"/>
      <c r="CS435" s="51"/>
      <c r="CT435" s="51"/>
      <c r="CU435" s="95"/>
      <c r="CV435" s="93"/>
      <c r="CW435" s="51"/>
      <c r="CX435" s="51"/>
      <c r="CY435" s="51"/>
      <c r="CZ435" s="51"/>
      <c r="DA435" s="51"/>
      <c r="DB435" s="51"/>
      <c r="DC435" s="51"/>
      <c r="DD435" s="95"/>
      <c r="DE435" s="93"/>
      <c r="DF435" s="51"/>
      <c r="DG435" s="51"/>
      <c r="DH435" s="51"/>
      <c r="DI435" s="51"/>
      <c r="DJ435" s="51"/>
      <c r="DK435" s="51"/>
      <c r="DL435" s="95"/>
      <c r="DM435" s="478"/>
      <c r="DN435" s="682">
        <f t="shared" si="55"/>
        <v>0</v>
      </c>
      <c r="DO435" s="683"/>
    </row>
    <row r="436" spans="1:119" ht="25.5" customHeight="1" thickTop="1" thickBot="1" x14ac:dyDescent="0.2">
      <c r="A436" s="676">
        <f t="shared" si="51"/>
        <v>421</v>
      </c>
      <c r="B436" s="1054"/>
      <c r="C436" s="1055"/>
      <c r="D436" s="83"/>
      <c r="E436" s="954"/>
      <c r="F436" s="52"/>
      <c r="G436" s="103"/>
      <c r="H436" s="1058"/>
      <c r="I436" s="684" t="str">
        <f t="shared" si="48"/>
        <v/>
      </c>
      <c r="J436" s="685">
        <f t="shared" si="49"/>
        <v>0</v>
      </c>
      <c r="K436" s="1258"/>
      <c r="L436" s="1251"/>
      <c r="M436" s="1257"/>
      <c r="N436" s="719" t="str">
        <f t="shared" si="52"/>
        <v/>
      </c>
      <c r="O436" s="720" t="str">
        <f>IF('Set up ~ Config'!$G$32=6,IF(OR($N436=7,$N436=8,$N436=9),1,IF(OR($N436=10,$N436=11,$N436=12),2,IF(OR($N436=1,$N436=2,$N436=3),3,IF(OR($N436=4,$N436=5,$N436=6),4,"")))),IF(OR($N436=9,$N436=10,$N436=11),1,IF(OR($N436=12,$N436=1,$N436=2),2,IF(OR($N436=3,$N436=4,$N436=5),3,IF(OR($N436=6,$N436=7,$N436=8),4,"")))))</f>
        <v/>
      </c>
      <c r="P436" s="99"/>
      <c r="Q436" s="62"/>
      <c r="R436" s="62"/>
      <c r="S436" s="51"/>
      <c r="T436" s="51"/>
      <c r="U436" s="51"/>
      <c r="V436" s="51"/>
      <c r="W436" s="51"/>
      <c r="X436" s="51"/>
      <c r="Y436" s="51"/>
      <c r="Z436" s="51"/>
      <c r="AA436" s="51"/>
      <c r="AB436" s="51"/>
      <c r="AC436" s="51"/>
      <c r="AD436" s="51"/>
      <c r="AE436" s="51"/>
      <c r="AF436" s="51"/>
      <c r="AG436" s="51"/>
      <c r="AH436" s="94"/>
      <c r="AI436" s="94"/>
      <c r="AJ436" s="94"/>
      <c r="AK436" s="94"/>
      <c r="AL436" s="94"/>
      <c r="AM436" s="94"/>
      <c r="AN436" s="94"/>
      <c r="AO436" s="95"/>
      <c r="AP436" s="686">
        <f t="shared" si="53"/>
        <v>0</v>
      </c>
      <c r="AQ436" s="42"/>
      <c r="AR436" s="42"/>
      <c r="AS436" s="42"/>
      <c r="AT436" s="43"/>
      <c r="AU436" s="687">
        <f t="shared" si="54"/>
        <v>0</v>
      </c>
      <c r="AV436" s="42"/>
      <c r="AW436" s="42"/>
      <c r="AX436" s="42"/>
      <c r="AY436" s="43"/>
      <c r="AZ436" s="486"/>
      <c r="BA436" s="51"/>
      <c r="BB436" s="51"/>
      <c r="BC436" s="51"/>
      <c r="BD436" s="51"/>
      <c r="BE436" s="51"/>
      <c r="BF436" s="51"/>
      <c r="BG436" s="51"/>
      <c r="BH436" s="94"/>
      <c r="BI436" s="94"/>
      <c r="BJ436" s="94"/>
      <c r="BK436" s="94"/>
      <c r="BL436" s="94"/>
      <c r="BM436" s="483"/>
      <c r="BN436" s="94"/>
      <c r="BO436" s="94"/>
      <c r="BP436" s="94"/>
      <c r="BQ436" s="94"/>
      <c r="BR436" s="94"/>
      <c r="BS436" s="94"/>
      <c r="BT436" s="94"/>
      <c r="BU436" s="94"/>
      <c r="BV436" s="94"/>
      <c r="BW436" s="688">
        <f t="shared" si="50"/>
        <v>0</v>
      </c>
      <c r="BX436" s="51"/>
      <c r="BY436" s="51"/>
      <c r="BZ436" s="51"/>
      <c r="CA436" s="51"/>
      <c r="CB436" s="51"/>
      <c r="CC436" s="51"/>
      <c r="CD436" s="97"/>
      <c r="CE436" s="479"/>
      <c r="CF436" s="51"/>
      <c r="CG436" s="51"/>
      <c r="CH436" s="62"/>
      <c r="CI436" s="62"/>
      <c r="CJ436" s="51"/>
      <c r="CK436" s="51"/>
      <c r="CL436" s="95"/>
      <c r="CM436" s="93"/>
      <c r="CN436" s="51"/>
      <c r="CO436" s="51"/>
      <c r="CP436" s="51"/>
      <c r="CQ436" s="51"/>
      <c r="CR436" s="51"/>
      <c r="CS436" s="51"/>
      <c r="CT436" s="51"/>
      <c r="CU436" s="95"/>
      <c r="CV436" s="93"/>
      <c r="CW436" s="51"/>
      <c r="CX436" s="51"/>
      <c r="CY436" s="51"/>
      <c r="CZ436" s="51"/>
      <c r="DA436" s="51"/>
      <c r="DB436" s="51"/>
      <c r="DC436" s="51"/>
      <c r="DD436" s="95"/>
      <c r="DE436" s="93"/>
      <c r="DF436" s="51"/>
      <c r="DG436" s="51"/>
      <c r="DH436" s="51"/>
      <c r="DI436" s="51"/>
      <c r="DJ436" s="51"/>
      <c r="DK436" s="51"/>
      <c r="DL436" s="95"/>
      <c r="DM436" s="478"/>
      <c r="DN436" s="682">
        <f t="shared" si="55"/>
        <v>0</v>
      </c>
      <c r="DO436" s="683"/>
    </row>
    <row r="437" spans="1:119" ht="25.5" customHeight="1" thickTop="1" thickBot="1" x14ac:dyDescent="0.2">
      <c r="A437" s="676">
        <f t="shared" si="51"/>
        <v>422</v>
      </c>
      <c r="B437" s="1054"/>
      <c r="C437" s="1055"/>
      <c r="D437" s="83"/>
      <c r="E437" s="954"/>
      <c r="F437" s="52"/>
      <c r="G437" s="103"/>
      <c r="H437" s="1058"/>
      <c r="I437" s="684" t="str">
        <f t="shared" si="48"/>
        <v/>
      </c>
      <c r="J437" s="685">
        <f t="shared" si="49"/>
        <v>0</v>
      </c>
      <c r="K437" s="1258"/>
      <c r="L437" s="1251"/>
      <c r="M437" s="1257"/>
      <c r="N437" s="719" t="str">
        <f t="shared" si="52"/>
        <v/>
      </c>
      <c r="O437" s="720" t="str">
        <f>IF('Set up ~ Config'!$G$32=6,IF(OR($N437=7,$N437=8,$N437=9),1,IF(OR($N437=10,$N437=11,$N437=12),2,IF(OR($N437=1,$N437=2,$N437=3),3,IF(OR($N437=4,$N437=5,$N437=6),4,"")))),IF(OR($N437=9,$N437=10,$N437=11),1,IF(OR($N437=12,$N437=1,$N437=2),2,IF(OR($N437=3,$N437=4,$N437=5),3,IF(OR($N437=6,$N437=7,$N437=8),4,"")))))</f>
        <v/>
      </c>
      <c r="P437" s="99"/>
      <c r="Q437" s="62"/>
      <c r="R437" s="62"/>
      <c r="S437" s="51"/>
      <c r="T437" s="51"/>
      <c r="U437" s="51"/>
      <c r="V437" s="51"/>
      <c r="W437" s="51"/>
      <c r="X437" s="51"/>
      <c r="Y437" s="51"/>
      <c r="Z437" s="51"/>
      <c r="AA437" s="51"/>
      <c r="AB437" s="51"/>
      <c r="AC437" s="51"/>
      <c r="AD437" s="51"/>
      <c r="AE437" s="51"/>
      <c r="AF437" s="51"/>
      <c r="AG437" s="51"/>
      <c r="AH437" s="94"/>
      <c r="AI437" s="94"/>
      <c r="AJ437" s="94"/>
      <c r="AK437" s="94"/>
      <c r="AL437" s="94"/>
      <c r="AM437" s="94"/>
      <c r="AN437" s="94"/>
      <c r="AO437" s="95"/>
      <c r="AP437" s="686">
        <f t="shared" si="53"/>
        <v>0</v>
      </c>
      <c r="AQ437" s="42"/>
      <c r="AR437" s="42"/>
      <c r="AS437" s="42"/>
      <c r="AT437" s="43"/>
      <c r="AU437" s="687">
        <f t="shared" si="54"/>
        <v>0</v>
      </c>
      <c r="AV437" s="42"/>
      <c r="AW437" s="42"/>
      <c r="AX437" s="42"/>
      <c r="AY437" s="43"/>
      <c r="AZ437" s="486"/>
      <c r="BA437" s="51"/>
      <c r="BB437" s="51"/>
      <c r="BC437" s="51"/>
      <c r="BD437" s="51"/>
      <c r="BE437" s="51"/>
      <c r="BF437" s="51"/>
      <c r="BG437" s="51"/>
      <c r="BH437" s="94"/>
      <c r="BI437" s="94"/>
      <c r="BJ437" s="94"/>
      <c r="BK437" s="94"/>
      <c r="BL437" s="94"/>
      <c r="BM437" s="483"/>
      <c r="BN437" s="94"/>
      <c r="BO437" s="94"/>
      <c r="BP437" s="94"/>
      <c r="BQ437" s="94"/>
      <c r="BR437" s="94"/>
      <c r="BS437" s="94"/>
      <c r="BT437" s="94"/>
      <c r="BU437" s="94"/>
      <c r="BV437" s="94"/>
      <c r="BW437" s="688">
        <f t="shared" si="50"/>
        <v>0</v>
      </c>
      <c r="BX437" s="51"/>
      <c r="BY437" s="51"/>
      <c r="BZ437" s="51"/>
      <c r="CA437" s="51"/>
      <c r="CB437" s="51"/>
      <c r="CC437" s="51"/>
      <c r="CD437" s="97"/>
      <c r="CE437" s="479"/>
      <c r="CF437" s="51"/>
      <c r="CG437" s="51"/>
      <c r="CH437" s="62"/>
      <c r="CI437" s="62"/>
      <c r="CJ437" s="51"/>
      <c r="CK437" s="51"/>
      <c r="CL437" s="95"/>
      <c r="CM437" s="93"/>
      <c r="CN437" s="51"/>
      <c r="CO437" s="51"/>
      <c r="CP437" s="51"/>
      <c r="CQ437" s="51"/>
      <c r="CR437" s="51"/>
      <c r="CS437" s="51"/>
      <c r="CT437" s="51"/>
      <c r="CU437" s="95"/>
      <c r="CV437" s="93"/>
      <c r="CW437" s="51"/>
      <c r="CX437" s="51"/>
      <c r="CY437" s="51"/>
      <c r="CZ437" s="51"/>
      <c r="DA437" s="51"/>
      <c r="DB437" s="51"/>
      <c r="DC437" s="51"/>
      <c r="DD437" s="95"/>
      <c r="DE437" s="93"/>
      <c r="DF437" s="51"/>
      <c r="DG437" s="51"/>
      <c r="DH437" s="51"/>
      <c r="DI437" s="51"/>
      <c r="DJ437" s="51"/>
      <c r="DK437" s="51"/>
      <c r="DL437" s="95"/>
      <c r="DM437" s="478"/>
      <c r="DN437" s="682">
        <f t="shared" si="55"/>
        <v>0</v>
      </c>
      <c r="DO437" s="683"/>
    </row>
    <row r="438" spans="1:119" ht="25.5" customHeight="1" thickTop="1" thickBot="1" x14ac:dyDescent="0.2">
      <c r="A438" s="676">
        <f t="shared" si="51"/>
        <v>423</v>
      </c>
      <c r="B438" s="1054"/>
      <c r="C438" s="1055"/>
      <c r="D438" s="83"/>
      <c r="E438" s="954"/>
      <c r="F438" s="52"/>
      <c r="G438" s="103"/>
      <c r="H438" s="1058"/>
      <c r="I438" s="684" t="str">
        <f t="shared" si="48"/>
        <v/>
      </c>
      <c r="J438" s="685">
        <f t="shared" si="49"/>
        <v>0</v>
      </c>
      <c r="K438" s="1258"/>
      <c r="L438" s="1251"/>
      <c r="M438" s="1257"/>
      <c r="N438" s="719" t="str">
        <f t="shared" si="52"/>
        <v/>
      </c>
      <c r="O438" s="720" t="str">
        <f>IF('Set up ~ Config'!$G$32=6,IF(OR($N438=7,$N438=8,$N438=9),1,IF(OR($N438=10,$N438=11,$N438=12),2,IF(OR($N438=1,$N438=2,$N438=3),3,IF(OR($N438=4,$N438=5,$N438=6),4,"")))),IF(OR($N438=9,$N438=10,$N438=11),1,IF(OR($N438=12,$N438=1,$N438=2),2,IF(OR($N438=3,$N438=4,$N438=5),3,IF(OR($N438=6,$N438=7,$N438=8),4,"")))))</f>
        <v/>
      </c>
      <c r="P438" s="99"/>
      <c r="Q438" s="62"/>
      <c r="R438" s="62"/>
      <c r="S438" s="51"/>
      <c r="T438" s="51"/>
      <c r="U438" s="51"/>
      <c r="V438" s="51"/>
      <c r="W438" s="51"/>
      <c r="X438" s="51"/>
      <c r="Y438" s="51"/>
      <c r="Z438" s="51"/>
      <c r="AA438" s="51"/>
      <c r="AB438" s="51"/>
      <c r="AC438" s="51"/>
      <c r="AD438" s="51"/>
      <c r="AE438" s="51"/>
      <c r="AF438" s="51"/>
      <c r="AG438" s="51"/>
      <c r="AH438" s="94"/>
      <c r="AI438" s="94"/>
      <c r="AJ438" s="94"/>
      <c r="AK438" s="94"/>
      <c r="AL438" s="94"/>
      <c r="AM438" s="94"/>
      <c r="AN438" s="94"/>
      <c r="AO438" s="95"/>
      <c r="AP438" s="686">
        <f t="shared" si="53"/>
        <v>0</v>
      </c>
      <c r="AQ438" s="42"/>
      <c r="AR438" s="42"/>
      <c r="AS438" s="42"/>
      <c r="AT438" s="43"/>
      <c r="AU438" s="687">
        <f t="shared" si="54"/>
        <v>0</v>
      </c>
      <c r="AV438" s="42"/>
      <c r="AW438" s="42"/>
      <c r="AX438" s="42"/>
      <c r="AY438" s="43"/>
      <c r="AZ438" s="486"/>
      <c r="BA438" s="51"/>
      <c r="BB438" s="51"/>
      <c r="BC438" s="51"/>
      <c r="BD438" s="51"/>
      <c r="BE438" s="51"/>
      <c r="BF438" s="51"/>
      <c r="BG438" s="51"/>
      <c r="BH438" s="94"/>
      <c r="BI438" s="94"/>
      <c r="BJ438" s="94"/>
      <c r="BK438" s="94"/>
      <c r="BL438" s="94"/>
      <c r="BM438" s="483"/>
      <c r="BN438" s="94"/>
      <c r="BO438" s="94"/>
      <c r="BP438" s="94"/>
      <c r="BQ438" s="94"/>
      <c r="BR438" s="94"/>
      <c r="BS438" s="94"/>
      <c r="BT438" s="94"/>
      <c r="BU438" s="94"/>
      <c r="BV438" s="94"/>
      <c r="BW438" s="688">
        <f t="shared" si="50"/>
        <v>0</v>
      </c>
      <c r="BX438" s="51"/>
      <c r="BY438" s="51"/>
      <c r="BZ438" s="51"/>
      <c r="CA438" s="51"/>
      <c r="CB438" s="51"/>
      <c r="CC438" s="51"/>
      <c r="CD438" s="97"/>
      <c r="CE438" s="479"/>
      <c r="CF438" s="51"/>
      <c r="CG438" s="51"/>
      <c r="CH438" s="62"/>
      <c r="CI438" s="62"/>
      <c r="CJ438" s="51"/>
      <c r="CK438" s="51"/>
      <c r="CL438" s="95"/>
      <c r="CM438" s="93"/>
      <c r="CN438" s="51"/>
      <c r="CO438" s="51"/>
      <c r="CP438" s="51"/>
      <c r="CQ438" s="51"/>
      <c r="CR438" s="51"/>
      <c r="CS438" s="51"/>
      <c r="CT438" s="51"/>
      <c r="CU438" s="95"/>
      <c r="CV438" s="93"/>
      <c r="CW438" s="51"/>
      <c r="CX438" s="51"/>
      <c r="CY438" s="51"/>
      <c r="CZ438" s="51"/>
      <c r="DA438" s="51"/>
      <c r="DB438" s="51"/>
      <c r="DC438" s="51"/>
      <c r="DD438" s="95"/>
      <c r="DE438" s="93"/>
      <c r="DF438" s="51"/>
      <c r="DG438" s="51"/>
      <c r="DH438" s="51"/>
      <c r="DI438" s="51"/>
      <c r="DJ438" s="51"/>
      <c r="DK438" s="51"/>
      <c r="DL438" s="95"/>
      <c r="DM438" s="478"/>
      <c r="DN438" s="682">
        <f t="shared" si="55"/>
        <v>0</v>
      </c>
      <c r="DO438" s="683"/>
    </row>
    <row r="439" spans="1:119" ht="25.5" customHeight="1" thickTop="1" thickBot="1" x14ac:dyDescent="0.2">
      <c r="A439" s="676">
        <f t="shared" si="51"/>
        <v>424</v>
      </c>
      <c r="B439" s="1054"/>
      <c r="C439" s="1055"/>
      <c r="D439" s="83"/>
      <c r="E439" s="954"/>
      <c r="F439" s="52"/>
      <c r="G439" s="103"/>
      <c r="H439" s="1058"/>
      <c r="I439" s="684" t="str">
        <f t="shared" si="48"/>
        <v/>
      </c>
      <c r="J439" s="685">
        <f t="shared" si="49"/>
        <v>0</v>
      </c>
      <c r="K439" s="1258"/>
      <c r="L439" s="1251"/>
      <c r="M439" s="1257"/>
      <c r="N439" s="719" t="str">
        <f t="shared" si="52"/>
        <v/>
      </c>
      <c r="O439" s="720" t="str">
        <f>IF('Set up ~ Config'!$G$32=6,IF(OR($N439=7,$N439=8,$N439=9),1,IF(OR($N439=10,$N439=11,$N439=12),2,IF(OR($N439=1,$N439=2,$N439=3),3,IF(OR($N439=4,$N439=5,$N439=6),4,"")))),IF(OR($N439=9,$N439=10,$N439=11),1,IF(OR($N439=12,$N439=1,$N439=2),2,IF(OR($N439=3,$N439=4,$N439=5),3,IF(OR($N439=6,$N439=7,$N439=8),4,"")))))</f>
        <v/>
      </c>
      <c r="P439" s="99"/>
      <c r="Q439" s="62"/>
      <c r="R439" s="62"/>
      <c r="S439" s="51"/>
      <c r="T439" s="51"/>
      <c r="U439" s="51"/>
      <c r="V439" s="51"/>
      <c r="W439" s="51"/>
      <c r="X439" s="51"/>
      <c r="Y439" s="51"/>
      <c r="Z439" s="51"/>
      <c r="AA439" s="51"/>
      <c r="AB439" s="51"/>
      <c r="AC439" s="51"/>
      <c r="AD439" s="51"/>
      <c r="AE439" s="51"/>
      <c r="AF439" s="51"/>
      <c r="AG439" s="51"/>
      <c r="AH439" s="94"/>
      <c r="AI439" s="94"/>
      <c r="AJ439" s="94"/>
      <c r="AK439" s="94"/>
      <c r="AL439" s="94"/>
      <c r="AM439" s="94"/>
      <c r="AN439" s="94"/>
      <c r="AO439" s="95"/>
      <c r="AP439" s="686">
        <f t="shared" si="53"/>
        <v>0</v>
      </c>
      <c r="AQ439" s="42"/>
      <c r="AR439" s="42"/>
      <c r="AS439" s="42"/>
      <c r="AT439" s="43"/>
      <c r="AU439" s="687">
        <f t="shared" si="54"/>
        <v>0</v>
      </c>
      <c r="AV439" s="42"/>
      <c r="AW439" s="42"/>
      <c r="AX439" s="42"/>
      <c r="AY439" s="43"/>
      <c r="AZ439" s="486"/>
      <c r="BA439" s="51"/>
      <c r="BB439" s="51"/>
      <c r="BC439" s="51"/>
      <c r="BD439" s="51"/>
      <c r="BE439" s="51"/>
      <c r="BF439" s="51"/>
      <c r="BG439" s="51"/>
      <c r="BH439" s="94"/>
      <c r="BI439" s="94"/>
      <c r="BJ439" s="94"/>
      <c r="BK439" s="94"/>
      <c r="BL439" s="94"/>
      <c r="BM439" s="483"/>
      <c r="BN439" s="94"/>
      <c r="BO439" s="94"/>
      <c r="BP439" s="94"/>
      <c r="BQ439" s="94"/>
      <c r="BR439" s="94"/>
      <c r="BS439" s="94"/>
      <c r="BT439" s="94"/>
      <c r="BU439" s="94"/>
      <c r="BV439" s="94"/>
      <c r="BW439" s="688">
        <f t="shared" si="50"/>
        <v>0</v>
      </c>
      <c r="BX439" s="51"/>
      <c r="BY439" s="51"/>
      <c r="BZ439" s="51"/>
      <c r="CA439" s="51"/>
      <c r="CB439" s="51"/>
      <c r="CC439" s="51"/>
      <c r="CD439" s="97"/>
      <c r="CE439" s="479"/>
      <c r="CF439" s="51"/>
      <c r="CG439" s="51"/>
      <c r="CH439" s="62"/>
      <c r="CI439" s="62"/>
      <c r="CJ439" s="51"/>
      <c r="CK439" s="51"/>
      <c r="CL439" s="95"/>
      <c r="CM439" s="93"/>
      <c r="CN439" s="51"/>
      <c r="CO439" s="51"/>
      <c r="CP439" s="51"/>
      <c r="CQ439" s="51"/>
      <c r="CR439" s="51"/>
      <c r="CS439" s="51"/>
      <c r="CT439" s="51"/>
      <c r="CU439" s="95"/>
      <c r="CV439" s="93"/>
      <c r="CW439" s="51"/>
      <c r="CX439" s="51"/>
      <c r="CY439" s="51"/>
      <c r="CZ439" s="51"/>
      <c r="DA439" s="51"/>
      <c r="DB439" s="51"/>
      <c r="DC439" s="51"/>
      <c r="DD439" s="95"/>
      <c r="DE439" s="93"/>
      <c r="DF439" s="51"/>
      <c r="DG439" s="51"/>
      <c r="DH439" s="51"/>
      <c r="DI439" s="51"/>
      <c r="DJ439" s="51"/>
      <c r="DK439" s="51"/>
      <c r="DL439" s="95"/>
      <c r="DM439" s="478"/>
      <c r="DN439" s="682">
        <f t="shared" si="55"/>
        <v>0</v>
      </c>
      <c r="DO439" s="683"/>
    </row>
    <row r="440" spans="1:119" ht="25.5" customHeight="1" thickTop="1" thickBot="1" x14ac:dyDescent="0.2">
      <c r="A440" s="676">
        <f t="shared" si="51"/>
        <v>425</v>
      </c>
      <c r="B440" s="1054"/>
      <c r="C440" s="1055"/>
      <c r="D440" s="83"/>
      <c r="E440" s="954"/>
      <c r="F440" s="52"/>
      <c r="G440" s="103"/>
      <c r="H440" s="1058"/>
      <c r="I440" s="684" t="str">
        <f t="shared" si="48"/>
        <v/>
      </c>
      <c r="J440" s="685">
        <f t="shared" si="49"/>
        <v>0</v>
      </c>
      <c r="K440" s="1258"/>
      <c r="L440" s="1251"/>
      <c r="M440" s="1257"/>
      <c r="N440" s="719" t="str">
        <f t="shared" si="52"/>
        <v/>
      </c>
      <c r="O440" s="720" t="str">
        <f>IF('Set up ~ Config'!$G$32=6,IF(OR($N440=7,$N440=8,$N440=9),1,IF(OR($N440=10,$N440=11,$N440=12),2,IF(OR($N440=1,$N440=2,$N440=3),3,IF(OR($N440=4,$N440=5,$N440=6),4,"")))),IF(OR($N440=9,$N440=10,$N440=11),1,IF(OR($N440=12,$N440=1,$N440=2),2,IF(OR($N440=3,$N440=4,$N440=5),3,IF(OR($N440=6,$N440=7,$N440=8),4,"")))))</f>
        <v/>
      </c>
      <c r="P440" s="99"/>
      <c r="Q440" s="62"/>
      <c r="R440" s="62"/>
      <c r="S440" s="51"/>
      <c r="T440" s="51"/>
      <c r="U440" s="51"/>
      <c r="V440" s="51"/>
      <c r="W440" s="51"/>
      <c r="X440" s="51"/>
      <c r="Y440" s="51"/>
      <c r="Z440" s="51"/>
      <c r="AA440" s="51"/>
      <c r="AB440" s="51"/>
      <c r="AC440" s="51"/>
      <c r="AD440" s="51"/>
      <c r="AE440" s="51"/>
      <c r="AF440" s="51"/>
      <c r="AG440" s="51"/>
      <c r="AH440" s="94"/>
      <c r="AI440" s="94"/>
      <c r="AJ440" s="94"/>
      <c r="AK440" s="94"/>
      <c r="AL440" s="94"/>
      <c r="AM440" s="94"/>
      <c r="AN440" s="94"/>
      <c r="AO440" s="95"/>
      <c r="AP440" s="686">
        <f t="shared" si="53"/>
        <v>0</v>
      </c>
      <c r="AQ440" s="42"/>
      <c r="AR440" s="42"/>
      <c r="AS440" s="42"/>
      <c r="AT440" s="43"/>
      <c r="AU440" s="687">
        <f t="shared" si="54"/>
        <v>0</v>
      </c>
      <c r="AV440" s="42"/>
      <c r="AW440" s="42"/>
      <c r="AX440" s="42"/>
      <c r="AY440" s="43"/>
      <c r="AZ440" s="486"/>
      <c r="BA440" s="51"/>
      <c r="BB440" s="51"/>
      <c r="BC440" s="51"/>
      <c r="BD440" s="51"/>
      <c r="BE440" s="51"/>
      <c r="BF440" s="51"/>
      <c r="BG440" s="51"/>
      <c r="BH440" s="94"/>
      <c r="BI440" s="94"/>
      <c r="BJ440" s="94"/>
      <c r="BK440" s="94"/>
      <c r="BL440" s="94"/>
      <c r="BM440" s="483"/>
      <c r="BN440" s="94"/>
      <c r="BO440" s="94"/>
      <c r="BP440" s="94"/>
      <c r="BQ440" s="94"/>
      <c r="BR440" s="94"/>
      <c r="BS440" s="94"/>
      <c r="BT440" s="94"/>
      <c r="BU440" s="94"/>
      <c r="BV440" s="94"/>
      <c r="BW440" s="688">
        <f t="shared" si="50"/>
        <v>0</v>
      </c>
      <c r="BX440" s="51"/>
      <c r="BY440" s="51"/>
      <c r="BZ440" s="51"/>
      <c r="CA440" s="51"/>
      <c r="CB440" s="51"/>
      <c r="CC440" s="51"/>
      <c r="CD440" s="97"/>
      <c r="CE440" s="479"/>
      <c r="CF440" s="51"/>
      <c r="CG440" s="51"/>
      <c r="CH440" s="62"/>
      <c r="CI440" s="62"/>
      <c r="CJ440" s="51"/>
      <c r="CK440" s="51"/>
      <c r="CL440" s="95"/>
      <c r="CM440" s="93"/>
      <c r="CN440" s="51"/>
      <c r="CO440" s="51"/>
      <c r="CP440" s="51"/>
      <c r="CQ440" s="51"/>
      <c r="CR440" s="51"/>
      <c r="CS440" s="51"/>
      <c r="CT440" s="51"/>
      <c r="CU440" s="95"/>
      <c r="CV440" s="93"/>
      <c r="CW440" s="51"/>
      <c r="CX440" s="51"/>
      <c r="CY440" s="51"/>
      <c r="CZ440" s="51"/>
      <c r="DA440" s="51"/>
      <c r="DB440" s="51"/>
      <c r="DC440" s="51"/>
      <c r="DD440" s="95"/>
      <c r="DE440" s="93"/>
      <c r="DF440" s="51"/>
      <c r="DG440" s="51"/>
      <c r="DH440" s="51"/>
      <c r="DI440" s="51"/>
      <c r="DJ440" s="51"/>
      <c r="DK440" s="51"/>
      <c r="DL440" s="95"/>
      <c r="DM440" s="478"/>
      <c r="DN440" s="682">
        <f t="shared" si="55"/>
        <v>0</v>
      </c>
      <c r="DO440" s="683"/>
    </row>
    <row r="441" spans="1:119" ht="25.5" customHeight="1" thickTop="1" thickBot="1" x14ac:dyDescent="0.2">
      <c r="A441" s="676">
        <f t="shared" si="51"/>
        <v>426</v>
      </c>
      <c r="B441" s="1054"/>
      <c r="C441" s="1055"/>
      <c r="D441" s="83"/>
      <c r="E441" s="954"/>
      <c r="F441" s="52"/>
      <c r="G441" s="103"/>
      <c r="H441" s="1058"/>
      <c r="I441" s="684" t="str">
        <f t="shared" si="48"/>
        <v/>
      </c>
      <c r="J441" s="685">
        <f t="shared" si="49"/>
        <v>0</v>
      </c>
      <c r="K441" s="1258"/>
      <c r="L441" s="1251"/>
      <c r="M441" s="1257"/>
      <c r="N441" s="719" t="str">
        <f t="shared" si="52"/>
        <v/>
      </c>
      <c r="O441" s="720" t="str">
        <f>IF('Set up ~ Config'!$G$32=6,IF(OR($N441=7,$N441=8,$N441=9),1,IF(OR($N441=10,$N441=11,$N441=12),2,IF(OR($N441=1,$N441=2,$N441=3),3,IF(OR($N441=4,$N441=5,$N441=6),4,"")))),IF(OR($N441=9,$N441=10,$N441=11),1,IF(OR($N441=12,$N441=1,$N441=2),2,IF(OR($N441=3,$N441=4,$N441=5),3,IF(OR($N441=6,$N441=7,$N441=8),4,"")))))</f>
        <v/>
      </c>
      <c r="P441" s="99"/>
      <c r="Q441" s="62"/>
      <c r="R441" s="62"/>
      <c r="S441" s="51"/>
      <c r="T441" s="51"/>
      <c r="U441" s="51"/>
      <c r="V441" s="51"/>
      <c r="W441" s="51"/>
      <c r="X441" s="51"/>
      <c r="Y441" s="51"/>
      <c r="Z441" s="51"/>
      <c r="AA441" s="51"/>
      <c r="AB441" s="51"/>
      <c r="AC441" s="51"/>
      <c r="AD441" s="51"/>
      <c r="AE441" s="51"/>
      <c r="AF441" s="51"/>
      <c r="AG441" s="51"/>
      <c r="AH441" s="94"/>
      <c r="AI441" s="94"/>
      <c r="AJ441" s="94"/>
      <c r="AK441" s="94"/>
      <c r="AL441" s="94"/>
      <c r="AM441" s="94"/>
      <c r="AN441" s="94"/>
      <c r="AO441" s="95"/>
      <c r="AP441" s="686">
        <f t="shared" si="53"/>
        <v>0</v>
      </c>
      <c r="AQ441" s="42"/>
      <c r="AR441" s="42"/>
      <c r="AS441" s="42"/>
      <c r="AT441" s="43"/>
      <c r="AU441" s="687">
        <f t="shared" si="54"/>
        <v>0</v>
      </c>
      <c r="AV441" s="42"/>
      <c r="AW441" s="42"/>
      <c r="AX441" s="42"/>
      <c r="AY441" s="43"/>
      <c r="AZ441" s="486"/>
      <c r="BA441" s="51"/>
      <c r="BB441" s="51"/>
      <c r="BC441" s="51"/>
      <c r="BD441" s="51"/>
      <c r="BE441" s="51"/>
      <c r="BF441" s="51"/>
      <c r="BG441" s="51"/>
      <c r="BH441" s="94"/>
      <c r="BI441" s="94"/>
      <c r="BJ441" s="94"/>
      <c r="BK441" s="94"/>
      <c r="BL441" s="94"/>
      <c r="BM441" s="483"/>
      <c r="BN441" s="94"/>
      <c r="BO441" s="94"/>
      <c r="BP441" s="94"/>
      <c r="BQ441" s="94"/>
      <c r="BR441" s="94"/>
      <c r="BS441" s="94"/>
      <c r="BT441" s="94"/>
      <c r="BU441" s="94"/>
      <c r="BV441" s="94"/>
      <c r="BW441" s="688">
        <f t="shared" si="50"/>
        <v>0</v>
      </c>
      <c r="BX441" s="51"/>
      <c r="BY441" s="51"/>
      <c r="BZ441" s="51"/>
      <c r="CA441" s="51"/>
      <c r="CB441" s="51"/>
      <c r="CC441" s="51"/>
      <c r="CD441" s="97"/>
      <c r="CE441" s="479"/>
      <c r="CF441" s="51"/>
      <c r="CG441" s="51"/>
      <c r="CH441" s="62"/>
      <c r="CI441" s="62"/>
      <c r="CJ441" s="51"/>
      <c r="CK441" s="51"/>
      <c r="CL441" s="95"/>
      <c r="CM441" s="93"/>
      <c r="CN441" s="51"/>
      <c r="CO441" s="51"/>
      <c r="CP441" s="51"/>
      <c r="CQ441" s="51"/>
      <c r="CR441" s="51"/>
      <c r="CS441" s="51"/>
      <c r="CT441" s="51"/>
      <c r="CU441" s="95"/>
      <c r="CV441" s="93"/>
      <c r="CW441" s="51"/>
      <c r="CX441" s="51"/>
      <c r="CY441" s="51"/>
      <c r="CZ441" s="51"/>
      <c r="DA441" s="51"/>
      <c r="DB441" s="51"/>
      <c r="DC441" s="51"/>
      <c r="DD441" s="95"/>
      <c r="DE441" s="93"/>
      <c r="DF441" s="51"/>
      <c r="DG441" s="51"/>
      <c r="DH441" s="51"/>
      <c r="DI441" s="51"/>
      <c r="DJ441" s="51"/>
      <c r="DK441" s="51"/>
      <c r="DL441" s="95"/>
      <c r="DM441" s="478"/>
      <c r="DN441" s="682">
        <f t="shared" si="55"/>
        <v>0</v>
      </c>
      <c r="DO441" s="683"/>
    </row>
    <row r="442" spans="1:119" ht="25.5" customHeight="1" thickTop="1" thickBot="1" x14ac:dyDescent="0.2">
      <c r="A442" s="676">
        <f t="shared" si="51"/>
        <v>427</v>
      </c>
      <c r="B442" s="1054"/>
      <c r="C442" s="1055"/>
      <c r="D442" s="83"/>
      <c r="E442" s="954"/>
      <c r="F442" s="52"/>
      <c r="G442" s="103"/>
      <c r="H442" s="1058"/>
      <c r="I442" s="684" t="str">
        <f t="shared" si="48"/>
        <v/>
      </c>
      <c r="J442" s="685">
        <f t="shared" si="49"/>
        <v>0</v>
      </c>
      <c r="K442" s="1258"/>
      <c r="L442" s="1251"/>
      <c r="M442" s="1257"/>
      <c r="N442" s="719" t="str">
        <f t="shared" si="52"/>
        <v/>
      </c>
      <c r="O442" s="720" t="str">
        <f>IF('Set up ~ Config'!$G$32=6,IF(OR($N442=7,$N442=8,$N442=9),1,IF(OR($N442=10,$N442=11,$N442=12),2,IF(OR($N442=1,$N442=2,$N442=3),3,IF(OR($N442=4,$N442=5,$N442=6),4,"")))),IF(OR($N442=9,$N442=10,$N442=11),1,IF(OR($N442=12,$N442=1,$N442=2),2,IF(OR($N442=3,$N442=4,$N442=5),3,IF(OR($N442=6,$N442=7,$N442=8),4,"")))))</f>
        <v/>
      </c>
      <c r="P442" s="99"/>
      <c r="Q442" s="62"/>
      <c r="R442" s="62"/>
      <c r="S442" s="51"/>
      <c r="T442" s="51"/>
      <c r="U442" s="51"/>
      <c r="V442" s="51"/>
      <c r="W442" s="51"/>
      <c r="X442" s="51"/>
      <c r="Y442" s="51"/>
      <c r="Z442" s="51"/>
      <c r="AA442" s="51"/>
      <c r="AB442" s="51"/>
      <c r="AC442" s="51"/>
      <c r="AD442" s="51"/>
      <c r="AE442" s="51"/>
      <c r="AF442" s="51"/>
      <c r="AG442" s="51"/>
      <c r="AH442" s="94"/>
      <c r="AI442" s="94"/>
      <c r="AJ442" s="94"/>
      <c r="AK442" s="94"/>
      <c r="AL442" s="94"/>
      <c r="AM442" s="94"/>
      <c r="AN442" s="94"/>
      <c r="AO442" s="95"/>
      <c r="AP442" s="686">
        <f t="shared" si="53"/>
        <v>0</v>
      </c>
      <c r="AQ442" s="42"/>
      <c r="AR442" s="42"/>
      <c r="AS442" s="42"/>
      <c r="AT442" s="43"/>
      <c r="AU442" s="687">
        <f t="shared" si="54"/>
        <v>0</v>
      </c>
      <c r="AV442" s="42"/>
      <c r="AW442" s="42"/>
      <c r="AX442" s="42"/>
      <c r="AY442" s="43"/>
      <c r="AZ442" s="486"/>
      <c r="BA442" s="51"/>
      <c r="BB442" s="51"/>
      <c r="BC442" s="51"/>
      <c r="BD442" s="51"/>
      <c r="BE442" s="51"/>
      <c r="BF442" s="51"/>
      <c r="BG442" s="51"/>
      <c r="BH442" s="94"/>
      <c r="BI442" s="94"/>
      <c r="BJ442" s="94"/>
      <c r="BK442" s="94"/>
      <c r="BL442" s="94"/>
      <c r="BM442" s="483"/>
      <c r="BN442" s="94"/>
      <c r="BO442" s="94"/>
      <c r="BP442" s="94"/>
      <c r="BQ442" s="94"/>
      <c r="BR442" s="94"/>
      <c r="BS442" s="94"/>
      <c r="BT442" s="94"/>
      <c r="BU442" s="94"/>
      <c r="BV442" s="94"/>
      <c r="BW442" s="688">
        <f t="shared" si="50"/>
        <v>0</v>
      </c>
      <c r="BX442" s="51"/>
      <c r="BY442" s="51"/>
      <c r="BZ442" s="51"/>
      <c r="CA442" s="51"/>
      <c r="CB442" s="51"/>
      <c r="CC442" s="51"/>
      <c r="CD442" s="97"/>
      <c r="CE442" s="479"/>
      <c r="CF442" s="51"/>
      <c r="CG442" s="51"/>
      <c r="CH442" s="62"/>
      <c r="CI442" s="62"/>
      <c r="CJ442" s="51"/>
      <c r="CK442" s="51"/>
      <c r="CL442" s="95"/>
      <c r="CM442" s="93"/>
      <c r="CN442" s="51"/>
      <c r="CO442" s="51"/>
      <c r="CP442" s="51"/>
      <c r="CQ442" s="51"/>
      <c r="CR442" s="51"/>
      <c r="CS442" s="51"/>
      <c r="CT442" s="51"/>
      <c r="CU442" s="95"/>
      <c r="CV442" s="93"/>
      <c r="CW442" s="51"/>
      <c r="CX442" s="51"/>
      <c r="CY442" s="51"/>
      <c r="CZ442" s="51"/>
      <c r="DA442" s="51"/>
      <c r="DB442" s="51"/>
      <c r="DC442" s="51"/>
      <c r="DD442" s="95"/>
      <c r="DE442" s="93"/>
      <c r="DF442" s="51"/>
      <c r="DG442" s="51"/>
      <c r="DH442" s="51"/>
      <c r="DI442" s="51"/>
      <c r="DJ442" s="51"/>
      <c r="DK442" s="51"/>
      <c r="DL442" s="95"/>
      <c r="DM442" s="478"/>
      <c r="DN442" s="682">
        <f t="shared" si="55"/>
        <v>0</v>
      </c>
      <c r="DO442" s="683"/>
    </row>
    <row r="443" spans="1:119" ht="25.5" customHeight="1" thickTop="1" thickBot="1" x14ac:dyDescent="0.2">
      <c r="A443" s="676">
        <f t="shared" si="51"/>
        <v>428</v>
      </c>
      <c r="B443" s="1054"/>
      <c r="C443" s="1055"/>
      <c r="D443" s="83"/>
      <c r="E443" s="954"/>
      <c r="F443" s="52"/>
      <c r="G443" s="103"/>
      <c r="H443" s="1058"/>
      <c r="I443" s="684" t="str">
        <f t="shared" si="48"/>
        <v/>
      </c>
      <c r="J443" s="685">
        <f t="shared" si="49"/>
        <v>0</v>
      </c>
      <c r="K443" s="1258"/>
      <c r="L443" s="1251"/>
      <c r="M443" s="1257"/>
      <c r="N443" s="719" t="str">
        <f t="shared" si="52"/>
        <v/>
      </c>
      <c r="O443" s="720" t="str">
        <f>IF('Set up ~ Config'!$G$32=6,IF(OR($N443=7,$N443=8,$N443=9),1,IF(OR($N443=10,$N443=11,$N443=12),2,IF(OR($N443=1,$N443=2,$N443=3),3,IF(OR($N443=4,$N443=5,$N443=6),4,"")))),IF(OR($N443=9,$N443=10,$N443=11),1,IF(OR($N443=12,$N443=1,$N443=2),2,IF(OR($N443=3,$N443=4,$N443=5),3,IF(OR($N443=6,$N443=7,$N443=8),4,"")))))</f>
        <v/>
      </c>
      <c r="P443" s="99"/>
      <c r="Q443" s="62"/>
      <c r="R443" s="62"/>
      <c r="S443" s="51"/>
      <c r="T443" s="51"/>
      <c r="U443" s="51"/>
      <c r="V443" s="51"/>
      <c r="W443" s="51"/>
      <c r="X443" s="51"/>
      <c r="Y443" s="51"/>
      <c r="Z443" s="51"/>
      <c r="AA443" s="51"/>
      <c r="AB443" s="51"/>
      <c r="AC443" s="51"/>
      <c r="AD443" s="51"/>
      <c r="AE443" s="51"/>
      <c r="AF443" s="51"/>
      <c r="AG443" s="51"/>
      <c r="AH443" s="94"/>
      <c r="AI443" s="94"/>
      <c r="AJ443" s="94"/>
      <c r="AK443" s="94"/>
      <c r="AL443" s="94"/>
      <c r="AM443" s="94"/>
      <c r="AN443" s="94"/>
      <c r="AO443" s="95"/>
      <c r="AP443" s="686">
        <f t="shared" si="53"/>
        <v>0</v>
      </c>
      <c r="AQ443" s="42"/>
      <c r="AR443" s="42"/>
      <c r="AS443" s="42"/>
      <c r="AT443" s="43"/>
      <c r="AU443" s="687">
        <f t="shared" si="54"/>
        <v>0</v>
      </c>
      <c r="AV443" s="42"/>
      <c r="AW443" s="42"/>
      <c r="AX443" s="42"/>
      <c r="AY443" s="43"/>
      <c r="AZ443" s="486"/>
      <c r="BA443" s="51"/>
      <c r="BB443" s="51"/>
      <c r="BC443" s="51"/>
      <c r="BD443" s="51"/>
      <c r="BE443" s="51"/>
      <c r="BF443" s="51"/>
      <c r="BG443" s="51"/>
      <c r="BH443" s="94"/>
      <c r="BI443" s="94"/>
      <c r="BJ443" s="94"/>
      <c r="BK443" s="94"/>
      <c r="BL443" s="94"/>
      <c r="BM443" s="483"/>
      <c r="BN443" s="94"/>
      <c r="BO443" s="94"/>
      <c r="BP443" s="94"/>
      <c r="BQ443" s="94"/>
      <c r="BR443" s="94"/>
      <c r="BS443" s="94"/>
      <c r="BT443" s="94"/>
      <c r="BU443" s="94"/>
      <c r="BV443" s="94"/>
      <c r="BW443" s="688">
        <f t="shared" si="50"/>
        <v>0</v>
      </c>
      <c r="BX443" s="51"/>
      <c r="BY443" s="51"/>
      <c r="BZ443" s="51"/>
      <c r="CA443" s="51"/>
      <c r="CB443" s="51"/>
      <c r="CC443" s="51"/>
      <c r="CD443" s="97"/>
      <c r="CE443" s="479"/>
      <c r="CF443" s="51"/>
      <c r="CG443" s="51"/>
      <c r="CH443" s="62"/>
      <c r="CI443" s="62"/>
      <c r="CJ443" s="51"/>
      <c r="CK443" s="51"/>
      <c r="CL443" s="95"/>
      <c r="CM443" s="93"/>
      <c r="CN443" s="51"/>
      <c r="CO443" s="51"/>
      <c r="CP443" s="51"/>
      <c r="CQ443" s="51"/>
      <c r="CR443" s="51"/>
      <c r="CS443" s="51"/>
      <c r="CT443" s="51"/>
      <c r="CU443" s="95"/>
      <c r="CV443" s="93"/>
      <c r="CW443" s="51"/>
      <c r="CX443" s="51"/>
      <c r="CY443" s="51"/>
      <c r="CZ443" s="51"/>
      <c r="DA443" s="51"/>
      <c r="DB443" s="51"/>
      <c r="DC443" s="51"/>
      <c r="DD443" s="95"/>
      <c r="DE443" s="93"/>
      <c r="DF443" s="51"/>
      <c r="DG443" s="51"/>
      <c r="DH443" s="51"/>
      <c r="DI443" s="51"/>
      <c r="DJ443" s="51"/>
      <c r="DK443" s="51"/>
      <c r="DL443" s="95"/>
      <c r="DM443" s="478"/>
      <c r="DN443" s="682">
        <f t="shared" si="55"/>
        <v>0</v>
      </c>
      <c r="DO443" s="683"/>
    </row>
    <row r="444" spans="1:119" ht="25.5" customHeight="1" thickTop="1" thickBot="1" x14ac:dyDescent="0.2">
      <c r="A444" s="676">
        <f t="shared" si="51"/>
        <v>429</v>
      </c>
      <c r="B444" s="1054"/>
      <c r="C444" s="1055"/>
      <c r="D444" s="83"/>
      <c r="E444" s="954"/>
      <c r="F444" s="52"/>
      <c r="G444" s="103"/>
      <c r="H444" s="1058"/>
      <c r="I444" s="684" t="str">
        <f t="shared" si="48"/>
        <v/>
      </c>
      <c r="J444" s="685">
        <f t="shared" si="49"/>
        <v>0</v>
      </c>
      <c r="K444" s="1258"/>
      <c r="L444" s="1251"/>
      <c r="M444" s="1257"/>
      <c r="N444" s="719" t="str">
        <f t="shared" si="52"/>
        <v/>
      </c>
      <c r="O444" s="720" t="str">
        <f>IF('Set up ~ Config'!$G$32=6,IF(OR($N444=7,$N444=8,$N444=9),1,IF(OR($N444=10,$N444=11,$N444=12),2,IF(OR($N444=1,$N444=2,$N444=3),3,IF(OR($N444=4,$N444=5,$N444=6),4,"")))),IF(OR($N444=9,$N444=10,$N444=11),1,IF(OR($N444=12,$N444=1,$N444=2),2,IF(OR($N444=3,$N444=4,$N444=5),3,IF(OR($N444=6,$N444=7,$N444=8),4,"")))))</f>
        <v/>
      </c>
      <c r="P444" s="99"/>
      <c r="Q444" s="62"/>
      <c r="R444" s="62"/>
      <c r="S444" s="51"/>
      <c r="T444" s="51"/>
      <c r="U444" s="51"/>
      <c r="V444" s="51"/>
      <c r="W444" s="51"/>
      <c r="X444" s="51"/>
      <c r="Y444" s="51"/>
      <c r="Z444" s="51"/>
      <c r="AA444" s="51"/>
      <c r="AB444" s="51"/>
      <c r="AC444" s="51"/>
      <c r="AD444" s="51"/>
      <c r="AE444" s="51"/>
      <c r="AF444" s="51"/>
      <c r="AG444" s="51"/>
      <c r="AH444" s="94"/>
      <c r="AI444" s="94"/>
      <c r="AJ444" s="94"/>
      <c r="AK444" s="94"/>
      <c r="AL444" s="94"/>
      <c r="AM444" s="94"/>
      <c r="AN444" s="94"/>
      <c r="AO444" s="95"/>
      <c r="AP444" s="686">
        <f t="shared" si="53"/>
        <v>0</v>
      </c>
      <c r="AQ444" s="42"/>
      <c r="AR444" s="42"/>
      <c r="AS444" s="42"/>
      <c r="AT444" s="43"/>
      <c r="AU444" s="687">
        <f t="shared" si="54"/>
        <v>0</v>
      </c>
      <c r="AV444" s="42"/>
      <c r="AW444" s="42"/>
      <c r="AX444" s="42"/>
      <c r="AY444" s="43"/>
      <c r="AZ444" s="486"/>
      <c r="BA444" s="51"/>
      <c r="BB444" s="51"/>
      <c r="BC444" s="51"/>
      <c r="BD444" s="51"/>
      <c r="BE444" s="51"/>
      <c r="BF444" s="51"/>
      <c r="BG444" s="51"/>
      <c r="BH444" s="94"/>
      <c r="BI444" s="94"/>
      <c r="BJ444" s="94"/>
      <c r="BK444" s="94"/>
      <c r="BL444" s="94"/>
      <c r="BM444" s="483"/>
      <c r="BN444" s="94"/>
      <c r="BO444" s="94"/>
      <c r="BP444" s="94"/>
      <c r="BQ444" s="94"/>
      <c r="BR444" s="94"/>
      <c r="BS444" s="94"/>
      <c r="BT444" s="94"/>
      <c r="BU444" s="94"/>
      <c r="BV444" s="94"/>
      <c r="BW444" s="688">
        <f t="shared" si="50"/>
        <v>0</v>
      </c>
      <c r="BX444" s="51"/>
      <c r="BY444" s="51"/>
      <c r="BZ444" s="51"/>
      <c r="CA444" s="51"/>
      <c r="CB444" s="51"/>
      <c r="CC444" s="51"/>
      <c r="CD444" s="97"/>
      <c r="CE444" s="479"/>
      <c r="CF444" s="51"/>
      <c r="CG444" s="51"/>
      <c r="CH444" s="62"/>
      <c r="CI444" s="62"/>
      <c r="CJ444" s="51"/>
      <c r="CK444" s="51"/>
      <c r="CL444" s="95"/>
      <c r="CM444" s="93"/>
      <c r="CN444" s="51"/>
      <c r="CO444" s="51"/>
      <c r="CP444" s="51"/>
      <c r="CQ444" s="51"/>
      <c r="CR444" s="51"/>
      <c r="CS444" s="51"/>
      <c r="CT444" s="51"/>
      <c r="CU444" s="95"/>
      <c r="CV444" s="93"/>
      <c r="CW444" s="51"/>
      <c r="CX444" s="51"/>
      <c r="CY444" s="51"/>
      <c r="CZ444" s="51"/>
      <c r="DA444" s="51"/>
      <c r="DB444" s="51"/>
      <c r="DC444" s="51"/>
      <c r="DD444" s="95"/>
      <c r="DE444" s="93"/>
      <c r="DF444" s="51"/>
      <c r="DG444" s="51"/>
      <c r="DH444" s="51"/>
      <c r="DI444" s="51"/>
      <c r="DJ444" s="51"/>
      <c r="DK444" s="51"/>
      <c r="DL444" s="95"/>
      <c r="DM444" s="478"/>
      <c r="DN444" s="682">
        <f t="shared" si="55"/>
        <v>0</v>
      </c>
      <c r="DO444" s="683"/>
    </row>
    <row r="445" spans="1:119" ht="25.5" customHeight="1" thickTop="1" thickBot="1" x14ac:dyDescent="0.2">
      <c r="A445" s="676">
        <f t="shared" si="51"/>
        <v>430</v>
      </c>
      <c r="B445" s="1054"/>
      <c r="C445" s="1055"/>
      <c r="D445" s="83"/>
      <c r="E445" s="954"/>
      <c r="F445" s="52"/>
      <c r="G445" s="103"/>
      <c r="H445" s="1058"/>
      <c r="I445" s="684" t="str">
        <f t="shared" si="48"/>
        <v/>
      </c>
      <c r="J445" s="685">
        <f t="shared" si="49"/>
        <v>0</v>
      </c>
      <c r="K445" s="1258"/>
      <c r="L445" s="1251"/>
      <c r="M445" s="1257"/>
      <c r="N445" s="719" t="str">
        <f t="shared" si="52"/>
        <v/>
      </c>
      <c r="O445" s="720" t="str">
        <f>IF('Set up ~ Config'!$G$32=6,IF(OR($N445=7,$N445=8,$N445=9),1,IF(OR($N445=10,$N445=11,$N445=12),2,IF(OR($N445=1,$N445=2,$N445=3),3,IF(OR($N445=4,$N445=5,$N445=6),4,"")))),IF(OR($N445=9,$N445=10,$N445=11),1,IF(OR($N445=12,$N445=1,$N445=2),2,IF(OR($N445=3,$N445=4,$N445=5),3,IF(OR($N445=6,$N445=7,$N445=8),4,"")))))</f>
        <v/>
      </c>
      <c r="P445" s="99"/>
      <c r="Q445" s="62"/>
      <c r="R445" s="62"/>
      <c r="S445" s="51"/>
      <c r="T445" s="51"/>
      <c r="U445" s="51"/>
      <c r="V445" s="51"/>
      <c r="W445" s="51"/>
      <c r="X445" s="51"/>
      <c r="Y445" s="51"/>
      <c r="Z445" s="51"/>
      <c r="AA445" s="51"/>
      <c r="AB445" s="51"/>
      <c r="AC445" s="51"/>
      <c r="AD445" s="51"/>
      <c r="AE445" s="51"/>
      <c r="AF445" s="51"/>
      <c r="AG445" s="51"/>
      <c r="AH445" s="94"/>
      <c r="AI445" s="94"/>
      <c r="AJ445" s="94"/>
      <c r="AK445" s="94"/>
      <c r="AL445" s="94"/>
      <c r="AM445" s="94"/>
      <c r="AN445" s="94"/>
      <c r="AO445" s="95"/>
      <c r="AP445" s="686">
        <f t="shared" si="53"/>
        <v>0</v>
      </c>
      <c r="AQ445" s="42"/>
      <c r="AR445" s="42"/>
      <c r="AS445" s="42"/>
      <c r="AT445" s="43"/>
      <c r="AU445" s="687">
        <f t="shared" si="54"/>
        <v>0</v>
      </c>
      <c r="AV445" s="42"/>
      <c r="AW445" s="42"/>
      <c r="AX445" s="42"/>
      <c r="AY445" s="43"/>
      <c r="AZ445" s="486"/>
      <c r="BA445" s="51"/>
      <c r="BB445" s="51"/>
      <c r="BC445" s="51"/>
      <c r="BD445" s="51"/>
      <c r="BE445" s="51"/>
      <c r="BF445" s="51"/>
      <c r="BG445" s="51"/>
      <c r="BH445" s="94"/>
      <c r="BI445" s="94"/>
      <c r="BJ445" s="94"/>
      <c r="BK445" s="94"/>
      <c r="BL445" s="94"/>
      <c r="BM445" s="483"/>
      <c r="BN445" s="94"/>
      <c r="BO445" s="94"/>
      <c r="BP445" s="94"/>
      <c r="BQ445" s="94"/>
      <c r="BR445" s="94"/>
      <c r="BS445" s="94"/>
      <c r="BT445" s="94"/>
      <c r="BU445" s="94"/>
      <c r="BV445" s="94"/>
      <c r="BW445" s="688">
        <f t="shared" si="50"/>
        <v>0</v>
      </c>
      <c r="BX445" s="51"/>
      <c r="BY445" s="51"/>
      <c r="BZ445" s="51"/>
      <c r="CA445" s="51"/>
      <c r="CB445" s="51"/>
      <c r="CC445" s="51"/>
      <c r="CD445" s="97"/>
      <c r="CE445" s="479"/>
      <c r="CF445" s="51"/>
      <c r="CG445" s="51"/>
      <c r="CH445" s="62"/>
      <c r="CI445" s="62"/>
      <c r="CJ445" s="51"/>
      <c r="CK445" s="51"/>
      <c r="CL445" s="95"/>
      <c r="CM445" s="93"/>
      <c r="CN445" s="51"/>
      <c r="CO445" s="51"/>
      <c r="CP445" s="51"/>
      <c r="CQ445" s="51"/>
      <c r="CR445" s="51"/>
      <c r="CS445" s="51"/>
      <c r="CT445" s="51"/>
      <c r="CU445" s="95"/>
      <c r="CV445" s="93"/>
      <c r="CW445" s="51"/>
      <c r="CX445" s="51"/>
      <c r="CY445" s="51"/>
      <c r="CZ445" s="51"/>
      <c r="DA445" s="51"/>
      <c r="DB445" s="51"/>
      <c r="DC445" s="51"/>
      <c r="DD445" s="95"/>
      <c r="DE445" s="93"/>
      <c r="DF445" s="51"/>
      <c r="DG445" s="51"/>
      <c r="DH445" s="51"/>
      <c r="DI445" s="51"/>
      <c r="DJ445" s="51"/>
      <c r="DK445" s="51"/>
      <c r="DL445" s="95"/>
      <c r="DM445" s="478"/>
      <c r="DN445" s="682">
        <f t="shared" si="55"/>
        <v>0</v>
      </c>
      <c r="DO445" s="683"/>
    </row>
    <row r="446" spans="1:119" ht="25.5" customHeight="1" thickTop="1" thickBot="1" x14ac:dyDescent="0.2">
      <c r="A446" s="676">
        <f t="shared" si="51"/>
        <v>431</v>
      </c>
      <c r="B446" s="1054"/>
      <c r="C446" s="1055"/>
      <c r="D446" s="83"/>
      <c r="E446" s="954"/>
      <c r="F446" s="52"/>
      <c r="G446" s="103"/>
      <c r="H446" s="1058"/>
      <c r="I446" s="684" t="str">
        <f t="shared" si="48"/>
        <v/>
      </c>
      <c r="J446" s="685">
        <f t="shared" si="49"/>
        <v>0</v>
      </c>
      <c r="K446" s="1258"/>
      <c r="L446" s="1251"/>
      <c r="M446" s="1257"/>
      <c r="N446" s="719" t="str">
        <f t="shared" si="52"/>
        <v/>
      </c>
      <c r="O446" s="720" t="str">
        <f>IF('Set up ~ Config'!$G$32=6,IF(OR($N446=7,$N446=8,$N446=9),1,IF(OR($N446=10,$N446=11,$N446=12),2,IF(OR($N446=1,$N446=2,$N446=3),3,IF(OR($N446=4,$N446=5,$N446=6),4,"")))),IF(OR($N446=9,$N446=10,$N446=11),1,IF(OR($N446=12,$N446=1,$N446=2),2,IF(OR($N446=3,$N446=4,$N446=5),3,IF(OR($N446=6,$N446=7,$N446=8),4,"")))))</f>
        <v/>
      </c>
      <c r="P446" s="99"/>
      <c r="Q446" s="62"/>
      <c r="R446" s="62"/>
      <c r="S446" s="51"/>
      <c r="T446" s="51"/>
      <c r="U446" s="51"/>
      <c r="V446" s="51"/>
      <c r="W446" s="51"/>
      <c r="X446" s="51"/>
      <c r="Y446" s="51"/>
      <c r="Z446" s="51"/>
      <c r="AA446" s="51"/>
      <c r="AB446" s="51"/>
      <c r="AC446" s="51"/>
      <c r="AD446" s="51"/>
      <c r="AE446" s="51"/>
      <c r="AF446" s="51"/>
      <c r="AG446" s="51"/>
      <c r="AH446" s="94"/>
      <c r="AI446" s="94"/>
      <c r="AJ446" s="94"/>
      <c r="AK446" s="94"/>
      <c r="AL446" s="94"/>
      <c r="AM446" s="94"/>
      <c r="AN446" s="94"/>
      <c r="AO446" s="95"/>
      <c r="AP446" s="686">
        <f t="shared" si="53"/>
        <v>0</v>
      </c>
      <c r="AQ446" s="42"/>
      <c r="AR446" s="42"/>
      <c r="AS446" s="42"/>
      <c r="AT446" s="43"/>
      <c r="AU446" s="687">
        <f t="shared" si="54"/>
        <v>0</v>
      </c>
      <c r="AV446" s="42"/>
      <c r="AW446" s="42"/>
      <c r="AX446" s="42"/>
      <c r="AY446" s="43"/>
      <c r="AZ446" s="486"/>
      <c r="BA446" s="51"/>
      <c r="BB446" s="51"/>
      <c r="BC446" s="51"/>
      <c r="BD446" s="51"/>
      <c r="BE446" s="51"/>
      <c r="BF446" s="51"/>
      <c r="BG446" s="51"/>
      <c r="BH446" s="94"/>
      <c r="BI446" s="94"/>
      <c r="BJ446" s="94"/>
      <c r="BK446" s="94"/>
      <c r="BL446" s="94"/>
      <c r="BM446" s="483"/>
      <c r="BN446" s="94"/>
      <c r="BO446" s="94"/>
      <c r="BP446" s="94"/>
      <c r="BQ446" s="94"/>
      <c r="BR446" s="94"/>
      <c r="BS446" s="94"/>
      <c r="BT446" s="94"/>
      <c r="BU446" s="94"/>
      <c r="BV446" s="94"/>
      <c r="BW446" s="688">
        <f t="shared" si="50"/>
        <v>0</v>
      </c>
      <c r="BX446" s="51"/>
      <c r="BY446" s="51"/>
      <c r="BZ446" s="51"/>
      <c r="CA446" s="51"/>
      <c r="CB446" s="51"/>
      <c r="CC446" s="51"/>
      <c r="CD446" s="97"/>
      <c r="CE446" s="479"/>
      <c r="CF446" s="51"/>
      <c r="CG446" s="51"/>
      <c r="CH446" s="62"/>
      <c r="CI446" s="62"/>
      <c r="CJ446" s="51"/>
      <c r="CK446" s="51"/>
      <c r="CL446" s="95"/>
      <c r="CM446" s="93"/>
      <c r="CN446" s="51"/>
      <c r="CO446" s="51"/>
      <c r="CP446" s="51"/>
      <c r="CQ446" s="51"/>
      <c r="CR446" s="51"/>
      <c r="CS446" s="51"/>
      <c r="CT446" s="51"/>
      <c r="CU446" s="95"/>
      <c r="CV446" s="93"/>
      <c r="CW446" s="51"/>
      <c r="CX446" s="51"/>
      <c r="CY446" s="51"/>
      <c r="CZ446" s="51"/>
      <c r="DA446" s="51"/>
      <c r="DB446" s="51"/>
      <c r="DC446" s="51"/>
      <c r="DD446" s="95"/>
      <c r="DE446" s="93"/>
      <c r="DF446" s="51"/>
      <c r="DG446" s="51"/>
      <c r="DH446" s="51"/>
      <c r="DI446" s="51"/>
      <c r="DJ446" s="51"/>
      <c r="DK446" s="51"/>
      <c r="DL446" s="95"/>
      <c r="DM446" s="478"/>
      <c r="DN446" s="682">
        <f t="shared" si="55"/>
        <v>0</v>
      </c>
      <c r="DO446" s="683"/>
    </row>
    <row r="447" spans="1:119" ht="25.5" customHeight="1" thickTop="1" thickBot="1" x14ac:dyDescent="0.2">
      <c r="A447" s="676">
        <f t="shared" si="51"/>
        <v>432</v>
      </c>
      <c r="B447" s="1054"/>
      <c r="C447" s="1055"/>
      <c r="D447" s="83"/>
      <c r="E447" s="954"/>
      <c r="F447" s="52"/>
      <c r="G447" s="103"/>
      <c r="H447" s="1058"/>
      <c r="I447" s="684" t="str">
        <f t="shared" si="48"/>
        <v/>
      </c>
      <c r="J447" s="685">
        <f t="shared" si="49"/>
        <v>0</v>
      </c>
      <c r="K447" s="1258"/>
      <c r="L447" s="1251"/>
      <c r="M447" s="1257"/>
      <c r="N447" s="719" t="str">
        <f t="shared" si="52"/>
        <v/>
      </c>
      <c r="O447" s="720" t="str">
        <f>IF('Set up ~ Config'!$G$32=6,IF(OR($N447=7,$N447=8,$N447=9),1,IF(OR($N447=10,$N447=11,$N447=12),2,IF(OR($N447=1,$N447=2,$N447=3),3,IF(OR($N447=4,$N447=5,$N447=6),4,"")))),IF(OR($N447=9,$N447=10,$N447=11),1,IF(OR($N447=12,$N447=1,$N447=2),2,IF(OR($N447=3,$N447=4,$N447=5),3,IF(OR($N447=6,$N447=7,$N447=8),4,"")))))</f>
        <v/>
      </c>
      <c r="P447" s="99"/>
      <c r="Q447" s="62"/>
      <c r="R447" s="62"/>
      <c r="S447" s="51"/>
      <c r="T447" s="51"/>
      <c r="U447" s="51"/>
      <c r="V447" s="51"/>
      <c r="W447" s="51"/>
      <c r="X447" s="51"/>
      <c r="Y447" s="51"/>
      <c r="Z447" s="51"/>
      <c r="AA447" s="51"/>
      <c r="AB447" s="51"/>
      <c r="AC447" s="51"/>
      <c r="AD447" s="51"/>
      <c r="AE447" s="51"/>
      <c r="AF447" s="51"/>
      <c r="AG447" s="51"/>
      <c r="AH447" s="94"/>
      <c r="AI447" s="94"/>
      <c r="AJ447" s="94"/>
      <c r="AK447" s="94"/>
      <c r="AL447" s="94"/>
      <c r="AM447" s="94"/>
      <c r="AN447" s="94"/>
      <c r="AO447" s="95"/>
      <c r="AP447" s="686">
        <f t="shared" si="53"/>
        <v>0</v>
      </c>
      <c r="AQ447" s="42"/>
      <c r="AR447" s="42"/>
      <c r="AS447" s="42"/>
      <c r="AT447" s="43"/>
      <c r="AU447" s="687">
        <f t="shared" si="54"/>
        <v>0</v>
      </c>
      <c r="AV447" s="42"/>
      <c r="AW447" s="42"/>
      <c r="AX447" s="42"/>
      <c r="AY447" s="43"/>
      <c r="AZ447" s="486"/>
      <c r="BA447" s="51"/>
      <c r="BB447" s="51"/>
      <c r="BC447" s="51"/>
      <c r="BD447" s="51"/>
      <c r="BE447" s="51"/>
      <c r="BF447" s="51"/>
      <c r="BG447" s="51"/>
      <c r="BH447" s="94"/>
      <c r="BI447" s="94"/>
      <c r="BJ447" s="94"/>
      <c r="BK447" s="94"/>
      <c r="BL447" s="94"/>
      <c r="BM447" s="483"/>
      <c r="BN447" s="94"/>
      <c r="BO447" s="94"/>
      <c r="BP447" s="94"/>
      <c r="BQ447" s="94"/>
      <c r="BR447" s="94"/>
      <c r="BS447" s="94"/>
      <c r="BT447" s="94"/>
      <c r="BU447" s="94"/>
      <c r="BV447" s="94"/>
      <c r="BW447" s="688">
        <f t="shared" si="50"/>
        <v>0</v>
      </c>
      <c r="BX447" s="51"/>
      <c r="BY447" s="51"/>
      <c r="BZ447" s="51"/>
      <c r="CA447" s="51"/>
      <c r="CB447" s="51"/>
      <c r="CC447" s="51"/>
      <c r="CD447" s="97"/>
      <c r="CE447" s="479"/>
      <c r="CF447" s="51"/>
      <c r="CG447" s="51"/>
      <c r="CH447" s="62"/>
      <c r="CI447" s="62"/>
      <c r="CJ447" s="51"/>
      <c r="CK447" s="51"/>
      <c r="CL447" s="95"/>
      <c r="CM447" s="93"/>
      <c r="CN447" s="51"/>
      <c r="CO447" s="51"/>
      <c r="CP447" s="51"/>
      <c r="CQ447" s="51"/>
      <c r="CR447" s="51"/>
      <c r="CS447" s="51"/>
      <c r="CT447" s="51"/>
      <c r="CU447" s="95"/>
      <c r="CV447" s="93"/>
      <c r="CW447" s="51"/>
      <c r="CX447" s="51"/>
      <c r="CY447" s="51"/>
      <c r="CZ447" s="51"/>
      <c r="DA447" s="51"/>
      <c r="DB447" s="51"/>
      <c r="DC447" s="51"/>
      <c r="DD447" s="95"/>
      <c r="DE447" s="93"/>
      <c r="DF447" s="51"/>
      <c r="DG447" s="51"/>
      <c r="DH447" s="51"/>
      <c r="DI447" s="51"/>
      <c r="DJ447" s="51"/>
      <c r="DK447" s="51"/>
      <c r="DL447" s="95"/>
      <c r="DM447" s="478"/>
      <c r="DN447" s="682">
        <f t="shared" si="55"/>
        <v>0</v>
      </c>
      <c r="DO447" s="683"/>
    </row>
    <row r="448" spans="1:119" ht="25.5" customHeight="1" thickTop="1" thickBot="1" x14ac:dyDescent="0.2">
      <c r="A448" s="676">
        <f t="shared" si="51"/>
        <v>433</v>
      </c>
      <c r="B448" s="1054"/>
      <c r="C448" s="1055"/>
      <c r="D448" s="83"/>
      <c r="E448" s="954"/>
      <c r="F448" s="52"/>
      <c r="G448" s="103"/>
      <c r="H448" s="1058"/>
      <c r="I448" s="684" t="str">
        <f t="shared" si="48"/>
        <v/>
      </c>
      <c r="J448" s="685">
        <f t="shared" si="49"/>
        <v>0</v>
      </c>
      <c r="K448" s="1258"/>
      <c r="L448" s="1251"/>
      <c r="M448" s="1257"/>
      <c r="N448" s="719" t="str">
        <f t="shared" si="52"/>
        <v/>
      </c>
      <c r="O448" s="720" t="str">
        <f>IF('Set up ~ Config'!$G$32=6,IF(OR($N448=7,$N448=8,$N448=9),1,IF(OR($N448=10,$N448=11,$N448=12),2,IF(OR($N448=1,$N448=2,$N448=3),3,IF(OR($N448=4,$N448=5,$N448=6),4,"")))),IF(OR($N448=9,$N448=10,$N448=11),1,IF(OR($N448=12,$N448=1,$N448=2),2,IF(OR($N448=3,$N448=4,$N448=5),3,IF(OR($N448=6,$N448=7,$N448=8),4,"")))))</f>
        <v/>
      </c>
      <c r="P448" s="99"/>
      <c r="Q448" s="62"/>
      <c r="R448" s="62"/>
      <c r="S448" s="51"/>
      <c r="T448" s="51"/>
      <c r="U448" s="51"/>
      <c r="V448" s="51"/>
      <c r="W448" s="51"/>
      <c r="X448" s="51"/>
      <c r="Y448" s="51"/>
      <c r="Z448" s="51"/>
      <c r="AA448" s="51"/>
      <c r="AB448" s="51"/>
      <c r="AC448" s="51"/>
      <c r="AD448" s="51"/>
      <c r="AE448" s="51"/>
      <c r="AF448" s="51"/>
      <c r="AG448" s="51"/>
      <c r="AH448" s="94"/>
      <c r="AI448" s="94"/>
      <c r="AJ448" s="94"/>
      <c r="AK448" s="94"/>
      <c r="AL448" s="94"/>
      <c r="AM448" s="94"/>
      <c r="AN448" s="94"/>
      <c r="AO448" s="95"/>
      <c r="AP448" s="686">
        <f t="shared" si="53"/>
        <v>0</v>
      </c>
      <c r="AQ448" s="42"/>
      <c r="AR448" s="42"/>
      <c r="AS448" s="42"/>
      <c r="AT448" s="43"/>
      <c r="AU448" s="687">
        <f t="shared" si="54"/>
        <v>0</v>
      </c>
      <c r="AV448" s="42"/>
      <c r="AW448" s="42"/>
      <c r="AX448" s="42"/>
      <c r="AY448" s="43"/>
      <c r="AZ448" s="486"/>
      <c r="BA448" s="51"/>
      <c r="BB448" s="51"/>
      <c r="BC448" s="51"/>
      <c r="BD448" s="51"/>
      <c r="BE448" s="51"/>
      <c r="BF448" s="51"/>
      <c r="BG448" s="51"/>
      <c r="BH448" s="94"/>
      <c r="BI448" s="94"/>
      <c r="BJ448" s="94"/>
      <c r="BK448" s="94"/>
      <c r="BL448" s="94"/>
      <c r="BM448" s="483"/>
      <c r="BN448" s="94"/>
      <c r="BO448" s="94"/>
      <c r="BP448" s="94"/>
      <c r="BQ448" s="94"/>
      <c r="BR448" s="94"/>
      <c r="BS448" s="94"/>
      <c r="BT448" s="94"/>
      <c r="BU448" s="94"/>
      <c r="BV448" s="94"/>
      <c r="BW448" s="688">
        <f t="shared" si="50"/>
        <v>0</v>
      </c>
      <c r="BX448" s="51"/>
      <c r="BY448" s="51"/>
      <c r="BZ448" s="51"/>
      <c r="CA448" s="51"/>
      <c r="CB448" s="51"/>
      <c r="CC448" s="51"/>
      <c r="CD448" s="97"/>
      <c r="CE448" s="479"/>
      <c r="CF448" s="51"/>
      <c r="CG448" s="51"/>
      <c r="CH448" s="62"/>
      <c r="CI448" s="62"/>
      <c r="CJ448" s="51"/>
      <c r="CK448" s="51"/>
      <c r="CL448" s="95"/>
      <c r="CM448" s="93"/>
      <c r="CN448" s="51"/>
      <c r="CO448" s="51"/>
      <c r="CP448" s="51"/>
      <c r="CQ448" s="51"/>
      <c r="CR448" s="51"/>
      <c r="CS448" s="51"/>
      <c r="CT448" s="51"/>
      <c r="CU448" s="95"/>
      <c r="CV448" s="93"/>
      <c r="CW448" s="51"/>
      <c r="CX448" s="51"/>
      <c r="CY448" s="51"/>
      <c r="CZ448" s="51"/>
      <c r="DA448" s="51"/>
      <c r="DB448" s="51"/>
      <c r="DC448" s="51"/>
      <c r="DD448" s="95"/>
      <c r="DE448" s="93"/>
      <c r="DF448" s="51"/>
      <c r="DG448" s="51"/>
      <c r="DH448" s="51"/>
      <c r="DI448" s="51"/>
      <c r="DJ448" s="51"/>
      <c r="DK448" s="51"/>
      <c r="DL448" s="95"/>
      <c r="DM448" s="478"/>
      <c r="DN448" s="682">
        <f t="shared" si="55"/>
        <v>0</v>
      </c>
      <c r="DO448" s="683"/>
    </row>
    <row r="449" spans="1:119" ht="25.5" customHeight="1" thickTop="1" thickBot="1" x14ac:dyDescent="0.2">
      <c r="A449" s="676">
        <f t="shared" si="51"/>
        <v>434</v>
      </c>
      <c r="B449" s="1054"/>
      <c r="C449" s="1055"/>
      <c r="D449" s="83"/>
      <c r="E449" s="954"/>
      <c r="F449" s="52"/>
      <c r="G449" s="103"/>
      <c r="H449" s="1058"/>
      <c r="I449" s="684" t="str">
        <f t="shared" si="48"/>
        <v/>
      </c>
      <c r="J449" s="685">
        <f t="shared" si="49"/>
        <v>0</v>
      </c>
      <c r="K449" s="1258"/>
      <c r="L449" s="1251"/>
      <c r="M449" s="1257"/>
      <c r="N449" s="719" t="str">
        <f t="shared" si="52"/>
        <v/>
      </c>
      <c r="O449" s="720" t="str">
        <f>IF('Set up ~ Config'!$G$32=6,IF(OR($N449=7,$N449=8,$N449=9),1,IF(OR($N449=10,$N449=11,$N449=12),2,IF(OR($N449=1,$N449=2,$N449=3),3,IF(OR($N449=4,$N449=5,$N449=6),4,"")))),IF(OR($N449=9,$N449=10,$N449=11),1,IF(OR($N449=12,$N449=1,$N449=2),2,IF(OR($N449=3,$N449=4,$N449=5),3,IF(OR($N449=6,$N449=7,$N449=8),4,"")))))</f>
        <v/>
      </c>
      <c r="P449" s="99"/>
      <c r="Q449" s="62"/>
      <c r="R449" s="62"/>
      <c r="S449" s="51"/>
      <c r="T449" s="51"/>
      <c r="U449" s="51"/>
      <c r="V449" s="51"/>
      <c r="W449" s="51"/>
      <c r="X449" s="51"/>
      <c r="Y449" s="51"/>
      <c r="Z449" s="51"/>
      <c r="AA449" s="51"/>
      <c r="AB449" s="51"/>
      <c r="AC449" s="51"/>
      <c r="AD449" s="51"/>
      <c r="AE449" s="51"/>
      <c r="AF449" s="51"/>
      <c r="AG449" s="51"/>
      <c r="AH449" s="94"/>
      <c r="AI449" s="94"/>
      <c r="AJ449" s="94"/>
      <c r="AK449" s="94"/>
      <c r="AL449" s="94"/>
      <c r="AM449" s="94"/>
      <c r="AN449" s="94"/>
      <c r="AO449" s="95"/>
      <c r="AP449" s="686">
        <f t="shared" si="53"/>
        <v>0</v>
      </c>
      <c r="AQ449" s="42"/>
      <c r="AR449" s="42"/>
      <c r="AS449" s="42"/>
      <c r="AT449" s="43"/>
      <c r="AU449" s="687">
        <f t="shared" si="54"/>
        <v>0</v>
      </c>
      <c r="AV449" s="42"/>
      <c r="AW449" s="42"/>
      <c r="AX449" s="42"/>
      <c r="AY449" s="43"/>
      <c r="AZ449" s="486"/>
      <c r="BA449" s="51"/>
      <c r="BB449" s="51"/>
      <c r="BC449" s="51"/>
      <c r="BD449" s="51"/>
      <c r="BE449" s="51"/>
      <c r="BF449" s="51"/>
      <c r="BG449" s="51"/>
      <c r="BH449" s="94"/>
      <c r="BI449" s="94"/>
      <c r="BJ449" s="94"/>
      <c r="BK449" s="94"/>
      <c r="BL449" s="94"/>
      <c r="BM449" s="483"/>
      <c r="BN449" s="94"/>
      <c r="BO449" s="94"/>
      <c r="BP449" s="94"/>
      <c r="BQ449" s="94"/>
      <c r="BR449" s="94"/>
      <c r="BS449" s="94"/>
      <c r="BT449" s="94"/>
      <c r="BU449" s="94"/>
      <c r="BV449" s="94"/>
      <c r="BW449" s="688">
        <f t="shared" si="50"/>
        <v>0</v>
      </c>
      <c r="BX449" s="51"/>
      <c r="BY449" s="51"/>
      <c r="BZ449" s="51"/>
      <c r="CA449" s="51"/>
      <c r="CB449" s="51"/>
      <c r="CC449" s="51"/>
      <c r="CD449" s="97"/>
      <c r="CE449" s="479"/>
      <c r="CF449" s="51"/>
      <c r="CG449" s="51"/>
      <c r="CH449" s="62"/>
      <c r="CI449" s="62"/>
      <c r="CJ449" s="51"/>
      <c r="CK449" s="51"/>
      <c r="CL449" s="95"/>
      <c r="CM449" s="93"/>
      <c r="CN449" s="51"/>
      <c r="CO449" s="51"/>
      <c r="CP449" s="51"/>
      <c r="CQ449" s="51"/>
      <c r="CR449" s="51"/>
      <c r="CS449" s="51"/>
      <c r="CT449" s="51"/>
      <c r="CU449" s="95"/>
      <c r="CV449" s="93"/>
      <c r="CW449" s="51"/>
      <c r="CX449" s="51"/>
      <c r="CY449" s="51"/>
      <c r="CZ449" s="51"/>
      <c r="DA449" s="51"/>
      <c r="DB449" s="51"/>
      <c r="DC449" s="51"/>
      <c r="DD449" s="95"/>
      <c r="DE449" s="93"/>
      <c r="DF449" s="51"/>
      <c r="DG449" s="51"/>
      <c r="DH449" s="51"/>
      <c r="DI449" s="51"/>
      <c r="DJ449" s="51"/>
      <c r="DK449" s="51"/>
      <c r="DL449" s="95"/>
      <c r="DM449" s="478"/>
      <c r="DN449" s="682">
        <f t="shared" si="55"/>
        <v>0</v>
      </c>
      <c r="DO449" s="683"/>
    </row>
    <row r="450" spans="1:119" ht="25.5" customHeight="1" thickTop="1" thickBot="1" x14ac:dyDescent="0.2">
      <c r="A450" s="676">
        <f t="shared" si="51"/>
        <v>435</v>
      </c>
      <c r="B450" s="1054"/>
      <c r="C450" s="1055"/>
      <c r="D450" s="83"/>
      <c r="E450" s="954"/>
      <c r="F450" s="52"/>
      <c r="G450" s="103"/>
      <c r="H450" s="1058"/>
      <c r="I450" s="684" t="str">
        <f t="shared" si="48"/>
        <v/>
      </c>
      <c r="J450" s="685">
        <f t="shared" si="49"/>
        <v>0</v>
      </c>
      <c r="K450" s="1258"/>
      <c r="L450" s="1251"/>
      <c r="M450" s="1257"/>
      <c r="N450" s="719" t="str">
        <f t="shared" si="52"/>
        <v/>
      </c>
      <c r="O450" s="720" t="str">
        <f>IF('Set up ~ Config'!$G$32=6,IF(OR($N450=7,$N450=8,$N450=9),1,IF(OR($N450=10,$N450=11,$N450=12),2,IF(OR($N450=1,$N450=2,$N450=3),3,IF(OR($N450=4,$N450=5,$N450=6),4,"")))),IF(OR($N450=9,$N450=10,$N450=11),1,IF(OR($N450=12,$N450=1,$N450=2),2,IF(OR($N450=3,$N450=4,$N450=5),3,IF(OR($N450=6,$N450=7,$N450=8),4,"")))))</f>
        <v/>
      </c>
      <c r="P450" s="99"/>
      <c r="Q450" s="62"/>
      <c r="R450" s="62"/>
      <c r="S450" s="51"/>
      <c r="T450" s="51"/>
      <c r="U450" s="51"/>
      <c r="V450" s="51"/>
      <c r="W450" s="51"/>
      <c r="X450" s="51"/>
      <c r="Y450" s="51"/>
      <c r="Z450" s="51"/>
      <c r="AA450" s="51"/>
      <c r="AB450" s="51"/>
      <c r="AC450" s="51"/>
      <c r="AD450" s="51"/>
      <c r="AE450" s="51"/>
      <c r="AF450" s="51"/>
      <c r="AG450" s="51"/>
      <c r="AH450" s="94"/>
      <c r="AI450" s="94"/>
      <c r="AJ450" s="94"/>
      <c r="AK450" s="94"/>
      <c r="AL450" s="94"/>
      <c r="AM450" s="94"/>
      <c r="AN450" s="94"/>
      <c r="AO450" s="95"/>
      <c r="AP450" s="686">
        <f t="shared" si="53"/>
        <v>0</v>
      </c>
      <c r="AQ450" s="42"/>
      <c r="AR450" s="42"/>
      <c r="AS450" s="42"/>
      <c r="AT450" s="43"/>
      <c r="AU450" s="687">
        <f t="shared" si="54"/>
        <v>0</v>
      </c>
      <c r="AV450" s="42"/>
      <c r="AW450" s="42"/>
      <c r="AX450" s="42"/>
      <c r="AY450" s="43"/>
      <c r="AZ450" s="486"/>
      <c r="BA450" s="51"/>
      <c r="BB450" s="51"/>
      <c r="BC450" s="51"/>
      <c r="BD450" s="51"/>
      <c r="BE450" s="51"/>
      <c r="BF450" s="51"/>
      <c r="BG450" s="51"/>
      <c r="BH450" s="94"/>
      <c r="BI450" s="94"/>
      <c r="BJ450" s="94"/>
      <c r="BK450" s="94"/>
      <c r="BL450" s="94"/>
      <c r="BM450" s="483"/>
      <c r="BN450" s="94"/>
      <c r="BO450" s="94"/>
      <c r="BP450" s="94"/>
      <c r="BQ450" s="94"/>
      <c r="BR450" s="94"/>
      <c r="BS450" s="94"/>
      <c r="BT450" s="94"/>
      <c r="BU450" s="94"/>
      <c r="BV450" s="94"/>
      <c r="BW450" s="688">
        <f t="shared" si="50"/>
        <v>0</v>
      </c>
      <c r="BX450" s="51"/>
      <c r="BY450" s="51"/>
      <c r="BZ450" s="51"/>
      <c r="CA450" s="51"/>
      <c r="CB450" s="51"/>
      <c r="CC450" s="51"/>
      <c r="CD450" s="97"/>
      <c r="CE450" s="479"/>
      <c r="CF450" s="51"/>
      <c r="CG450" s="51"/>
      <c r="CH450" s="62"/>
      <c r="CI450" s="62"/>
      <c r="CJ450" s="51"/>
      <c r="CK450" s="51"/>
      <c r="CL450" s="95"/>
      <c r="CM450" s="93"/>
      <c r="CN450" s="51"/>
      <c r="CO450" s="51"/>
      <c r="CP450" s="51"/>
      <c r="CQ450" s="51"/>
      <c r="CR450" s="51"/>
      <c r="CS450" s="51"/>
      <c r="CT450" s="51"/>
      <c r="CU450" s="95"/>
      <c r="CV450" s="93"/>
      <c r="CW450" s="51"/>
      <c r="CX450" s="51"/>
      <c r="CY450" s="51"/>
      <c r="CZ450" s="51"/>
      <c r="DA450" s="51"/>
      <c r="DB450" s="51"/>
      <c r="DC450" s="51"/>
      <c r="DD450" s="95"/>
      <c r="DE450" s="93"/>
      <c r="DF450" s="51"/>
      <c r="DG450" s="51"/>
      <c r="DH450" s="51"/>
      <c r="DI450" s="51"/>
      <c r="DJ450" s="51"/>
      <c r="DK450" s="51"/>
      <c r="DL450" s="95"/>
      <c r="DM450" s="478"/>
      <c r="DN450" s="682">
        <f t="shared" si="55"/>
        <v>0</v>
      </c>
      <c r="DO450" s="683"/>
    </row>
    <row r="451" spans="1:119" ht="25.5" customHeight="1" thickTop="1" thickBot="1" x14ac:dyDescent="0.2">
      <c r="A451" s="676">
        <f t="shared" si="51"/>
        <v>436</v>
      </c>
      <c r="B451" s="1054"/>
      <c r="C451" s="1055"/>
      <c r="D451" s="83"/>
      <c r="E451" s="954"/>
      <c r="F451" s="52"/>
      <c r="G451" s="103"/>
      <c r="H451" s="1058"/>
      <c r="I451" s="684" t="str">
        <f t="shared" si="48"/>
        <v/>
      </c>
      <c r="J451" s="685">
        <f t="shared" si="49"/>
        <v>0</v>
      </c>
      <c r="K451" s="1258"/>
      <c r="L451" s="1251"/>
      <c r="M451" s="1257"/>
      <c r="N451" s="719" t="str">
        <f t="shared" si="52"/>
        <v/>
      </c>
      <c r="O451" s="720" t="str">
        <f>IF('Set up ~ Config'!$G$32=6,IF(OR($N451=7,$N451=8,$N451=9),1,IF(OR($N451=10,$N451=11,$N451=12),2,IF(OR($N451=1,$N451=2,$N451=3),3,IF(OR($N451=4,$N451=5,$N451=6),4,"")))),IF(OR($N451=9,$N451=10,$N451=11),1,IF(OR($N451=12,$N451=1,$N451=2),2,IF(OR($N451=3,$N451=4,$N451=5),3,IF(OR($N451=6,$N451=7,$N451=8),4,"")))))</f>
        <v/>
      </c>
      <c r="P451" s="99"/>
      <c r="Q451" s="62"/>
      <c r="R451" s="62"/>
      <c r="S451" s="51"/>
      <c r="T451" s="51"/>
      <c r="U451" s="51"/>
      <c r="V451" s="51"/>
      <c r="W451" s="51"/>
      <c r="X451" s="51"/>
      <c r="Y451" s="51"/>
      <c r="Z451" s="51"/>
      <c r="AA451" s="51"/>
      <c r="AB451" s="51"/>
      <c r="AC451" s="51"/>
      <c r="AD451" s="51"/>
      <c r="AE451" s="51"/>
      <c r="AF451" s="51"/>
      <c r="AG451" s="51"/>
      <c r="AH451" s="94"/>
      <c r="AI451" s="94"/>
      <c r="AJ451" s="94"/>
      <c r="AK451" s="94"/>
      <c r="AL451" s="94"/>
      <c r="AM451" s="94"/>
      <c r="AN451" s="94"/>
      <c r="AO451" s="95"/>
      <c r="AP451" s="686">
        <f t="shared" si="53"/>
        <v>0</v>
      </c>
      <c r="AQ451" s="42"/>
      <c r="AR451" s="42"/>
      <c r="AS451" s="42"/>
      <c r="AT451" s="43"/>
      <c r="AU451" s="687">
        <f t="shared" si="54"/>
        <v>0</v>
      </c>
      <c r="AV451" s="42"/>
      <c r="AW451" s="42"/>
      <c r="AX451" s="42"/>
      <c r="AY451" s="43"/>
      <c r="AZ451" s="486"/>
      <c r="BA451" s="51"/>
      <c r="BB451" s="51"/>
      <c r="BC451" s="51"/>
      <c r="BD451" s="51"/>
      <c r="BE451" s="51"/>
      <c r="BF451" s="51"/>
      <c r="BG451" s="51"/>
      <c r="BH451" s="94"/>
      <c r="BI451" s="94"/>
      <c r="BJ451" s="94"/>
      <c r="BK451" s="94"/>
      <c r="BL451" s="94"/>
      <c r="BM451" s="483"/>
      <c r="BN451" s="94"/>
      <c r="BO451" s="94"/>
      <c r="BP451" s="94"/>
      <c r="BQ451" s="94"/>
      <c r="BR451" s="94"/>
      <c r="BS451" s="94"/>
      <c r="BT451" s="94"/>
      <c r="BU451" s="94"/>
      <c r="BV451" s="94"/>
      <c r="BW451" s="688">
        <f t="shared" si="50"/>
        <v>0</v>
      </c>
      <c r="BX451" s="51"/>
      <c r="BY451" s="51"/>
      <c r="BZ451" s="51"/>
      <c r="CA451" s="51"/>
      <c r="CB451" s="51"/>
      <c r="CC451" s="51"/>
      <c r="CD451" s="97"/>
      <c r="CE451" s="479"/>
      <c r="CF451" s="51"/>
      <c r="CG451" s="51"/>
      <c r="CH451" s="62"/>
      <c r="CI451" s="62"/>
      <c r="CJ451" s="51"/>
      <c r="CK451" s="51"/>
      <c r="CL451" s="95"/>
      <c r="CM451" s="93"/>
      <c r="CN451" s="51"/>
      <c r="CO451" s="51"/>
      <c r="CP451" s="51"/>
      <c r="CQ451" s="51"/>
      <c r="CR451" s="51"/>
      <c r="CS451" s="51"/>
      <c r="CT451" s="51"/>
      <c r="CU451" s="95"/>
      <c r="CV451" s="93"/>
      <c r="CW451" s="51"/>
      <c r="CX451" s="51"/>
      <c r="CY451" s="51"/>
      <c r="CZ451" s="51"/>
      <c r="DA451" s="51"/>
      <c r="DB451" s="51"/>
      <c r="DC451" s="51"/>
      <c r="DD451" s="95"/>
      <c r="DE451" s="93"/>
      <c r="DF451" s="51"/>
      <c r="DG451" s="51"/>
      <c r="DH451" s="51"/>
      <c r="DI451" s="51"/>
      <c r="DJ451" s="51"/>
      <c r="DK451" s="51"/>
      <c r="DL451" s="95"/>
      <c r="DM451" s="478"/>
      <c r="DN451" s="682">
        <f t="shared" si="55"/>
        <v>0</v>
      </c>
      <c r="DO451" s="683"/>
    </row>
    <row r="452" spans="1:119" ht="25.5" customHeight="1" thickTop="1" thickBot="1" x14ac:dyDescent="0.2">
      <c r="A452" s="676">
        <f t="shared" si="51"/>
        <v>437</v>
      </c>
      <c r="B452" s="1054"/>
      <c r="C452" s="1055"/>
      <c r="D452" s="83"/>
      <c r="E452" s="954"/>
      <c r="F452" s="52"/>
      <c r="G452" s="103"/>
      <c r="H452" s="1058"/>
      <c r="I452" s="684" t="str">
        <f t="shared" si="48"/>
        <v/>
      </c>
      <c r="J452" s="685">
        <f t="shared" si="49"/>
        <v>0</v>
      </c>
      <c r="K452" s="1258"/>
      <c r="L452" s="1251"/>
      <c r="M452" s="1257"/>
      <c r="N452" s="719" t="str">
        <f t="shared" si="52"/>
        <v/>
      </c>
      <c r="O452" s="720" t="str">
        <f>IF('Set up ~ Config'!$G$32=6,IF(OR($N452=7,$N452=8,$N452=9),1,IF(OR($N452=10,$N452=11,$N452=12),2,IF(OR($N452=1,$N452=2,$N452=3),3,IF(OR($N452=4,$N452=5,$N452=6),4,"")))),IF(OR($N452=9,$N452=10,$N452=11),1,IF(OR($N452=12,$N452=1,$N452=2),2,IF(OR($N452=3,$N452=4,$N452=5),3,IF(OR($N452=6,$N452=7,$N452=8),4,"")))))</f>
        <v/>
      </c>
      <c r="P452" s="99"/>
      <c r="Q452" s="62"/>
      <c r="R452" s="62"/>
      <c r="S452" s="51"/>
      <c r="T452" s="51"/>
      <c r="U452" s="51"/>
      <c r="V452" s="51"/>
      <c r="W452" s="51"/>
      <c r="X452" s="51"/>
      <c r="Y452" s="51"/>
      <c r="Z452" s="51"/>
      <c r="AA452" s="51"/>
      <c r="AB452" s="51"/>
      <c r="AC452" s="51"/>
      <c r="AD452" s="51"/>
      <c r="AE452" s="51"/>
      <c r="AF452" s="51"/>
      <c r="AG452" s="51"/>
      <c r="AH452" s="94"/>
      <c r="AI452" s="94"/>
      <c r="AJ452" s="94"/>
      <c r="AK452" s="94"/>
      <c r="AL452" s="94"/>
      <c r="AM452" s="94"/>
      <c r="AN452" s="94"/>
      <c r="AO452" s="95"/>
      <c r="AP452" s="686">
        <f t="shared" si="53"/>
        <v>0</v>
      </c>
      <c r="AQ452" s="42"/>
      <c r="AR452" s="42"/>
      <c r="AS452" s="42"/>
      <c r="AT452" s="43"/>
      <c r="AU452" s="687">
        <f t="shared" si="54"/>
        <v>0</v>
      </c>
      <c r="AV452" s="42"/>
      <c r="AW452" s="42"/>
      <c r="AX452" s="42"/>
      <c r="AY452" s="43"/>
      <c r="AZ452" s="486"/>
      <c r="BA452" s="51"/>
      <c r="BB452" s="51"/>
      <c r="BC452" s="51"/>
      <c r="BD452" s="51"/>
      <c r="BE452" s="51"/>
      <c r="BF452" s="51"/>
      <c r="BG452" s="51"/>
      <c r="BH452" s="94"/>
      <c r="BI452" s="94"/>
      <c r="BJ452" s="94"/>
      <c r="BK452" s="94"/>
      <c r="BL452" s="94"/>
      <c r="BM452" s="483"/>
      <c r="BN452" s="94"/>
      <c r="BO452" s="94"/>
      <c r="BP452" s="94"/>
      <c r="BQ452" s="94"/>
      <c r="BR452" s="94"/>
      <c r="BS452" s="94"/>
      <c r="BT452" s="94"/>
      <c r="BU452" s="94"/>
      <c r="BV452" s="94"/>
      <c r="BW452" s="688">
        <f t="shared" si="50"/>
        <v>0</v>
      </c>
      <c r="BX452" s="51"/>
      <c r="BY452" s="51"/>
      <c r="BZ452" s="51"/>
      <c r="CA452" s="51"/>
      <c r="CB452" s="51"/>
      <c r="CC452" s="51"/>
      <c r="CD452" s="97"/>
      <c r="CE452" s="479"/>
      <c r="CF452" s="51"/>
      <c r="CG452" s="51"/>
      <c r="CH452" s="62"/>
      <c r="CI452" s="62"/>
      <c r="CJ452" s="51"/>
      <c r="CK452" s="51"/>
      <c r="CL452" s="95"/>
      <c r="CM452" s="93"/>
      <c r="CN452" s="51"/>
      <c r="CO452" s="51"/>
      <c r="CP452" s="51"/>
      <c r="CQ452" s="51"/>
      <c r="CR452" s="51"/>
      <c r="CS452" s="51"/>
      <c r="CT452" s="51"/>
      <c r="CU452" s="95"/>
      <c r="CV452" s="93"/>
      <c r="CW452" s="51"/>
      <c r="CX452" s="51"/>
      <c r="CY452" s="51"/>
      <c r="CZ452" s="51"/>
      <c r="DA452" s="51"/>
      <c r="DB452" s="51"/>
      <c r="DC452" s="51"/>
      <c r="DD452" s="95"/>
      <c r="DE452" s="93"/>
      <c r="DF452" s="51"/>
      <c r="DG452" s="51"/>
      <c r="DH452" s="51"/>
      <c r="DI452" s="51"/>
      <c r="DJ452" s="51"/>
      <c r="DK452" s="51"/>
      <c r="DL452" s="95"/>
      <c r="DM452" s="478"/>
      <c r="DN452" s="682">
        <f t="shared" si="55"/>
        <v>0</v>
      </c>
      <c r="DO452" s="683"/>
    </row>
    <row r="453" spans="1:119" ht="25.5" customHeight="1" thickTop="1" thickBot="1" x14ac:dyDescent="0.2">
      <c r="A453" s="676">
        <f t="shared" si="51"/>
        <v>438</v>
      </c>
      <c r="B453" s="1054"/>
      <c r="C453" s="1055"/>
      <c r="D453" s="83"/>
      <c r="E453" s="954"/>
      <c r="F453" s="52"/>
      <c r="G453" s="103"/>
      <c r="H453" s="1058"/>
      <c r="I453" s="684" t="str">
        <f t="shared" si="48"/>
        <v/>
      </c>
      <c r="J453" s="685">
        <f t="shared" si="49"/>
        <v>0</v>
      </c>
      <c r="K453" s="1258"/>
      <c r="L453" s="1251"/>
      <c r="M453" s="1257"/>
      <c r="N453" s="719" t="str">
        <f t="shared" si="52"/>
        <v/>
      </c>
      <c r="O453" s="720" t="str">
        <f>IF('Set up ~ Config'!$G$32=6,IF(OR($N453=7,$N453=8,$N453=9),1,IF(OR($N453=10,$N453=11,$N453=12),2,IF(OR($N453=1,$N453=2,$N453=3),3,IF(OR($N453=4,$N453=5,$N453=6),4,"")))),IF(OR($N453=9,$N453=10,$N453=11),1,IF(OR($N453=12,$N453=1,$N453=2),2,IF(OR($N453=3,$N453=4,$N453=5),3,IF(OR($N453=6,$N453=7,$N453=8),4,"")))))</f>
        <v/>
      </c>
      <c r="P453" s="99"/>
      <c r="Q453" s="62"/>
      <c r="R453" s="62"/>
      <c r="S453" s="51"/>
      <c r="T453" s="51"/>
      <c r="U453" s="51"/>
      <c r="V453" s="51"/>
      <c r="W453" s="51"/>
      <c r="X453" s="51"/>
      <c r="Y453" s="51"/>
      <c r="Z453" s="51"/>
      <c r="AA453" s="51"/>
      <c r="AB453" s="51"/>
      <c r="AC453" s="51"/>
      <c r="AD453" s="51"/>
      <c r="AE453" s="51"/>
      <c r="AF453" s="51"/>
      <c r="AG453" s="51"/>
      <c r="AH453" s="94"/>
      <c r="AI453" s="94"/>
      <c r="AJ453" s="94"/>
      <c r="AK453" s="94"/>
      <c r="AL453" s="94"/>
      <c r="AM453" s="94"/>
      <c r="AN453" s="94"/>
      <c r="AO453" s="95"/>
      <c r="AP453" s="686">
        <f t="shared" si="53"/>
        <v>0</v>
      </c>
      <c r="AQ453" s="42"/>
      <c r="AR453" s="42"/>
      <c r="AS453" s="42"/>
      <c r="AT453" s="43"/>
      <c r="AU453" s="687">
        <f t="shared" si="54"/>
        <v>0</v>
      </c>
      <c r="AV453" s="42"/>
      <c r="AW453" s="42"/>
      <c r="AX453" s="42"/>
      <c r="AY453" s="43"/>
      <c r="AZ453" s="486"/>
      <c r="BA453" s="51"/>
      <c r="BB453" s="51"/>
      <c r="BC453" s="51"/>
      <c r="BD453" s="51"/>
      <c r="BE453" s="51"/>
      <c r="BF453" s="51"/>
      <c r="BG453" s="51"/>
      <c r="BH453" s="94"/>
      <c r="BI453" s="94"/>
      <c r="BJ453" s="94"/>
      <c r="BK453" s="94"/>
      <c r="BL453" s="94"/>
      <c r="BM453" s="483"/>
      <c r="BN453" s="94"/>
      <c r="BO453" s="94"/>
      <c r="BP453" s="94"/>
      <c r="BQ453" s="94"/>
      <c r="BR453" s="94"/>
      <c r="BS453" s="94"/>
      <c r="BT453" s="94"/>
      <c r="BU453" s="94"/>
      <c r="BV453" s="94"/>
      <c r="BW453" s="688">
        <f t="shared" si="50"/>
        <v>0</v>
      </c>
      <c r="BX453" s="51"/>
      <c r="BY453" s="51"/>
      <c r="BZ453" s="51"/>
      <c r="CA453" s="51"/>
      <c r="CB453" s="51"/>
      <c r="CC453" s="51"/>
      <c r="CD453" s="97"/>
      <c r="CE453" s="479"/>
      <c r="CF453" s="51"/>
      <c r="CG453" s="51"/>
      <c r="CH453" s="62"/>
      <c r="CI453" s="62"/>
      <c r="CJ453" s="51"/>
      <c r="CK453" s="51"/>
      <c r="CL453" s="95"/>
      <c r="CM453" s="93"/>
      <c r="CN453" s="51"/>
      <c r="CO453" s="51"/>
      <c r="CP453" s="51"/>
      <c r="CQ453" s="51"/>
      <c r="CR453" s="51"/>
      <c r="CS453" s="51"/>
      <c r="CT453" s="51"/>
      <c r="CU453" s="95"/>
      <c r="CV453" s="93"/>
      <c r="CW453" s="51"/>
      <c r="CX453" s="51"/>
      <c r="CY453" s="51"/>
      <c r="CZ453" s="51"/>
      <c r="DA453" s="51"/>
      <c r="DB453" s="51"/>
      <c r="DC453" s="51"/>
      <c r="DD453" s="95"/>
      <c r="DE453" s="93"/>
      <c r="DF453" s="51"/>
      <c r="DG453" s="51"/>
      <c r="DH453" s="51"/>
      <c r="DI453" s="51"/>
      <c r="DJ453" s="51"/>
      <c r="DK453" s="51"/>
      <c r="DL453" s="95"/>
      <c r="DM453" s="478"/>
      <c r="DN453" s="682">
        <f t="shared" si="55"/>
        <v>0</v>
      </c>
      <c r="DO453" s="683"/>
    </row>
    <row r="454" spans="1:119" ht="25.5" customHeight="1" thickTop="1" thickBot="1" x14ac:dyDescent="0.2">
      <c r="A454" s="676">
        <f t="shared" si="51"/>
        <v>439</v>
      </c>
      <c r="B454" s="1054"/>
      <c r="C454" s="1055"/>
      <c r="D454" s="83"/>
      <c r="E454" s="954"/>
      <c r="F454" s="52"/>
      <c r="G454" s="103"/>
      <c r="H454" s="1058"/>
      <c r="I454" s="684" t="str">
        <f t="shared" si="48"/>
        <v/>
      </c>
      <c r="J454" s="685">
        <f t="shared" si="49"/>
        <v>0</v>
      </c>
      <c r="K454" s="1258"/>
      <c r="L454" s="1251"/>
      <c r="M454" s="1257"/>
      <c r="N454" s="719" t="str">
        <f t="shared" si="52"/>
        <v/>
      </c>
      <c r="O454" s="720" t="str">
        <f>IF('Set up ~ Config'!$G$32=6,IF(OR($N454=7,$N454=8,$N454=9),1,IF(OR($N454=10,$N454=11,$N454=12),2,IF(OR($N454=1,$N454=2,$N454=3),3,IF(OR($N454=4,$N454=5,$N454=6),4,"")))),IF(OR($N454=9,$N454=10,$N454=11),1,IF(OR($N454=12,$N454=1,$N454=2),2,IF(OR($N454=3,$N454=4,$N454=5),3,IF(OR($N454=6,$N454=7,$N454=8),4,"")))))</f>
        <v/>
      </c>
      <c r="P454" s="99"/>
      <c r="Q454" s="62"/>
      <c r="R454" s="62"/>
      <c r="S454" s="51"/>
      <c r="T454" s="51"/>
      <c r="U454" s="51"/>
      <c r="V454" s="51"/>
      <c r="W454" s="51"/>
      <c r="X454" s="51"/>
      <c r="Y454" s="51"/>
      <c r="Z454" s="51"/>
      <c r="AA454" s="51"/>
      <c r="AB454" s="51"/>
      <c r="AC454" s="51"/>
      <c r="AD454" s="51"/>
      <c r="AE454" s="51"/>
      <c r="AF454" s="51"/>
      <c r="AG454" s="51"/>
      <c r="AH454" s="94"/>
      <c r="AI454" s="94"/>
      <c r="AJ454" s="94"/>
      <c r="AK454" s="94"/>
      <c r="AL454" s="94"/>
      <c r="AM454" s="94"/>
      <c r="AN454" s="94"/>
      <c r="AO454" s="95"/>
      <c r="AP454" s="686">
        <f t="shared" si="53"/>
        <v>0</v>
      </c>
      <c r="AQ454" s="42"/>
      <c r="AR454" s="42"/>
      <c r="AS454" s="42"/>
      <c r="AT454" s="43"/>
      <c r="AU454" s="687">
        <f t="shared" si="54"/>
        <v>0</v>
      </c>
      <c r="AV454" s="42"/>
      <c r="AW454" s="42"/>
      <c r="AX454" s="42"/>
      <c r="AY454" s="43"/>
      <c r="AZ454" s="486"/>
      <c r="BA454" s="51"/>
      <c r="BB454" s="51"/>
      <c r="BC454" s="51"/>
      <c r="BD454" s="51"/>
      <c r="BE454" s="51"/>
      <c r="BF454" s="51"/>
      <c r="BG454" s="51"/>
      <c r="BH454" s="94"/>
      <c r="BI454" s="94"/>
      <c r="BJ454" s="94"/>
      <c r="BK454" s="94"/>
      <c r="BL454" s="94"/>
      <c r="BM454" s="483"/>
      <c r="BN454" s="94"/>
      <c r="BO454" s="94"/>
      <c r="BP454" s="94"/>
      <c r="BQ454" s="94"/>
      <c r="BR454" s="94"/>
      <c r="BS454" s="94"/>
      <c r="BT454" s="94"/>
      <c r="BU454" s="94"/>
      <c r="BV454" s="94"/>
      <c r="BW454" s="688">
        <f t="shared" si="50"/>
        <v>0</v>
      </c>
      <c r="BX454" s="51"/>
      <c r="BY454" s="51"/>
      <c r="BZ454" s="51"/>
      <c r="CA454" s="51"/>
      <c r="CB454" s="51"/>
      <c r="CC454" s="51"/>
      <c r="CD454" s="97"/>
      <c r="CE454" s="479"/>
      <c r="CF454" s="51"/>
      <c r="CG454" s="51"/>
      <c r="CH454" s="62"/>
      <c r="CI454" s="62"/>
      <c r="CJ454" s="51"/>
      <c r="CK454" s="51"/>
      <c r="CL454" s="95"/>
      <c r="CM454" s="93"/>
      <c r="CN454" s="51"/>
      <c r="CO454" s="51"/>
      <c r="CP454" s="51"/>
      <c r="CQ454" s="51"/>
      <c r="CR454" s="51"/>
      <c r="CS454" s="51"/>
      <c r="CT454" s="51"/>
      <c r="CU454" s="95"/>
      <c r="CV454" s="93"/>
      <c r="CW454" s="51"/>
      <c r="CX454" s="51"/>
      <c r="CY454" s="51"/>
      <c r="CZ454" s="51"/>
      <c r="DA454" s="51"/>
      <c r="DB454" s="51"/>
      <c r="DC454" s="51"/>
      <c r="DD454" s="95"/>
      <c r="DE454" s="93"/>
      <c r="DF454" s="51"/>
      <c r="DG454" s="51"/>
      <c r="DH454" s="51"/>
      <c r="DI454" s="51"/>
      <c r="DJ454" s="51"/>
      <c r="DK454" s="51"/>
      <c r="DL454" s="95"/>
      <c r="DM454" s="478"/>
      <c r="DN454" s="682">
        <f t="shared" si="55"/>
        <v>0</v>
      </c>
      <c r="DO454" s="683"/>
    </row>
    <row r="455" spans="1:119" ht="25.5" customHeight="1" thickTop="1" thickBot="1" x14ac:dyDescent="0.2">
      <c r="A455" s="676">
        <f t="shared" si="51"/>
        <v>440</v>
      </c>
      <c r="B455" s="1054"/>
      <c r="C455" s="1055"/>
      <c r="D455" s="83"/>
      <c r="E455" s="954"/>
      <c r="F455" s="52"/>
      <c r="G455" s="103"/>
      <c r="H455" s="1058"/>
      <c r="I455" s="684" t="str">
        <f t="shared" si="48"/>
        <v/>
      </c>
      <c r="J455" s="685">
        <f t="shared" si="49"/>
        <v>0</v>
      </c>
      <c r="K455" s="1258"/>
      <c r="L455" s="1251"/>
      <c r="M455" s="1257"/>
      <c r="N455" s="719" t="str">
        <f t="shared" si="52"/>
        <v/>
      </c>
      <c r="O455" s="720" t="str">
        <f>IF('Set up ~ Config'!$G$32=6,IF(OR($N455=7,$N455=8,$N455=9),1,IF(OR($N455=10,$N455=11,$N455=12),2,IF(OR($N455=1,$N455=2,$N455=3),3,IF(OR($N455=4,$N455=5,$N455=6),4,"")))),IF(OR($N455=9,$N455=10,$N455=11),1,IF(OR($N455=12,$N455=1,$N455=2),2,IF(OR($N455=3,$N455=4,$N455=5),3,IF(OR($N455=6,$N455=7,$N455=8),4,"")))))</f>
        <v/>
      </c>
      <c r="P455" s="99"/>
      <c r="Q455" s="62"/>
      <c r="R455" s="62"/>
      <c r="S455" s="51"/>
      <c r="T455" s="51"/>
      <c r="U455" s="51"/>
      <c r="V455" s="51"/>
      <c r="W455" s="51"/>
      <c r="X455" s="51"/>
      <c r="Y455" s="51"/>
      <c r="Z455" s="51"/>
      <c r="AA455" s="51"/>
      <c r="AB455" s="51"/>
      <c r="AC455" s="51"/>
      <c r="AD455" s="51"/>
      <c r="AE455" s="51"/>
      <c r="AF455" s="51"/>
      <c r="AG455" s="51"/>
      <c r="AH455" s="94"/>
      <c r="AI455" s="94"/>
      <c r="AJ455" s="94"/>
      <c r="AK455" s="94"/>
      <c r="AL455" s="94"/>
      <c r="AM455" s="94"/>
      <c r="AN455" s="94"/>
      <c r="AO455" s="95"/>
      <c r="AP455" s="686">
        <f t="shared" si="53"/>
        <v>0</v>
      </c>
      <c r="AQ455" s="42"/>
      <c r="AR455" s="42"/>
      <c r="AS455" s="42"/>
      <c r="AT455" s="43"/>
      <c r="AU455" s="687">
        <f t="shared" si="54"/>
        <v>0</v>
      </c>
      <c r="AV455" s="42"/>
      <c r="AW455" s="42"/>
      <c r="AX455" s="42"/>
      <c r="AY455" s="43"/>
      <c r="AZ455" s="486"/>
      <c r="BA455" s="51"/>
      <c r="BB455" s="51"/>
      <c r="BC455" s="51"/>
      <c r="BD455" s="51"/>
      <c r="BE455" s="51"/>
      <c r="BF455" s="51"/>
      <c r="BG455" s="51"/>
      <c r="BH455" s="94"/>
      <c r="BI455" s="94"/>
      <c r="BJ455" s="94"/>
      <c r="BK455" s="94"/>
      <c r="BL455" s="94"/>
      <c r="BM455" s="483"/>
      <c r="BN455" s="94"/>
      <c r="BO455" s="94"/>
      <c r="BP455" s="94"/>
      <c r="BQ455" s="94"/>
      <c r="BR455" s="94"/>
      <c r="BS455" s="94"/>
      <c r="BT455" s="94"/>
      <c r="BU455" s="94"/>
      <c r="BV455" s="94"/>
      <c r="BW455" s="688">
        <f t="shared" si="50"/>
        <v>0</v>
      </c>
      <c r="BX455" s="51"/>
      <c r="BY455" s="51"/>
      <c r="BZ455" s="51"/>
      <c r="CA455" s="51"/>
      <c r="CB455" s="51"/>
      <c r="CC455" s="51"/>
      <c r="CD455" s="97"/>
      <c r="CE455" s="479"/>
      <c r="CF455" s="51"/>
      <c r="CG455" s="51"/>
      <c r="CH455" s="62"/>
      <c r="CI455" s="62"/>
      <c r="CJ455" s="51"/>
      <c r="CK455" s="51"/>
      <c r="CL455" s="95"/>
      <c r="CM455" s="93"/>
      <c r="CN455" s="51"/>
      <c r="CO455" s="51"/>
      <c r="CP455" s="51"/>
      <c r="CQ455" s="51"/>
      <c r="CR455" s="51"/>
      <c r="CS455" s="51"/>
      <c r="CT455" s="51"/>
      <c r="CU455" s="95"/>
      <c r="CV455" s="93"/>
      <c r="CW455" s="51"/>
      <c r="CX455" s="51"/>
      <c r="CY455" s="51"/>
      <c r="CZ455" s="51"/>
      <c r="DA455" s="51"/>
      <c r="DB455" s="51"/>
      <c r="DC455" s="51"/>
      <c r="DD455" s="95"/>
      <c r="DE455" s="93"/>
      <c r="DF455" s="51"/>
      <c r="DG455" s="51"/>
      <c r="DH455" s="51"/>
      <c r="DI455" s="51"/>
      <c r="DJ455" s="51"/>
      <c r="DK455" s="51"/>
      <c r="DL455" s="95"/>
      <c r="DM455" s="478"/>
      <c r="DN455" s="682">
        <f t="shared" si="55"/>
        <v>0</v>
      </c>
      <c r="DO455" s="683"/>
    </row>
    <row r="456" spans="1:119" ht="25.5" customHeight="1" thickTop="1" thickBot="1" x14ac:dyDescent="0.2">
      <c r="A456" s="676">
        <f t="shared" si="51"/>
        <v>441</v>
      </c>
      <c r="B456" s="1054"/>
      <c r="C456" s="1055"/>
      <c r="D456" s="83"/>
      <c r="E456" s="954"/>
      <c r="F456" s="52"/>
      <c r="G456" s="103"/>
      <c r="H456" s="1058"/>
      <c r="I456" s="684" t="str">
        <f t="shared" si="48"/>
        <v/>
      </c>
      <c r="J456" s="685">
        <f t="shared" si="49"/>
        <v>0</v>
      </c>
      <c r="K456" s="1258"/>
      <c r="L456" s="1251"/>
      <c r="M456" s="1257"/>
      <c r="N456" s="719" t="str">
        <f t="shared" si="52"/>
        <v/>
      </c>
      <c r="O456" s="720" t="str">
        <f>IF('Set up ~ Config'!$G$32=6,IF(OR($N456=7,$N456=8,$N456=9),1,IF(OR($N456=10,$N456=11,$N456=12),2,IF(OR($N456=1,$N456=2,$N456=3),3,IF(OR($N456=4,$N456=5,$N456=6),4,"")))),IF(OR($N456=9,$N456=10,$N456=11),1,IF(OR($N456=12,$N456=1,$N456=2),2,IF(OR($N456=3,$N456=4,$N456=5),3,IF(OR($N456=6,$N456=7,$N456=8),4,"")))))</f>
        <v/>
      </c>
      <c r="P456" s="99"/>
      <c r="Q456" s="62"/>
      <c r="R456" s="62"/>
      <c r="S456" s="51"/>
      <c r="T456" s="51"/>
      <c r="U456" s="51"/>
      <c r="V456" s="51"/>
      <c r="W456" s="51"/>
      <c r="X456" s="51"/>
      <c r="Y456" s="51"/>
      <c r="Z456" s="51"/>
      <c r="AA456" s="51"/>
      <c r="AB456" s="51"/>
      <c r="AC456" s="51"/>
      <c r="AD456" s="51"/>
      <c r="AE456" s="51"/>
      <c r="AF456" s="51"/>
      <c r="AG456" s="51"/>
      <c r="AH456" s="94"/>
      <c r="AI456" s="94"/>
      <c r="AJ456" s="94"/>
      <c r="AK456" s="94"/>
      <c r="AL456" s="94"/>
      <c r="AM456" s="94"/>
      <c r="AN456" s="94"/>
      <c r="AO456" s="95"/>
      <c r="AP456" s="686">
        <f t="shared" si="53"/>
        <v>0</v>
      </c>
      <c r="AQ456" s="42"/>
      <c r="AR456" s="42"/>
      <c r="AS456" s="42"/>
      <c r="AT456" s="43"/>
      <c r="AU456" s="687">
        <f t="shared" si="54"/>
        <v>0</v>
      </c>
      <c r="AV456" s="42"/>
      <c r="AW456" s="42"/>
      <c r="AX456" s="42"/>
      <c r="AY456" s="43"/>
      <c r="AZ456" s="486"/>
      <c r="BA456" s="51"/>
      <c r="BB456" s="51"/>
      <c r="BC456" s="51"/>
      <c r="BD456" s="51"/>
      <c r="BE456" s="51"/>
      <c r="BF456" s="51"/>
      <c r="BG456" s="51"/>
      <c r="BH456" s="94"/>
      <c r="BI456" s="94"/>
      <c r="BJ456" s="94"/>
      <c r="BK456" s="94"/>
      <c r="BL456" s="94"/>
      <c r="BM456" s="483"/>
      <c r="BN456" s="94"/>
      <c r="BO456" s="94"/>
      <c r="BP456" s="94"/>
      <c r="BQ456" s="94"/>
      <c r="BR456" s="94"/>
      <c r="BS456" s="94"/>
      <c r="BT456" s="94"/>
      <c r="BU456" s="94"/>
      <c r="BV456" s="94"/>
      <c r="BW456" s="688">
        <f t="shared" si="50"/>
        <v>0</v>
      </c>
      <c r="BX456" s="51"/>
      <c r="BY456" s="51"/>
      <c r="BZ456" s="51"/>
      <c r="CA456" s="51"/>
      <c r="CB456" s="51"/>
      <c r="CC456" s="51"/>
      <c r="CD456" s="97"/>
      <c r="CE456" s="479"/>
      <c r="CF456" s="51"/>
      <c r="CG456" s="51"/>
      <c r="CH456" s="62"/>
      <c r="CI456" s="62"/>
      <c r="CJ456" s="51"/>
      <c r="CK456" s="51"/>
      <c r="CL456" s="95"/>
      <c r="CM456" s="93"/>
      <c r="CN456" s="51"/>
      <c r="CO456" s="51"/>
      <c r="CP456" s="51"/>
      <c r="CQ456" s="51"/>
      <c r="CR456" s="51"/>
      <c r="CS456" s="51"/>
      <c r="CT456" s="51"/>
      <c r="CU456" s="95"/>
      <c r="CV456" s="93"/>
      <c r="CW456" s="51"/>
      <c r="CX456" s="51"/>
      <c r="CY456" s="51"/>
      <c r="CZ456" s="51"/>
      <c r="DA456" s="51"/>
      <c r="DB456" s="51"/>
      <c r="DC456" s="51"/>
      <c r="DD456" s="95"/>
      <c r="DE456" s="93"/>
      <c r="DF456" s="51"/>
      <c r="DG456" s="51"/>
      <c r="DH456" s="51"/>
      <c r="DI456" s="51"/>
      <c r="DJ456" s="51"/>
      <c r="DK456" s="51"/>
      <c r="DL456" s="95"/>
      <c r="DM456" s="478"/>
      <c r="DN456" s="682">
        <f t="shared" si="55"/>
        <v>0</v>
      </c>
      <c r="DO456" s="683"/>
    </row>
    <row r="457" spans="1:119" ht="25.5" customHeight="1" thickTop="1" thickBot="1" x14ac:dyDescent="0.2">
      <c r="A457" s="676">
        <f t="shared" si="51"/>
        <v>442</v>
      </c>
      <c r="B457" s="1054"/>
      <c r="C457" s="1055"/>
      <c r="D457" s="83"/>
      <c r="E457" s="954"/>
      <c r="F457" s="52"/>
      <c r="G457" s="103"/>
      <c r="H457" s="1058"/>
      <c r="I457" s="684" t="str">
        <f t="shared" si="48"/>
        <v/>
      </c>
      <c r="J457" s="685">
        <f t="shared" si="49"/>
        <v>0</v>
      </c>
      <c r="K457" s="1258"/>
      <c r="L457" s="1251"/>
      <c r="M457" s="1257"/>
      <c r="N457" s="719" t="str">
        <f t="shared" si="52"/>
        <v/>
      </c>
      <c r="O457" s="720" t="str">
        <f>IF('Set up ~ Config'!$G$32=6,IF(OR($N457=7,$N457=8,$N457=9),1,IF(OR($N457=10,$N457=11,$N457=12),2,IF(OR($N457=1,$N457=2,$N457=3),3,IF(OR($N457=4,$N457=5,$N457=6),4,"")))),IF(OR($N457=9,$N457=10,$N457=11),1,IF(OR($N457=12,$N457=1,$N457=2),2,IF(OR($N457=3,$N457=4,$N457=5),3,IF(OR($N457=6,$N457=7,$N457=8),4,"")))))</f>
        <v/>
      </c>
      <c r="P457" s="99"/>
      <c r="Q457" s="62"/>
      <c r="R457" s="62"/>
      <c r="S457" s="51"/>
      <c r="T457" s="51"/>
      <c r="U457" s="51"/>
      <c r="V457" s="51"/>
      <c r="W457" s="51"/>
      <c r="X457" s="51"/>
      <c r="Y457" s="51"/>
      <c r="Z457" s="51"/>
      <c r="AA457" s="51"/>
      <c r="AB457" s="51"/>
      <c r="AC457" s="51"/>
      <c r="AD457" s="51"/>
      <c r="AE457" s="51"/>
      <c r="AF457" s="51"/>
      <c r="AG457" s="51"/>
      <c r="AH457" s="94"/>
      <c r="AI457" s="94"/>
      <c r="AJ457" s="94"/>
      <c r="AK457" s="94"/>
      <c r="AL457" s="94"/>
      <c r="AM457" s="94"/>
      <c r="AN457" s="94"/>
      <c r="AO457" s="95"/>
      <c r="AP457" s="686">
        <f t="shared" si="53"/>
        <v>0</v>
      </c>
      <c r="AQ457" s="42"/>
      <c r="AR457" s="42"/>
      <c r="AS457" s="42"/>
      <c r="AT457" s="43"/>
      <c r="AU457" s="687">
        <f t="shared" si="54"/>
        <v>0</v>
      </c>
      <c r="AV457" s="42"/>
      <c r="AW457" s="42"/>
      <c r="AX457" s="42"/>
      <c r="AY457" s="43"/>
      <c r="AZ457" s="486"/>
      <c r="BA457" s="51"/>
      <c r="BB457" s="51"/>
      <c r="BC457" s="51"/>
      <c r="BD457" s="51"/>
      <c r="BE457" s="51"/>
      <c r="BF457" s="51"/>
      <c r="BG457" s="51"/>
      <c r="BH457" s="94"/>
      <c r="BI457" s="94"/>
      <c r="BJ457" s="94"/>
      <c r="BK457" s="94"/>
      <c r="BL457" s="94"/>
      <c r="BM457" s="483"/>
      <c r="BN457" s="94"/>
      <c r="BO457" s="94"/>
      <c r="BP457" s="94"/>
      <c r="BQ457" s="94"/>
      <c r="BR457" s="94"/>
      <c r="BS457" s="94"/>
      <c r="BT457" s="94"/>
      <c r="BU457" s="94"/>
      <c r="BV457" s="94"/>
      <c r="BW457" s="688">
        <f t="shared" si="50"/>
        <v>0</v>
      </c>
      <c r="BX457" s="51"/>
      <c r="BY457" s="51"/>
      <c r="BZ457" s="51"/>
      <c r="CA457" s="51"/>
      <c r="CB457" s="51"/>
      <c r="CC457" s="51"/>
      <c r="CD457" s="97"/>
      <c r="CE457" s="479"/>
      <c r="CF457" s="51"/>
      <c r="CG457" s="51"/>
      <c r="CH457" s="62"/>
      <c r="CI457" s="62"/>
      <c r="CJ457" s="51"/>
      <c r="CK457" s="51"/>
      <c r="CL457" s="95"/>
      <c r="CM457" s="93"/>
      <c r="CN457" s="51"/>
      <c r="CO457" s="51"/>
      <c r="CP457" s="51"/>
      <c r="CQ457" s="51"/>
      <c r="CR457" s="51"/>
      <c r="CS457" s="51"/>
      <c r="CT457" s="51"/>
      <c r="CU457" s="95"/>
      <c r="CV457" s="93"/>
      <c r="CW457" s="51"/>
      <c r="CX457" s="51"/>
      <c r="CY457" s="51"/>
      <c r="CZ457" s="51"/>
      <c r="DA457" s="51"/>
      <c r="DB457" s="51"/>
      <c r="DC457" s="51"/>
      <c r="DD457" s="95"/>
      <c r="DE457" s="93"/>
      <c r="DF457" s="51"/>
      <c r="DG457" s="51"/>
      <c r="DH457" s="51"/>
      <c r="DI457" s="51"/>
      <c r="DJ457" s="51"/>
      <c r="DK457" s="51"/>
      <c r="DL457" s="95"/>
      <c r="DM457" s="478"/>
      <c r="DN457" s="682">
        <f t="shared" si="55"/>
        <v>0</v>
      </c>
      <c r="DO457" s="683"/>
    </row>
    <row r="458" spans="1:119" ht="25.5" customHeight="1" thickTop="1" thickBot="1" x14ac:dyDescent="0.2">
      <c r="A458" s="676">
        <f t="shared" si="51"/>
        <v>443</v>
      </c>
      <c r="B458" s="1054"/>
      <c r="C458" s="1055"/>
      <c r="D458" s="83"/>
      <c r="E458" s="954"/>
      <c r="F458" s="52"/>
      <c r="G458" s="103"/>
      <c r="H458" s="1058"/>
      <c r="I458" s="684" t="str">
        <f t="shared" si="48"/>
        <v/>
      </c>
      <c r="J458" s="685">
        <f t="shared" si="49"/>
        <v>0</v>
      </c>
      <c r="K458" s="1258"/>
      <c r="L458" s="1251"/>
      <c r="M458" s="1257"/>
      <c r="N458" s="719" t="str">
        <f t="shared" si="52"/>
        <v/>
      </c>
      <c r="O458" s="720" t="str">
        <f>IF('Set up ~ Config'!$G$32=6,IF(OR($N458=7,$N458=8,$N458=9),1,IF(OR($N458=10,$N458=11,$N458=12),2,IF(OR($N458=1,$N458=2,$N458=3),3,IF(OR($N458=4,$N458=5,$N458=6),4,"")))),IF(OR($N458=9,$N458=10,$N458=11),1,IF(OR($N458=12,$N458=1,$N458=2),2,IF(OR($N458=3,$N458=4,$N458=5),3,IF(OR($N458=6,$N458=7,$N458=8),4,"")))))</f>
        <v/>
      </c>
      <c r="P458" s="99"/>
      <c r="Q458" s="62"/>
      <c r="R458" s="62"/>
      <c r="S458" s="51"/>
      <c r="T458" s="51"/>
      <c r="U458" s="51"/>
      <c r="V458" s="51"/>
      <c r="W458" s="51"/>
      <c r="X458" s="51"/>
      <c r="Y458" s="51"/>
      <c r="Z458" s="51"/>
      <c r="AA458" s="51"/>
      <c r="AB458" s="51"/>
      <c r="AC458" s="51"/>
      <c r="AD458" s="51"/>
      <c r="AE458" s="51"/>
      <c r="AF458" s="51"/>
      <c r="AG458" s="51"/>
      <c r="AH458" s="94"/>
      <c r="AI458" s="94"/>
      <c r="AJ458" s="94"/>
      <c r="AK458" s="94"/>
      <c r="AL458" s="94"/>
      <c r="AM458" s="94"/>
      <c r="AN458" s="94"/>
      <c r="AO458" s="95"/>
      <c r="AP458" s="686">
        <f t="shared" si="53"/>
        <v>0</v>
      </c>
      <c r="AQ458" s="42"/>
      <c r="AR458" s="42"/>
      <c r="AS458" s="42"/>
      <c r="AT458" s="43"/>
      <c r="AU458" s="687">
        <f t="shared" si="54"/>
        <v>0</v>
      </c>
      <c r="AV458" s="42"/>
      <c r="AW458" s="42"/>
      <c r="AX458" s="42"/>
      <c r="AY458" s="43"/>
      <c r="AZ458" s="486"/>
      <c r="BA458" s="51"/>
      <c r="BB458" s="51"/>
      <c r="BC458" s="51"/>
      <c r="BD458" s="51"/>
      <c r="BE458" s="51"/>
      <c r="BF458" s="51"/>
      <c r="BG458" s="51"/>
      <c r="BH458" s="94"/>
      <c r="BI458" s="94"/>
      <c r="BJ458" s="94"/>
      <c r="BK458" s="94"/>
      <c r="BL458" s="94"/>
      <c r="BM458" s="483"/>
      <c r="BN458" s="94"/>
      <c r="BO458" s="94"/>
      <c r="BP458" s="94"/>
      <c r="BQ458" s="94"/>
      <c r="BR458" s="94"/>
      <c r="BS458" s="94"/>
      <c r="BT458" s="94"/>
      <c r="BU458" s="94"/>
      <c r="BV458" s="94"/>
      <c r="BW458" s="688">
        <f t="shared" si="50"/>
        <v>0</v>
      </c>
      <c r="BX458" s="51"/>
      <c r="BY458" s="51"/>
      <c r="BZ458" s="51"/>
      <c r="CA458" s="51"/>
      <c r="CB458" s="51"/>
      <c r="CC458" s="51"/>
      <c r="CD458" s="97"/>
      <c r="CE458" s="479"/>
      <c r="CF458" s="51"/>
      <c r="CG458" s="51"/>
      <c r="CH458" s="62"/>
      <c r="CI458" s="62"/>
      <c r="CJ458" s="51"/>
      <c r="CK458" s="51"/>
      <c r="CL458" s="95"/>
      <c r="CM458" s="93"/>
      <c r="CN458" s="51"/>
      <c r="CO458" s="51"/>
      <c r="CP458" s="51"/>
      <c r="CQ458" s="51"/>
      <c r="CR458" s="51"/>
      <c r="CS458" s="51"/>
      <c r="CT458" s="51"/>
      <c r="CU458" s="95"/>
      <c r="CV458" s="93"/>
      <c r="CW458" s="51"/>
      <c r="CX458" s="51"/>
      <c r="CY458" s="51"/>
      <c r="CZ458" s="51"/>
      <c r="DA458" s="51"/>
      <c r="DB458" s="51"/>
      <c r="DC458" s="51"/>
      <c r="DD458" s="95"/>
      <c r="DE458" s="93"/>
      <c r="DF458" s="51"/>
      <c r="DG458" s="51"/>
      <c r="DH458" s="51"/>
      <c r="DI458" s="51"/>
      <c r="DJ458" s="51"/>
      <c r="DK458" s="51"/>
      <c r="DL458" s="95"/>
      <c r="DM458" s="478"/>
      <c r="DN458" s="682">
        <f t="shared" si="55"/>
        <v>0</v>
      </c>
      <c r="DO458" s="683"/>
    </row>
    <row r="459" spans="1:119" ht="25.5" customHeight="1" thickTop="1" thickBot="1" x14ac:dyDescent="0.2">
      <c r="A459" s="676">
        <f t="shared" si="51"/>
        <v>444</v>
      </c>
      <c r="B459" s="1054"/>
      <c r="C459" s="1055"/>
      <c r="D459" s="83"/>
      <c r="E459" s="954"/>
      <c r="F459" s="52"/>
      <c r="G459" s="103"/>
      <c r="H459" s="1058"/>
      <c r="I459" s="684" t="str">
        <f t="shared" si="48"/>
        <v/>
      </c>
      <c r="J459" s="685">
        <f t="shared" si="49"/>
        <v>0</v>
      </c>
      <c r="K459" s="1258"/>
      <c r="L459" s="1251"/>
      <c r="M459" s="1257"/>
      <c r="N459" s="719" t="str">
        <f t="shared" si="52"/>
        <v/>
      </c>
      <c r="O459" s="720" t="str">
        <f>IF('Set up ~ Config'!$G$32=6,IF(OR($N459=7,$N459=8,$N459=9),1,IF(OR($N459=10,$N459=11,$N459=12),2,IF(OR($N459=1,$N459=2,$N459=3),3,IF(OR($N459=4,$N459=5,$N459=6),4,"")))),IF(OR($N459=9,$N459=10,$N459=11),1,IF(OR($N459=12,$N459=1,$N459=2),2,IF(OR($N459=3,$N459=4,$N459=5),3,IF(OR($N459=6,$N459=7,$N459=8),4,"")))))</f>
        <v/>
      </c>
      <c r="P459" s="99"/>
      <c r="Q459" s="62"/>
      <c r="R459" s="62"/>
      <c r="S459" s="51"/>
      <c r="T459" s="51"/>
      <c r="U459" s="51"/>
      <c r="V459" s="51"/>
      <c r="W459" s="51"/>
      <c r="X459" s="51"/>
      <c r="Y459" s="51"/>
      <c r="Z459" s="51"/>
      <c r="AA459" s="51"/>
      <c r="AB459" s="51"/>
      <c r="AC459" s="51"/>
      <c r="AD459" s="51"/>
      <c r="AE459" s="51"/>
      <c r="AF459" s="51"/>
      <c r="AG459" s="51"/>
      <c r="AH459" s="94"/>
      <c r="AI459" s="94"/>
      <c r="AJ459" s="94"/>
      <c r="AK459" s="94"/>
      <c r="AL459" s="94"/>
      <c r="AM459" s="94"/>
      <c r="AN459" s="94"/>
      <c r="AO459" s="95"/>
      <c r="AP459" s="686">
        <f t="shared" si="53"/>
        <v>0</v>
      </c>
      <c r="AQ459" s="42"/>
      <c r="AR459" s="42"/>
      <c r="AS459" s="42"/>
      <c r="AT459" s="43"/>
      <c r="AU459" s="687">
        <f t="shared" si="54"/>
        <v>0</v>
      </c>
      <c r="AV459" s="42"/>
      <c r="AW459" s="42"/>
      <c r="AX459" s="42"/>
      <c r="AY459" s="43"/>
      <c r="AZ459" s="486"/>
      <c r="BA459" s="51"/>
      <c r="BB459" s="51"/>
      <c r="BC459" s="51"/>
      <c r="BD459" s="51"/>
      <c r="BE459" s="51"/>
      <c r="BF459" s="51"/>
      <c r="BG459" s="51"/>
      <c r="BH459" s="94"/>
      <c r="BI459" s="94"/>
      <c r="BJ459" s="94"/>
      <c r="BK459" s="94"/>
      <c r="BL459" s="94"/>
      <c r="BM459" s="483"/>
      <c r="BN459" s="94"/>
      <c r="BO459" s="94"/>
      <c r="BP459" s="94"/>
      <c r="BQ459" s="94"/>
      <c r="BR459" s="94"/>
      <c r="BS459" s="94"/>
      <c r="BT459" s="94"/>
      <c r="BU459" s="94"/>
      <c r="BV459" s="94"/>
      <c r="BW459" s="688">
        <f t="shared" si="50"/>
        <v>0</v>
      </c>
      <c r="BX459" s="51"/>
      <c r="BY459" s="51"/>
      <c r="BZ459" s="51"/>
      <c r="CA459" s="51"/>
      <c r="CB459" s="51"/>
      <c r="CC459" s="51"/>
      <c r="CD459" s="97"/>
      <c r="CE459" s="479"/>
      <c r="CF459" s="51"/>
      <c r="CG459" s="51"/>
      <c r="CH459" s="62"/>
      <c r="CI459" s="62"/>
      <c r="CJ459" s="51"/>
      <c r="CK459" s="51"/>
      <c r="CL459" s="95"/>
      <c r="CM459" s="93"/>
      <c r="CN459" s="51"/>
      <c r="CO459" s="51"/>
      <c r="CP459" s="51"/>
      <c r="CQ459" s="51"/>
      <c r="CR459" s="51"/>
      <c r="CS459" s="51"/>
      <c r="CT459" s="51"/>
      <c r="CU459" s="95"/>
      <c r="CV459" s="93"/>
      <c r="CW459" s="51"/>
      <c r="CX459" s="51"/>
      <c r="CY459" s="51"/>
      <c r="CZ459" s="51"/>
      <c r="DA459" s="51"/>
      <c r="DB459" s="51"/>
      <c r="DC459" s="51"/>
      <c r="DD459" s="95"/>
      <c r="DE459" s="93"/>
      <c r="DF459" s="51"/>
      <c r="DG459" s="51"/>
      <c r="DH459" s="51"/>
      <c r="DI459" s="51"/>
      <c r="DJ459" s="51"/>
      <c r="DK459" s="51"/>
      <c r="DL459" s="95"/>
      <c r="DM459" s="478"/>
      <c r="DN459" s="682">
        <f t="shared" si="55"/>
        <v>0</v>
      </c>
      <c r="DO459" s="683"/>
    </row>
    <row r="460" spans="1:119" ht="25.5" customHeight="1" thickTop="1" thickBot="1" x14ac:dyDescent="0.2">
      <c r="A460" s="676">
        <f t="shared" si="51"/>
        <v>445</v>
      </c>
      <c r="B460" s="1054"/>
      <c r="C460" s="1055"/>
      <c r="D460" s="83"/>
      <c r="E460" s="954"/>
      <c r="F460" s="52"/>
      <c r="G460" s="103"/>
      <c r="H460" s="1058"/>
      <c r="I460" s="684" t="str">
        <f t="shared" si="48"/>
        <v/>
      </c>
      <c r="J460" s="685">
        <f t="shared" si="49"/>
        <v>0</v>
      </c>
      <c r="K460" s="1258"/>
      <c r="L460" s="1251"/>
      <c r="M460" s="1257"/>
      <c r="N460" s="719" t="str">
        <f t="shared" si="52"/>
        <v/>
      </c>
      <c r="O460" s="720" t="str">
        <f>IF('Set up ~ Config'!$G$32=6,IF(OR($N460=7,$N460=8,$N460=9),1,IF(OR($N460=10,$N460=11,$N460=12),2,IF(OR($N460=1,$N460=2,$N460=3),3,IF(OR($N460=4,$N460=5,$N460=6),4,"")))),IF(OR($N460=9,$N460=10,$N460=11),1,IF(OR($N460=12,$N460=1,$N460=2),2,IF(OR($N460=3,$N460=4,$N460=5),3,IF(OR($N460=6,$N460=7,$N460=8),4,"")))))</f>
        <v/>
      </c>
      <c r="P460" s="99"/>
      <c r="Q460" s="62"/>
      <c r="R460" s="62"/>
      <c r="S460" s="51"/>
      <c r="T460" s="51"/>
      <c r="U460" s="51"/>
      <c r="V460" s="51"/>
      <c r="W460" s="51"/>
      <c r="X460" s="51"/>
      <c r="Y460" s="51"/>
      <c r="Z460" s="51"/>
      <c r="AA460" s="51"/>
      <c r="AB460" s="51"/>
      <c r="AC460" s="51"/>
      <c r="AD460" s="51"/>
      <c r="AE460" s="51"/>
      <c r="AF460" s="51"/>
      <c r="AG460" s="51"/>
      <c r="AH460" s="94"/>
      <c r="AI460" s="94"/>
      <c r="AJ460" s="94"/>
      <c r="AK460" s="94"/>
      <c r="AL460" s="94"/>
      <c r="AM460" s="94"/>
      <c r="AN460" s="94"/>
      <c r="AO460" s="95"/>
      <c r="AP460" s="686">
        <f t="shared" si="53"/>
        <v>0</v>
      </c>
      <c r="AQ460" s="42"/>
      <c r="AR460" s="42"/>
      <c r="AS460" s="42"/>
      <c r="AT460" s="43"/>
      <c r="AU460" s="687">
        <f t="shared" si="54"/>
        <v>0</v>
      </c>
      <c r="AV460" s="42"/>
      <c r="AW460" s="42"/>
      <c r="AX460" s="42"/>
      <c r="AY460" s="43"/>
      <c r="AZ460" s="486"/>
      <c r="BA460" s="51"/>
      <c r="BB460" s="51"/>
      <c r="BC460" s="51"/>
      <c r="BD460" s="51"/>
      <c r="BE460" s="51"/>
      <c r="BF460" s="51"/>
      <c r="BG460" s="51"/>
      <c r="BH460" s="94"/>
      <c r="BI460" s="94"/>
      <c r="BJ460" s="94"/>
      <c r="BK460" s="94"/>
      <c r="BL460" s="94"/>
      <c r="BM460" s="483"/>
      <c r="BN460" s="94"/>
      <c r="BO460" s="94"/>
      <c r="BP460" s="94"/>
      <c r="BQ460" s="94"/>
      <c r="BR460" s="94"/>
      <c r="BS460" s="94"/>
      <c r="BT460" s="94"/>
      <c r="BU460" s="94"/>
      <c r="BV460" s="94"/>
      <c r="BW460" s="688">
        <f t="shared" si="50"/>
        <v>0</v>
      </c>
      <c r="BX460" s="51"/>
      <c r="BY460" s="51"/>
      <c r="BZ460" s="51"/>
      <c r="CA460" s="51"/>
      <c r="CB460" s="51"/>
      <c r="CC460" s="51"/>
      <c r="CD460" s="97"/>
      <c r="CE460" s="479"/>
      <c r="CF460" s="51"/>
      <c r="CG460" s="51"/>
      <c r="CH460" s="62"/>
      <c r="CI460" s="62"/>
      <c r="CJ460" s="51"/>
      <c r="CK460" s="51"/>
      <c r="CL460" s="95"/>
      <c r="CM460" s="93"/>
      <c r="CN460" s="51"/>
      <c r="CO460" s="51"/>
      <c r="CP460" s="51"/>
      <c r="CQ460" s="51"/>
      <c r="CR460" s="51"/>
      <c r="CS460" s="51"/>
      <c r="CT460" s="51"/>
      <c r="CU460" s="95"/>
      <c r="CV460" s="93"/>
      <c r="CW460" s="51"/>
      <c r="CX460" s="51"/>
      <c r="CY460" s="51"/>
      <c r="CZ460" s="51"/>
      <c r="DA460" s="51"/>
      <c r="DB460" s="51"/>
      <c r="DC460" s="51"/>
      <c r="DD460" s="95"/>
      <c r="DE460" s="93"/>
      <c r="DF460" s="51"/>
      <c r="DG460" s="51"/>
      <c r="DH460" s="51"/>
      <c r="DI460" s="51"/>
      <c r="DJ460" s="51"/>
      <c r="DK460" s="51"/>
      <c r="DL460" s="95"/>
      <c r="DM460" s="478"/>
      <c r="DN460" s="682">
        <f t="shared" si="55"/>
        <v>0</v>
      </c>
      <c r="DO460" s="683"/>
    </row>
    <row r="461" spans="1:119" ht="25.5" customHeight="1" thickTop="1" thickBot="1" x14ac:dyDescent="0.2">
      <c r="A461" s="676">
        <f t="shared" si="51"/>
        <v>446</v>
      </c>
      <c r="B461" s="1054"/>
      <c r="C461" s="1055"/>
      <c r="D461" s="83"/>
      <c r="E461" s="954"/>
      <c r="F461" s="52"/>
      <c r="G461" s="103"/>
      <c r="H461" s="1058"/>
      <c r="I461" s="684" t="str">
        <f t="shared" si="48"/>
        <v/>
      </c>
      <c r="J461" s="685">
        <f t="shared" si="49"/>
        <v>0</v>
      </c>
      <c r="K461" s="1258"/>
      <c r="L461" s="1251"/>
      <c r="M461" s="1257"/>
      <c r="N461" s="719" t="str">
        <f t="shared" si="52"/>
        <v/>
      </c>
      <c r="O461" s="720" t="str">
        <f>IF('Set up ~ Config'!$G$32=6,IF(OR($N461=7,$N461=8,$N461=9),1,IF(OR($N461=10,$N461=11,$N461=12),2,IF(OR($N461=1,$N461=2,$N461=3),3,IF(OR($N461=4,$N461=5,$N461=6),4,"")))),IF(OR($N461=9,$N461=10,$N461=11),1,IF(OR($N461=12,$N461=1,$N461=2),2,IF(OR($N461=3,$N461=4,$N461=5),3,IF(OR($N461=6,$N461=7,$N461=8),4,"")))))</f>
        <v/>
      </c>
      <c r="P461" s="99"/>
      <c r="Q461" s="62"/>
      <c r="R461" s="62"/>
      <c r="S461" s="51"/>
      <c r="T461" s="51"/>
      <c r="U461" s="51"/>
      <c r="V461" s="51"/>
      <c r="W461" s="51"/>
      <c r="X461" s="51"/>
      <c r="Y461" s="51"/>
      <c r="Z461" s="51"/>
      <c r="AA461" s="51"/>
      <c r="AB461" s="51"/>
      <c r="AC461" s="51"/>
      <c r="AD461" s="51"/>
      <c r="AE461" s="51"/>
      <c r="AF461" s="51"/>
      <c r="AG461" s="51"/>
      <c r="AH461" s="94"/>
      <c r="AI461" s="94"/>
      <c r="AJ461" s="94"/>
      <c r="AK461" s="94"/>
      <c r="AL461" s="94"/>
      <c r="AM461" s="94"/>
      <c r="AN461" s="94"/>
      <c r="AO461" s="95"/>
      <c r="AP461" s="686">
        <f t="shared" si="53"/>
        <v>0</v>
      </c>
      <c r="AQ461" s="42"/>
      <c r="AR461" s="42"/>
      <c r="AS461" s="42"/>
      <c r="AT461" s="43"/>
      <c r="AU461" s="687">
        <f t="shared" si="54"/>
        <v>0</v>
      </c>
      <c r="AV461" s="42"/>
      <c r="AW461" s="42"/>
      <c r="AX461" s="42"/>
      <c r="AY461" s="43"/>
      <c r="AZ461" s="486"/>
      <c r="BA461" s="51"/>
      <c r="BB461" s="51"/>
      <c r="BC461" s="51"/>
      <c r="BD461" s="51"/>
      <c r="BE461" s="51"/>
      <c r="BF461" s="51"/>
      <c r="BG461" s="51"/>
      <c r="BH461" s="94"/>
      <c r="BI461" s="94"/>
      <c r="BJ461" s="94"/>
      <c r="BK461" s="94"/>
      <c r="BL461" s="94"/>
      <c r="BM461" s="483"/>
      <c r="BN461" s="94"/>
      <c r="BO461" s="94"/>
      <c r="BP461" s="94"/>
      <c r="BQ461" s="94"/>
      <c r="BR461" s="94"/>
      <c r="BS461" s="94"/>
      <c r="BT461" s="94"/>
      <c r="BU461" s="94"/>
      <c r="BV461" s="94"/>
      <c r="BW461" s="688">
        <f t="shared" si="50"/>
        <v>0</v>
      </c>
      <c r="BX461" s="51"/>
      <c r="BY461" s="51"/>
      <c r="BZ461" s="51"/>
      <c r="CA461" s="51"/>
      <c r="CB461" s="51"/>
      <c r="CC461" s="51"/>
      <c r="CD461" s="97"/>
      <c r="CE461" s="479"/>
      <c r="CF461" s="51"/>
      <c r="CG461" s="51"/>
      <c r="CH461" s="62"/>
      <c r="CI461" s="62"/>
      <c r="CJ461" s="51"/>
      <c r="CK461" s="51"/>
      <c r="CL461" s="95"/>
      <c r="CM461" s="93"/>
      <c r="CN461" s="51"/>
      <c r="CO461" s="51"/>
      <c r="CP461" s="51"/>
      <c r="CQ461" s="51"/>
      <c r="CR461" s="51"/>
      <c r="CS461" s="51"/>
      <c r="CT461" s="51"/>
      <c r="CU461" s="95"/>
      <c r="CV461" s="93"/>
      <c r="CW461" s="51"/>
      <c r="CX461" s="51"/>
      <c r="CY461" s="51"/>
      <c r="CZ461" s="51"/>
      <c r="DA461" s="51"/>
      <c r="DB461" s="51"/>
      <c r="DC461" s="51"/>
      <c r="DD461" s="95"/>
      <c r="DE461" s="93"/>
      <c r="DF461" s="51"/>
      <c r="DG461" s="51"/>
      <c r="DH461" s="51"/>
      <c r="DI461" s="51"/>
      <c r="DJ461" s="51"/>
      <c r="DK461" s="51"/>
      <c r="DL461" s="95"/>
      <c r="DM461" s="478"/>
      <c r="DN461" s="682">
        <f t="shared" si="55"/>
        <v>0</v>
      </c>
      <c r="DO461" s="683"/>
    </row>
    <row r="462" spans="1:119" ht="25.5" customHeight="1" thickTop="1" thickBot="1" x14ac:dyDescent="0.2">
      <c r="A462" s="676">
        <f t="shared" si="51"/>
        <v>447</v>
      </c>
      <c r="B462" s="1054"/>
      <c r="C462" s="1055"/>
      <c r="D462" s="83"/>
      <c r="E462" s="954"/>
      <c r="F462" s="52"/>
      <c r="G462" s="103"/>
      <c r="H462" s="1058"/>
      <c r="I462" s="684" t="str">
        <f t="shared" si="48"/>
        <v/>
      </c>
      <c r="J462" s="685">
        <f t="shared" si="49"/>
        <v>0</v>
      </c>
      <c r="K462" s="1258"/>
      <c r="L462" s="1251"/>
      <c r="M462" s="1257"/>
      <c r="N462" s="719" t="str">
        <f t="shared" si="52"/>
        <v/>
      </c>
      <c r="O462" s="720" t="str">
        <f>IF('Set up ~ Config'!$G$32=6,IF(OR($N462=7,$N462=8,$N462=9),1,IF(OR($N462=10,$N462=11,$N462=12),2,IF(OR($N462=1,$N462=2,$N462=3),3,IF(OR($N462=4,$N462=5,$N462=6),4,"")))),IF(OR($N462=9,$N462=10,$N462=11),1,IF(OR($N462=12,$N462=1,$N462=2),2,IF(OR($N462=3,$N462=4,$N462=5),3,IF(OR($N462=6,$N462=7,$N462=8),4,"")))))</f>
        <v/>
      </c>
      <c r="P462" s="99"/>
      <c r="Q462" s="62"/>
      <c r="R462" s="62"/>
      <c r="S462" s="51"/>
      <c r="T462" s="51"/>
      <c r="U462" s="51"/>
      <c r="V462" s="51"/>
      <c r="W462" s="51"/>
      <c r="X462" s="51"/>
      <c r="Y462" s="51"/>
      <c r="Z462" s="51"/>
      <c r="AA462" s="51"/>
      <c r="AB462" s="51"/>
      <c r="AC462" s="51"/>
      <c r="AD462" s="51"/>
      <c r="AE462" s="51"/>
      <c r="AF462" s="51"/>
      <c r="AG462" s="51"/>
      <c r="AH462" s="94"/>
      <c r="AI462" s="94"/>
      <c r="AJ462" s="94"/>
      <c r="AK462" s="94"/>
      <c r="AL462" s="94"/>
      <c r="AM462" s="94"/>
      <c r="AN462" s="94"/>
      <c r="AO462" s="95"/>
      <c r="AP462" s="686">
        <f t="shared" si="53"/>
        <v>0</v>
      </c>
      <c r="AQ462" s="42"/>
      <c r="AR462" s="42"/>
      <c r="AS462" s="42"/>
      <c r="AT462" s="43"/>
      <c r="AU462" s="687">
        <f t="shared" si="54"/>
        <v>0</v>
      </c>
      <c r="AV462" s="42"/>
      <c r="AW462" s="42"/>
      <c r="AX462" s="42"/>
      <c r="AY462" s="43"/>
      <c r="AZ462" s="486"/>
      <c r="BA462" s="51"/>
      <c r="BB462" s="51"/>
      <c r="BC462" s="51"/>
      <c r="BD462" s="51"/>
      <c r="BE462" s="51"/>
      <c r="BF462" s="51"/>
      <c r="BG462" s="51"/>
      <c r="BH462" s="94"/>
      <c r="BI462" s="94"/>
      <c r="BJ462" s="94"/>
      <c r="BK462" s="94"/>
      <c r="BL462" s="94"/>
      <c r="BM462" s="483"/>
      <c r="BN462" s="94"/>
      <c r="BO462" s="94"/>
      <c r="BP462" s="94"/>
      <c r="BQ462" s="94"/>
      <c r="BR462" s="94"/>
      <c r="BS462" s="94"/>
      <c r="BT462" s="94"/>
      <c r="BU462" s="94"/>
      <c r="BV462" s="94"/>
      <c r="BW462" s="688">
        <f t="shared" si="50"/>
        <v>0</v>
      </c>
      <c r="BX462" s="51"/>
      <c r="BY462" s="51"/>
      <c r="BZ462" s="51"/>
      <c r="CA462" s="51"/>
      <c r="CB462" s="51"/>
      <c r="CC462" s="51"/>
      <c r="CD462" s="97"/>
      <c r="CE462" s="479"/>
      <c r="CF462" s="51"/>
      <c r="CG462" s="51"/>
      <c r="CH462" s="62"/>
      <c r="CI462" s="62"/>
      <c r="CJ462" s="51"/>
      <c r="CK462" s="51"/>
      <c r="CL462" s="95"/>
      <c r="CM462" s="93"/>
      <c r="CN462" s="51"/>
      <c r="CO462" s="51"/>
      <c r="CP462" s="51"/>
      <c r="CQ462" s="51"/>
      <c r="CR462" s="51"/>
      <c r="CS462" s="51"/>
      <c r="CT462" s="51"/>
      <c r="CU462" s="95"/>
      <c r="CV462" s="93"/>
      <c r="CW462" s="51"/>
      <c r="CX462" s="51"/>
      <c r="CY462" s="51"/>
      <c r="CZ462" s="51"/>
      <c r="DA462" s="51"/>
      <c r="DB462" s="51"/>
      <c r="DC462" s="51"/>
      <c r="DD462" s="95"/>
      <c r="DE462" s="93"/>
      <c r="DF462" s="51"/>
      <c r="DG462" s="51"/>
      <c r="DH462" s="51"/>
      <c r="DI462" s="51"/>
      <c r="DJ462" s="51"/>
      <c r="DK462" s="51"/>
      <c r="DL462" s="95"/>
      <c r="DM462" s="478"/>
      <c r="DN462" s="682">
        <f t="shared" si="55"/>
        <v>0</v>
      </c>
      <c r="DO462" s="683"/>
    </row>
    <row r="463" spans="1:119" ht="25.5" customHeight="1" thickTop="1" thickBot="1" x14ac:dyDescent="0.2">
      <c r="A463" s="676">
        <f t="shared" si="51"/>
        <v>448</v>
      </c>
      <c r="B463" s="1054"/>
      <c r="C463" s="1055"/>
      <c r="D463" s="83"/>
      <c r="E463" s="954"/>
      <c r="F463" s="52"/>
      <c r="G463" s="103"/>
      <c r="H463" s="1058"/>
      <c r="I463" s="684" t="str">
        <f t="shared" si="48"/>
        <v/>
      </c>
      <c r="J463" s="685">
        <f t="shared" si="49"/>
        <v>0</v>
      </c>
      <c r="K463" s="1258"/>
      <c r="L463" s="1251"/>
      <c r="M463" s="1257"/>
      <c r="N463" s="719" t="str">
        <f t="shared" si="52"/>
        <v/>
      </c>
      <c r="O463" s="720" t="str">
        <f>IF('Set up ~ Config'!$G$32=6,IF(OR($N463=7,$N463=8,$N463=9),1,IF(OR($N463=10,$N463=11,$N463=12),2,IF(OR($N463=1,$N463=2,$N463=3),3,IF(OR($N463=4,$N463=5,$N463=6),4,"")))),IF(OR($N463=9,$N463=10,$N463=11),1,IF(OR($N463=12,$N463=1,$N463=2),2,IF(OR($N463=3,$N463=4,$N463=5),3,IF(OR($N463=6,$N463=7,$N463=8),4,"")))))</f>
        <v/>
      </c>
      <c r="P463" s="99"/>
      <c r="Q463" s="62"/>
      <c r="R463" s="62"/>
      <c r="S463" s="51"/>
      <c r="T463" s="51"/>
      <c r="U463" s="51"/>
      <c r="V463" s="51"/>
      <c r="W463" s="51"/>
      <c r="X463" s="51"/>
      <c r="Y463" s="51"/>
      <c r="Z463" s="51"/>
      <c r="AA463" s="51"/>
      <c r="AB463" s="51"/>
      <c r="AC463" s="51"/>
      <c r="AD463" s="51"/>
      <c r="AE463" s="51"/>
      <c r="AF463" s="51"/>
      <c r="AG463" s="51"/>
      <c r="AH463" s="94"/>
      <c r="AI463" s="94"/>
      <c r="AJ463" s="94"/>
      <c r="AK463" s="94"/>
      <c r="AL463" s="94"/>
      <c r="AM463" s="94"/>
      <c r="AN463" s="94"/>
      <c r="AO463" s="95"/>
      <c r="AP463" s="686">
        <f t="shared" si="53"/>
        <v>0</v>
      </c>
      <c r="AQ463" s="42"/>
      <c r="AR463" s="42"/>
      <c r="AS463" s="42"/>
      <c r="AT463" s="43"/>
      <c r="AU463" s="687">
        <f t="shared" si="54"/>
        <v>0</v>
      </c>
      <c r="AV463" s="42"/>
      <c r="AW463" s="42"/>
      <c r="AX463" s="42"/>
      <c r="AY463" s="43"/>
      <c r="AZ463" s="486"/>
      <c r="BA463" s="51"/>
      <c r="BB463" s="51"/>
      <c r="BC463" s="51"/>
      <c r="BD463" s="51"/>
      <c r="BE463" s="51"/>
      <c r="BF463" s="51"/>
      <c r="BG463" s="51"/>
      <c r="BH463" s="94"/>
      <c r="BI463" s="94"/>
      <c r="BJ463" s="94"/>
      <c r="BK463" s="94"/>
      <c r="BL463" s="94"/>
      <c r="BM463" s="483"/>
      <c r="BN463" s="94"/>
      <c r="BO463" s="94"/>
      <c r="BP463" s="94"/>
      <c r="BQ463" s="94"/>
      <c r="BR463" s="94"/>
      <c r="BS463" s="94"/>
      <c r="BT463" s="94"/>
      <c r="BU463" s="94"/>
      <c r="BV463" s="94"/>
      <c r="BW463" s="688">
        <f t="shared" si="50"/>
        <v>0</v>
      </c>
      <c r="BX463" s="51"/>
      <c r="BY463" s="51"/>
      <c r="BZ463" s="51"/>
      <c r="CA463" s="51"/>
      <c r="CB463" s="51"/>
      <c r="CC463" s="51"/>
      <c r="CD463" s="97"/>
      <c r="CE463" s="479"/>
      <c r="CF463" s="51"/>
      <c r="CG463" s="51"/>
      <c r="CH463" s="62"/>
      <c r="CI463" s="62"/>
      <c r="CJ463" s="51"/>
      <c r="CK463" s="51"/>
      <c r="CL463" s="95"/>
      <c r="CM463" s="93"/>
      <c r="CN463" s="51"/>
      <c r="CO463" s="51"/>
      <c r="CP463" s="51"/>
      <c r="CQ463" s="51"/>
      <c r="CR463" s="51"/>
      <c r="CS463" s="51"/>
      <c r="CT463" s="51"/>
      <c r="CU463" s="95"/>
      <c r="CV463" s="93"/>
      <c r="CW463" s="51"/>
      <c r="CX463" s="51"/>
      <c r="CY463" s="51"/>
      <c r="CZ463" s="51"/>
      <c r="DA463" s="51"/>
      <c r="DB463" s="51"/>
      <c r="DC463" s="51"/>
      <c r="DD463" s="95"/>
      <c r="DE463" s="93"/>
      <c r="DF463" s="51"/>
      <c r="DG463" s="51"/>
      <c r="DH463" s="51"/>
      <c r="DI463" s="51"/>
      <c r="DJ463" s="51"/>
      <c r="DK463" s="51"/>
      <c r="DL463" s="95"/>
      <c r="DM463" s="478"/>
      <c r="DN463" s="682">
        <f t="shared" si="55"/>
        <v>0</v>
      </c>
      <c r="DO463" s="683"/>
    </row>
    <row r="464" spans="1:119" ht="25.5" customHeight="1" thickTop="1" thickBot="1" x14ac:dyDescent="0.2">
      <c r="A464" s="676">
        <f t="shared" si="51"/>
        <v>449</v>
      </c>
      <c r="B464" s="1054"/>
      <c r="C464" s="1055"/>
      <c r="D464" s="83"/>
      <c r="E464" s="954"/>
      <c r="F464" s="52"/>
      <c r="G464" s="103"/>
      <c r="H464" s="1058"/>
      <c r="I464" s="684" t="str">
        <f t="shared" ref="I464:I515" si="56">LEFT(H464,4)</f>
        <v/>
      </c>
      <c r="J464" s="685">
        <f t="shared" ref="J464:J515" si="57">G464-DN464</f>
        <v>0</v>
      </c>
      <c r="K464" s="1258"/>
      <c r="L464" s="1251"/>
      <c r="M464" s="1257"/>
      <c r="N464" s="719" t="str">
        <f t="shared" si="52"/>
        <v/>
      </c>
      <c r="O464" s="720" t="str">
        <f>IF('Set up ~ Config'!$G$32=6,IF(OR($N464=7,$N464=8,$N464=9),1,IF(OR($N464=10,$N464=11,$N464=12),2,IF(OR($N464=1,$N464=2,$N464=3),3,IF(OR($N464=4,$N464=5,$N464=6),4,"")))),IF(OR($N464=9,$N464=10,$N464=11),1,IF(OR($N464=12,$N464=1,$N464=2),2,IF(OR($N464=3,$N464=4,$N464=5),3,IF(OR($N464=6,$N464=7,$N464=8),4,"")))))</f>
        <v/>
      </c>
      <c r="P464" s="99"/>
      <c r="Q464" s="62"/>
      <c r="R464" s="62"/>
      <c r="S464" s="51"/>
      <c r="T464" s="51"/>
      <c r="U464" s="51"/>
      <c r="V464" s="51"/>
      <c r="W464" s="51"/>
      <c r="X464" s="51"/>
      <c r="Y464" s="51"/>
      <c r="Z464" s="51"/>
      <c r="AA464" s="51"/>
      <c r="AB464" s="51"/>
      <c r="AC464" s="51"/>
      <c r="AD464" s="51"/>
      <c r="AE464" s="51"/>
      <c r="AF464" s="51"/>
      <c r="AG464" s="51"/>
      <c r="AH464" s="94"/>
      <c r="AI464" s="94"/>
      <c r="AJ464" s="94"/>
      <c r="AK464" s="94"/>
      <c r="AL464" s="94"/>
      <c r="AM464" s="94"/>
      <c r="AN464" s="94"/>
      <c r="AO464" s="95"/>
      <c r="AP464" s="686">
        <f t="shared" si="53"/>
        <v>0</v>
      </c>
      <c r="AQ464" s="42"/>
      <c r="AR464" s="42"/>
      <c r="AS464" s="42"/>
      <c r="AT464" s="43"/>
      <c r="AU464" s="687">
        <f t="shared" si="54"/>
        <v>0</v>
      </c>
      <c r="AV464" s="42"/>
      <c r="AW464" s="42"/>
      <c r="AX464" s="42"/>
      <c r="AY464" s="43"/>
      <c r="AZ464" s="486"/>
      <c r="BA464" s="51"/>
      <c r="BB464" s="51"/>
      <c r="BC464" s="51"/>
      <c r="BD464" s="51"/>
      <c r="BE464" s="51"/>
      <c r="BF464" s="51"/>
      <c r="BG464" s="51"/>
      <c r="BH464" s="94"/>
      <c r="BI464" s="94"/>
      <c r="BJ464" s="94"/>
      <c r="BK464" s="94"/>
      <c r="BL464" s="94"/>
      <c r="BM464" s="483"/>
      <c r="BN464" s="94"/>
      <c r="BO464" s="94"/>
      <c r="BP464" s="94"/>
      <c r="BQ464" s="94"/>
      <c r="BR464" s="94"/>
      <c r="BS464" s="94"/>
      <c r="BT464" s="94"/>
      <c r="BU464" s="94"/>
      <c r="BV464" s="94"/>
      <c r="BW464" s="688">
        <f t="shared" ref="BW464:BW515" si="58">SUM(BX464:CD464)</f>
        <v>0</v>
      </c>
      <c r="BX464" s="51"/>
      <c r="BY464" s="51"/>
      <c r="BZ464" s="51"/>
      <c r="CA464" s="51"/>
      <c r="CB464" s="51"/>
      <c r="CC464" s="51"/>
      <c r="CD464" s="97"/>
      <c r="CE464" s="479"/>
      <c r="CF464" s="51"/>
      <c r="CG464" s="51"/>
      <c r="CH464" s="62"/>
      <c r="CI464" s="62"/>
      <c r="CJ464" s="51"/>
      <c r="CK464" s="51"/>
      <c r="CL464" s="95"/>
      <c r="CM464" s="93"/>
      <c r="CN464" s="51"/>
      <c r="CO464" s="51"/>
      <c r="CP464" s="51"/>
      <c r="CQ464" s="51"/>
      <c r="CR464" s="51"/>
      <c r="CS464" s="51"/>
      <c r="CT464" s="51"/>
      <c r="CU464" s="95"/>
      <c r="CV464" s="93"/>
      <c r="CW464" s="51"/>
      <c r="CX464" s="51"/>
      <c r="CY464" s="51"/>
      <c r="CZ464" s="51"/>
      <c r="DA464" s="51"/>
      <c r="DB464" s="51"/>
      <c r="DC464" s="51"/>
      <c r="DD464" s="95"/>
      <c r="DE464" s="93"/>
      <c r="DF464" s="51"/>
      <c r="DG464" s="51"/>
      <c r="DH464" s="51"/>
      <c r="DI464" s="51"/>
      <c r="DJ464" s="51"/>
      <c r="DK464" s="51"/>
      <c r="DL464" s="95"/>
      <c r="DM464" s="478"/>
      <c r="DN464" s="682">
        <f t="shared" si="55"/>
        <v>0</v>
      </c>
      <c r="DO464" s="683"/>
    </row>
    <row r="465" spans="1:119" ht="25.5" customHeight="1" thickTop="1" thickBot="1" x14ac:dyDescent="0.2">
      <c r="A465" s="676">
        <f t="shared" ref="A465:A515" si="59">$A464+1</f>
        <v>450</v>
      </c>
      <c r="B465" s="1054"/>
      <c r="C465" s="1055"/>
      <c r="D465" s="83"/>
      <c r="E465" s="954"/>
      <c r="F465" s="52"/>
      <c r="G465" s="103"/>
      <c r="H465" s="1058"/>
      <c r="I465" s="684" t="str">
        <f t="shared" si="56"/>
        <v/>
      </c>
      <c r="J465" s="685">
        <f t="shared" si="57"/>
        <v>0</v>
      </c>
      <c r="K465" s="1258"/>
      <c r="L465" s="1251"/>
      <c r="M465" s="1257"/>
      <c r="N465" s="719" t="str">
        <f t="shared" ref="N465:N515" si="60">IF($E465="","",MONTH($E465))</f>
        <v/>
      </c>
      <c r="O465" s="720" t="str">
        <f>IF('Set up ~ Config'!$G$32=6,IF(OR($N465=7,$N465=8,$N465=9),1,IF(OR($N465=10,$N465=11,$N465=12),2,IF(OR($N465=1,$N465=2,$N465=3),3,IF(OR($N465=4,$N465=5,$N465=6),4,"")))),IF(OR($N465=9,$N465=10,$N465=11),1,IF(OR($N465=12,$N465=1,$N465=2),2,IF(OR($N465=3,$N465=4,$N465=5),3,IF(OR($N465=6,$N465=7,$N465=8),4,"")))))</f>
        <v/>
      </c>
      <c r="P465" s="99"/>
      <c r="Q465" s="62"/>
      <c r="R465" s="62"/>
      <c r="S465" s="51"/>
      <c r="T465" s="51"/>
      <c r="U465" s="51"/>
      <c r="V465" s="51"/>
      <c r="W465" s="51"/>
      <c r="X465" s="51"/>
      <c r="Y465" s="51"/>
      <c r="Z465" s="51"/>
      <c r="AA465" s="51"/>
      <c r="AB465" s="51"/>
      <c r="AC465" s="51"/>
      <c r="AD465" s="51"/>
      <c r="AE465" s="51"/>
      <c r="AF465" s="51"/>
      <c r="AG465" s="51"/>
      <c r="AH465" s="94"/>
      <c r="AI465" s="94"/>
      <c r="AJ465" s="94"/>
      <c r="AK465" s="94"/>
      <c r="AL465" s="94"/>
      <c r="AM465" s="94"/>
      <c r="AN465" s="94"/>
      <c r="AO465" s="95"/>
      <c r="AP465" s="686">
        <f t="shared" ref="AP465:AP515" si="61">SUM(AQ465:AT465)</f>
        <v>0</v>
      </c>
      <c r="AQ465" s="42"/>
      <c r="AR465" s="42"/>
      <c r="AS465" s="42"/>
      <c r="AT465" s="43"/>
      <c r="AU465" s="687">
        <f t="shared" ref="AU465:AU515" si="62">SUM(AV465:AY465)</f>
        <v>0</v>
      </c>
      <c r="AV465" s="42"/>
      <c r="AW465" s="42"/>
      <c r="AX465" s="42"/>
      <c r="AY465" s="43"/>
      <c r="AZ465" s="486"/>
      <c r="BA465" s="51"/>
      <c r="BB465" s="51"/>
      <c r="BC465" s="51"/>
      <c r="BD465" s="51"/>
      <c r="BE465" s="51"/>
      <c r="BF465" s="51"/>
      <c r="BG465" s="51"/>
      <c r="BH465" s="94"/>
      <c r="BI465" s="94"/>
      <c r="BJ465" s="94"/>
      <c r="BK465" s="94"/>
      <c r="BL465" s="94"/>
      <c r="BM465" s="483"/>
      <c r="BN465" s="94"/>
      <c r="BO465" s="94"/>
      <c r="BP465" s="94"/>
      <c r="BQ465" s="94"/>
      <c r="BR465" s="94"/>
      <c r="BS465" s="94"/>
      <c r="BT465" s="94"/>
      <c r="BU465" s="94"/>
      <c r="BV465" s="94"/>
      <c r="BW465" s="688">
        <f t="shared" si="58"/>
        <v>0</v>
      </c>
      <c r="BX465" s="51"/>
      <c r="BY465" s="51"/>
      <c r="BZ465" s="51"/>
      <c r="CA465" s="51"/>
      <c r="CB465" s="51"/>
      <c r="CC465" s="51"/>
      <c r="CD465" s="97"/>
      <c r="CE465" s="479"/>
      <c r="CF465" s="51"/>
      <c r="CG465" s="51"/>
      <c r="CH465" s="62"/>
      <c r="CI465" s="62"/>
      <c r="CJ465" s="51"/>
      <c r="CK465" s="51"/>
      <c r="CL465" s="95"/>
      <c r="CM465" s="93"/>
      <c r="CN465" s="51"/>
      <c r="CO465" s="51"/>
      <c r="CP465" s="51"/>
      <c r="CQ465" s="51"/>
      <c r="CR465" s="51"/>
      <c r="CS465" s="51"/>
      <c r="CT465" s="51"/>
      <c r="CU465" s="95"/>
      <c r="CV465" s="93"/>
      <c r="CW465" s="51"/>
      <c r="CX465" s="51"/>
      <c r="CY465" s="51"/>
      <c r="CZ465" s="51"/>
      <c r="DA465" s="51"/>
      <c r="DB465" s="51"/>
      <c r="DC465" s="51"/>
      <c r="DD465" s="95"/>
      <c r="DE465" s="93"/>
      <c r="DF465" s="51"/>
      <c r="DG465" s="51"/>
      <c r="DH465" s="51"/>
      <c r="DI465" s="51"/>
      <c r="DJ465" s="51"/>
      <c r="DK465" s="51"/>
      <c r="DL465" s="95"/>
      <c r="DM465" s="478"/>
      <c r="DN465" s="682">
        <f t="shared" ref="DN465:DN515" si="63">SUM(P465:AP465,AU465,AZ465:BW465,CE465:DM465)</f>
        <v>0</v>
      </c>
      <c r="DO465" s="683"/>
    </row>
    <row r="466" spans="1:119" ht="25.5" customHeight="1" thickTop="1" thickBot="1" x14ac:dyDescent="0.2">
      <c r="A466" s="676">
        <f t="shared" si="59"/>
        <v>451</v>
      </c>
      <c r="B466" s="1054"/>
      <c r="C466" s="1055"/>
      <c r="D466" s="83"/>
      <c r="E466" s="954"/>
      <c r="F466" s="52"/>
      <c r="G466" s="103"/>
      <c r="H466" s="1058"/>
      <c r="I466" s="684" t="str">
        <f t="shared" si="56"/>
        <v/>
      </c>
      <c r="J466" s="685">
        <f t="shared" si="57"/>
        <v>0</v>
      </c>
      <c r="K466" s="1258"/>
      <c r="L466" s="1251"/>
      <c r="M466" s="1257"/>
      <c r="N466" s="719" t="str">
        <f t="shared" si="60"/>
        <v/>
      </c>
      <c r="O466" s="720" t="str">
        <f>IF('Set up ~ Config'!$G$32=6,IF(OR($N466=7,$N466=8,$N466=9),1,IF(OR($N466=10,$N466=11,$N466=12),2,IF(OR($N466=1,$N466=2,$N466=3),3,IF(OR($N466=4,$N466=5,$N466=6),4,"")))),IF(OR($N466=9,$N466=10,$N466=11),1,IF(OR($N466=12,$N466=1,$N466=2),2,IF(OR($N466=3,$N466=4,$N466=5),3,IF(OR($N466=6,$N466=7,$N466=8),4,"")))))</f>
        <v/>
      </c>
      <c r="P466" s="99"/>
      <c r="Q466" s="62"/>
      <c r="R466" s="62"/>
      <c r="S466" s="51"/>
      <c r="T466" s="51"/>
      <c r="U466" s="51"/>
      <c r="V466" s="51"/>
      <c r="W466" s="51"/>
      <c r="X466" s="51"/>
      <c r="Y466" s="51"/>
      <c r="Z466" s="51"/>
      <c r="AA466" s="51"/>
      <c r="AB466" s="51"/>
      <c r="AC466" s="51"/>
      <c r="AD466" s="51"/>
      <c r="AE466" s="51"/>
      <c r="AF466" s="51"/>
      <c r="AG466" s="51"/>
      <c r="AH466" s="94"/>
      <c r="AI466" s="94"/>
      <c r="AJ466" s="94"/>
      <c r="AK466" s="94"/>
      <c r="AL466" s="94"/>
      <c r="AM466" s="94"/>
      <c r="AN466" s="94"/>
      <c r="AO466" s="95"/>
      <c r="AP466" s="686">
        <f t="shared" si="61"/>
        <v>0</v>
      </c>
      <c r="AQ466" s="42"/>
      <c r="AR466" s="42"/>
      <c r="AS466" s="42"/>
      <c r="AT466" s="43"/>
      <c r="AU466" s="687">
        <f t="shared" si="62"/>
        <v>0</v>
      </c>
      <c r="AV466" s="42"/>
      <c r="AW466" s="42"/>
      <c r="AX466" s="42"/>
      <c r="AY466" s="43"/>
      <c r="AZ466" s="486"/>
      <c r="BA466" s="51"/>
      <c r="BB466" s="51"/>
      <c r="BC466" s="51"/>
      <c r="BD466" s="51"/>
      <c r="BE466" s="51"/>
      <c r="BF466" s="51"/>
      <c r="BG466" s="51"/>
      <c r="BH466" s="94"/>
      <c r="BI466" s="94"/>
      <c r="BJ466" s="94"/>
      <c r="BK466" s="94"/>
      <c r="BL466" s="94"/>
      <c r="BM466" s="483"/>
      <c r="BN466" s="94"/>
      <c r="BO466" s="94"/>
      <c r="BP466" s="94"/>
      <c r="BQ466" s="94"/>
      <c r="BR466" s="94"/>
      <c r="BS466" s="94"/>
      <c r="BT466" s="94"/>
      <c r="BU466" s="94"/>
      <c r="BV466" s="94"/>
      <c r="BW466" s="688">
        <f t="shared" si="58"/>
        <v>0</v>
      </c>
      <c r="BX466" s="51"/>
      <c r="BY466" s="51"/>
      <c r="BZ466" s="51"/>
      <c r="CA466" s="51"/>
      <c r="CB466" s="51"/>
      <c r="CC466" s="51"/>
      <c r="CD466" s="97"/>
      <c r="CE466" s="479"/>
      <c r="CF466" s="51"/>
      <c r="CG466" s="51"/>
      <c r="CH466" s="62"/>
      <c r="CI466" s="62"/>
      <c r="CJ466" s="51"/>
      <c r="CK466" s="51"/>
      <c r="CL466" s="95"/>
      <c r="CM466" s="93"/>
      <c r="CN466" s="51"/>
      <c r="CO466" s="51"/>
      <c r="CP466" s="51"/>
      <c r="CQ466" s="51"/>
      <c r="CR466" s="51"/>
      <c r="CS466" s="51"/>
      <c r="CT466" s="51"/>
      <c r="CU466" s="95"/>
      <c r="CV466" s="93"/>
      <c r="CW466" s="51"/>
      <c r="CX466" s="51"/>
      <c r="CY466" s="51"/>
      <c r="CZ466" s="51"/>
      <c r="DA466" s="51"/>
      <c r="DB466" s="51"/>
      <c r="DC466" s="51"/>
      <c r="DD466" s="95"/>
      <c r="DE466" s="93"/>
      <c r="DF466" s="51"/>
      <c r="DG466" s="51"/>
      <c r="DH466" s="51"/>
      <c r="DI466" s="51"/>
      <c r="DJ466" s="51"/>
      <c r="DK466" s="51"/>
      <c r="DL466" s="95"/>
      <c r="DM466" s="478"/>
      <c r="DN466" s="682">
        <f t="shared" si="63"/>
        <v>0</v>
      </c>
      <c r="DO466" s="683"/>
    </row>
    <row r="467" spans="1:119" ht="25.5" customHeight="1" thickTop="1" thickBot="1" x14ac:dyDescent="0.2">
      <c r="A467" s="676">
        <f t="shared" si="59"/>
        <v>452</v>
      </c>
      <c r="B467" s="1054"/>
      <c r="C467" s="1055"/>
      <c r="D467" s="83"/>
      <c r="E467" s="954"/>
      <c r="F467" s="52"/>
      <c r="G467" s="103"/>
      <c r="H467" s="1058"/>
      <c r="I467" s="684" t="str">
        <f t="shared" si="56"/>
        <v/>
      </c>
      <c r="J467" s="685">
        <f t="shared" si="57"/>
        <v>0</v>
      </c>
      <c r="K467" s="1258"/>
      <c r="L467" s="1251"/>
      <c r="M467" s="1257"/>
      <c r="N467" s="719" t="str">
        <f t="shared" si="60"/>
        <v/>
      </c>
      <c r="O467" s="720" t="str">
        <f>IF('Set up ~ Config'!$G$32=6,IF(OR($N467=7,$N467=8,$N467=9),1,IF(OR($N467=10,$N467=11,$N467=12),2,IF(OR($N467=1,$N467=2,$N467=3),3,IF(OR($N467=4,$N467=5,$N467=6),4,"")))),IF(OR($N467=9,$N467=10,$N467=11),1,IF(OR($N467=12,$N467=1,$N467=2),2,IF(OR($N467=3,$N467=4,$N467=5),3,IF(OR($N467=6,$N467=7,$N467=8),4,"")))))</f>
        <v/>
      </c>
      <c r="P467" s="99"/>
      <c r="Q467" s="62"/>
      <c r="R467" s="62"/>
      <c r="S467" s="51"/>
      <c r="T467" s="51"/>
      <c r="U467" s="51"/>
      <c r="V467" s="51"/>
      <c r="W467" s="51"/>
      <c r="X467" s="51"/>
      <c r="Y467" s="51"/>
      <c r="Z467" s="51"/>
      <c r="AA467" s="51"/>
      <c r="AB467" s="51"/>
      <c r="AC467" s="51"/>
      <c r="AD467" s="51"/>
      <c r="AE467" s="51"/>
      <c r="AF467" s="51"/>
      <c r="AG467" s="51"/>
      <c r="AH467" s="94"/>
      <c r="AI467" s="94"/>
      <c r="AJ467" s="94"/>
      <c r="AK467" s="94"/>
      <c r="AL467" s="94"/>
      <c r="AM467" s="94"/>
      <c r="AN467" s="94"/>
      <c r="AO467" s="95"/>
      <c r="AP467" s="686">
        <f t="shared" si="61"/>
        <v>0</v>
      </c>
      <c r="AQ467" s="42"/>
      <c r="AR467" s="42"/>
      <c r="AS467" s="42"/>
      <c r="AT467" s="43"/>
      <c r="AU467" s="687">
        <f t="shared" si="62"/>
        <v>0</v>
      </c>
      <c r="AV467" s="42"/>
      <c r="AW467" s="42"/>
      <c r="AX467" s="42"/>
      <c r="AY467" s="43"/>
      <c r="AZ467" s="486"/>
      <c r="BA467" s="51"/>
      <c r="BB467" s="51"/>
      <c r="BC467" s="51"/>
      <c r="BD467" s="51"/>
      <c r="BE467" s="51"/>
      <c r="BF467" s="51"/>
      <c r="BG467" s="51"/>
      <c r="BH467" s="94"/>
      <c r="BI467" s="94"/>
      <c r="BJ467" s="94"/>
      <c r="BK467" s="94"/>
      <c r="BL467" s="94"/>
      <c r="BM467" s="483"/>
      <c r="BN467" s="94"/>
      <c r="BO467" s="94"/>
      <c r="BP467" s="94"/>
      <c r="BQ467" s="94"/>
      <c r="BR467" s="94"/>
      <c r="BS467" s="94"/>
      <c r="BT467" s="94"/>
      <c r="BU467" s="94"/>
      <c r="BV467" s="94"/>
      <c r="BW467" s="688">
        <f t="shared" si="58"/>
        <v>0</v>
      </c>
      <c r="BX467" s="51"/>
      <c r="BY467" s="51"/>
      <c r="BZ467" s="51"/>
      <c r="CA467" s="51"/>
      <c r="CB467" s="51"/>
      <c r="CC467" s="51"/>
      <c r="CD467" s="97"/>
      <c r="CE467" s="479"/>
      <c r="CF467" s="51"/>
      <c r="CG467" s="51"/>
      <c r="CH467" s="62"/>
      <c r="CI467" s="62"/>
      <c r="CJ467" s="51"/>
      <c r="CK467" s="51"/>
      <c r="CL467" s="95"/>
      <c r="CM467" s="93"/>
      <c r="CN467" s="51"/>
      <c r="CO467" s="51"/>
      <c r="CP467" s="51"/>
      <c r="CQ467" s="51"/>
      <c r="CR467" s="51"/>
      <c r="CS467" s="51"/>
      <c r="CT467" s="51"/>
      <c r="CU467" s="95"/>
      <c r="CV467" s="93"/>
      <c r="CW467" s="51"/>
      <c r="CX467" s="51"/>
      <c r="CY467" s="51"/>
      <c r="CZ467" s="51"/>
      <c r="DA467" s="51"/>
      <c r="DB467" s="51"/>
      <c r="DC467" s="51"/>
      <c r="DD467" s="95"/>
      <c r="DE467" s="93"/>
      <c r="DF467" s="51"/>
      <c r="DG467" s="51"/>
      <c r="DH467" s="51"/>
      <c r="DI467" s="51"/>
      <c r="DJ467" s="51"/>
      <c r="DK467" s="51"/>
      <c r="DL467" s="95"/>
      <c r="DM467" s="478"/>
      <c r="DN467" s="682">
        <f t="shared" si="63"/>
        <v>0</v>
      </c>
      <c r="DO467" s="683"/>
    </row>
    <row r="468" spans="1:119" ht="25.5" customHeight="1" thickTop="1" thickBot="1" x14ac:dyDescent="0.2">
      <c r="A468" s="676">
        <f t="shared" si="59"/>
        <v>453</v>
      </c>
      <c r="B468" s="1054"/>
      <c r="C468" s="1055"/>
      <c r="D468" s="83"/>
      <c r="E468" s="954"/>
      <c r="F468" s="52"/>
      <c r="G468" s="103"/>
      <c r="H468" s="1058"/>
      <c r="I468" s="684" t="str">
        <f t="shared" si="56"/>
        <v/>
      </c>
      <c r="J468" s="685">
        <f t="shared" si="57"/>
        <v>0</v>
      </c>
      <c r="K468" s="1258"/>
      <c r="L468" s="1251"/>
      <c r="M468" s="1257"/>
      <c r="N468" s="719" t="str">
        <f t="shared" si="60"/>
        <v/>
      </c>
      <c r="O468" s="720" t="str">
        <f>IF('Set up ~ Config'!$G$32=6,IF(OR($N468=7,$N468=8,$N468=9),1,IF(OR($N468=10,$N468=11,$N468=12),2,IF(OR($N468=1,$N468=2,$N468=3),3,IF(OR($N468=4,$N468=5,$N468=6),4,"")))),IF(OR($N468=9,$N468=10,$N468=11),1,IF(OR($N468=12,$N468=1,$N468=2),2,IF(OR($N468=3,$N468=4,$N468=5),3,IF(OR($N468=6,$N468=7,$N468=8),4,"")))))</f>
        <v/>
      </c>
      <c r="P468" s="99"/>
      <c r="Q468" s="62"/>
      <c r="R468" s="62"/>
      <c r="S468" s="51"/>
      <c r="T468" s="51"/>
      <c r="U468" s="51"/>
      <c r="V468" s="51"/>
      <c r="W468" s="51"/>
      <c r="X468" s="51"/>
      <c r="Y468" s="51"/>
      <c r="Z468" s="51"/>
      <c r="AA468" s="51"/>
      <c r="AB468" s="51"/>
      <c r="AC468" s="51"/>
      <c r="AD468" s="51"/>
      <c r="AE468" s="51"/>
      <c r="AF468" s="51"/>
      <c r="AG468" s="51"/>
      <c r="AH468" s="94"/>
      <c r="AI468" s="94"/>
      <c r="AJ468" s="94"/>
      <c r="AK468" s="94"/>
      <c r="AL468" s="94"/>
      <c r="AM468" s="94"/>
      <c r="AN468" s="94"/>
      <c r="AO468" s="95"/>
      <c r="AP468" s="686">
        <f t="shared" si="61"/>
        <v>0</v>
      </c>
      <c r="AQ468" s="42"/>
      <c r="AR468" s="42"/>
      <c r="AS468" s="42"/>
      <c r="AT468" s="43"/>
      <c r="AU468" s="687">
        <f t="shared" si="62"/>
        <v>0</v>
      </c>
      <c r="AV468" s="42"/>
      <c r="AW468" s="42"/>
      <c r="AX468" s="42"/>
      <c r="AY468" s="43"/>
      <c r="AZ468" s="486"/>
      <c r="BA468" s="51"/>
      <c r="BB468" s="51"/>
      <c r="BC468" s="51"/>
      <c r="BD468" s="51"/>
      <c r="BE468" s="51"/>
      <c r="BF468" s="51"/>
      <c r="BG468" s="51"/>
      <c r="BH468" s="94"/>
      <c r="BI468" s="94"/>
      <c r="BJ468" s="94"/>
      <c r="BK468" s="94"/>
      <c r="BL468" s="94"/>
      <c r="BM468" s="483"/>
      <c r="BN468" s="94"/>
      <c r="BO468" s="94"/>
      <c r="BP468" s="94"/>
      <c r="BQ468" s="94"/>
      <c r="BR468" s="94"/>
      <c r="BS468" s="94"/>
      <c r="BT468" s="94"/>
      <c r="BU468" s="94"/>
      <c r="BV468" s="94"/>
      <c r="BW468" s="688">
        <f t="shared" si="58"/>
        <v>0</v>
      </c>
      <c r="BX468" s="51"/>
      <c r="BY468" s="51"/>
      <c r="BZ468" s="51"/>
      <c r="CA468" s="51"/>
      <c r="CB468" s="51"/>
      <c r="CC468" s="51"/>
      <c r="CD468" s="97"/>
      <c r="CE468" s="479"/>
      <c r="CF468" s="51"/>
      <c r="CG468" s="51"/>
      <c r="CH468" s="62"/>
      <c r="CI468" s="62"/>
      <c r="CJ468" s="51"/>
      <c r="CK468" s="51"/>
      <c r="CL468" s="95"/>
      <c r="CM468" s="93"/>
      <c r="CN468" s="51"/>
      <c r="CO468" s="51"/>
      <c r="CP468" s="51"/>
      <c r="CQ468" s="51"/>
      <c r="CR468" s="51"/>
      <c r="CS468" s="51"/>
      <c r="CT468" s="51"/>
      <c r="CU468" s="95"/>
      <c r="CV468" s="93"/>
      <c r="CW468" s="51"/>
      <c r="CX468" s="51"/>
      <c r="CY468" s="51"/>
      <c r="CZ468" s="51"/>
      <c r="DA468" s="51"/>
      <c r="DB468" s="51"/>
      <c r="DC468" s="51"/>
      <c r="DD468" s="95"/>
      <c r="DE468" s="93"/>
      <c r="DF468" s="51"/>
      <c r="DG468" s="51"/>
      <c r="DH468" s="51"/>
      <c r="DI468" s="51"/>
      <c r="DJ468" s="51"/>
      <c r="DK468" s="51"/>
      <c r="DL468" s="95"/>
      <c r="DM468" s="478"/>
      <c r="DN468" s="682">
        <f t="shared" si="63"/>
        <v>0</v>
      </c>
      <c r="DO468" s="683"/>
    </row>
    <row r="469" spans="1:119" ht="25.5" customHeight="1" thickTop="1" thickBot="1" x14ac:dyDescent="0.2">
      <c r="A469" s="676">
        <f t="shared" si="59"/>
        <v>454</v>
      </c>
      <c r="B469" s="1054"/>
      <c r="C469" s="1055"/>
      <c r="D469" s="83"/>
      <c r="E469" s="954"/>
      <c r="F469" s="52"/>
      <c r="G469" s="103"/>
      <c r="H469" s="1058"/>
      <c r="I469" s="684" t="str">
        <f t="shared" si="56"/>
        <v/>
      </c>
      <c r="J469" s="685">
        <f t="shared" si="57"/>
        <v>0</v>
      </c>
      <c r="K469" s="1258"/>
      <c r="L469" s="1251"/>
      <c r="M469" s="1257"/>
      <c r="N469" s="719" t="str">
        <f t="shared" si="60"/>
        <v/>
      </c>
      <c r="O469" s="720" t="str">
        <f>IF('Set up ~ Config'!$G$32=6,IF(OR($N469=7,$N469=8,$N469=9),1,IF(OR($N469=10,$N469=11,$N469=12),2,IF(OR($N469=1,$N469=2,$N469=3),3,IF(OR($N469=4,$N469=5,$N469=6),4,"")))),IF(OR($N469=9,$N469=10,$N469=11),1,IF(OR($N469=12,$N469=1,$N469=2),2,IF(OR($N469=3,$N469=4,$N469=5),3,IF(OR($N469=6,$N469=7,$N469=8),4,"")))))</f>
        <v/>
      </c>
      <c r="P469" s="99"/>
      <c r="Q469" s="62"/>
      <c r="R469" s="62"/>
      <c r="S469" s="51"/>
      <c r="T469" s="51"/>
      <c r="U469" s="51"/>
      <c r="V469" s="51"/>
      <c r="W469" s="51"/>
      <c r="X469" s="51"/>
      <c r="Y469" s="51"/>
      <c r="Z469" s="51"/>
      <c r="AA469" s="51"/>
      <c r="AB469" s="51"/>
      <c r="AC469" s="51"/>
      <c r="AD469" s="51"/>
      <c r="AE469" s="51"/>
      <c r="AF469" s="51"/>
      <c r="AG469" s="51"/>
      <c r="AH469" s="94"/>
      <c r="AI469" s="94"/>
      <c r="AJ469" s="94"/>
      <c r="AK469" s="94"/>
      <c r="AL469" s="94"/>
      <c r="AM469" s="94"/>
      <c r="AN469" s="94"/>
      <c r="AO469" s="95"/>
      <c r="AP469" s="686">
        <f t="shared" si="61"/>
        <v>0</v>
      </c>
      <c r="AQ469" s="42"/>
      <c r="AR469" s="42"/>
      <c r="AS469" s="42"/>
      <c r="AT469" s="43"/>
      <c r="AU469" s="687">
        <f t="shared" si="62"/>
        <v>0</v>
      </c>
      <c r="AV469" s="42"/>
      <c r="AW469" s="42"/>
      <c r="AX469" s="42"/>
      <c r="AY469" s="43"/>
      <c r="AZ469" s="486"/>
      <c r="BA469" s="51"/>
      <c r="BB469" s="51"/>
      <c r="BC469" s="51"/>
      <c r="BD469" s="51"/>
      <c r="BE469" s="51"/>
      <c r="BF469" s="51"/>
      <c r="BG469" s="51"/>
      <c r="BH469" s="94"/>
      <c r="BI469" s="94"/>
      <c r="BJ469" s="94"/>
      <c r="BK469" s="94"/>
      <c r="BL469" s="94"/>
      <c r="BM469" s="483"/>
      <c r="BN469" s="94"/>
      <c r="BO469" s="94"/>
      <c r="BP469" s="94"/>
      <c r="BQ469" s="94"/>
      <c r="BR469" s="94"/>
      <c r="BS469" s="94"/>
      <c r="BT469" s="94"/>
      <c r="BU469" s="94"/>
      <c r="BV469" s="94"/>
      <c r="BW469" s="688">
        <f t="shared" si="58"/>
        <v>0</v>
      </c>
      <c r="BX469" s="51"/>
      <c r="BY469" s="51"/>
      <c r="BZ469" s="51"/>
      <c r="CA469" s="51"/>
      <c r="CB469" s="51"/>
      <c r="CC469" s="51"/>
      <c r="CD469" s="97"/>
      <c r="CE469" s="479"/>
      <c r="CF469" s="51"/>
      <c r="CG469" s="51"/>
      <c r="CH469" s="62"/>
      <c r="CI469" s="62"/>
      <c r="CJ469" s="51"/>
      <c r="CK469" s="51"/>
      <c r="CL469" s="95"/>
      <c r="CM469" s="93"/>
      <c r="CN469" s="51"/>
      <c r="CO469" s="51"/>
      <c r="CP469" s="51"/>
      <c r="CQ469" s="51"/>
      <c r="CR469" s="51"/>
      <c r="CS469" s="51"/>
      <c r="CT469" s="51"/>
      <c r="CU469" s="95"/>
      <c r="CV469" s="93"/>
      <c r="CW469" s="51"/>
      <c r="CX469" s="51"/>
      <c r="CY469" s="51"/>
      <c r="CZ469" s="51"/>
      <c r="DA469" s="51"/>
      <c r="DB469" s="51"/>
      <c r="DC469" s="51"/>
      <c r="DD469" s="95"/>
      <c r="DE469" s="93"/>
      <c r="DF469" s="51"/>
      <c r="DG469" s="51"/>
      <c r="DH469" s="51"/>
      <c r="DI469" s="51"/>
      <c r="DJ469" s="51"/>
      <c r="DK469" s="51"/>
      <c r="DL469" s="95"/>
      <c r="DM469" s="478"/>
      <c r="DN469" s="682">
        <f t="shared" si="63"/>
        <v>0</v>
      </c>
      <c r="DO469" s="683"/>
    </row>
    <row r="470" spans="1:119" ht="25.5" customHeight="1" thickTop="1" thickBot="1" x14ac:dyDescent="0.2">
      <c r="A470" s="676">
        <f t="shared" si="59"/>
        <v>455</v>
      </c>
      <c r="B470" s="1054"/>
      <c r="C470" s="1055"/>
      <c r="D470" s="83"/>
      <c r="E470" s="954"/>
      <c r="F470" s="52"/>
      <c r="G470" s="103"/>
      <c r="H470" s="1058"/>
      <c r="I470" s="684" t="str">
        <f t="shared" si="56"/>
        <v/>
      </c>
      <c r="J470" s="685">
        <f t="shared" si="57"/>
        <v>0</v>
      </c>
      <c r="K470" s="1258"/>
      <c r="L470" s="1251"/>
      <c r="M470" s="1257"/>
      <c r="N470" s="719" t="str">
        <f t="shared" si="60"/>
        <v/>
      </c>
      <c r="O470" s="720" t="str">
        <f>IF('Set up ~ Config'!$G$32=6,IF(OR($N470=7,$N470=8,$N470=9),1,IF(OR($N470=10,$N470=11,$N470=12),2,IF(OR($N470=1,$N470=2,$N470=3),3,IF(OR($N470=4,$N470=5,$N470=6),4,"")))),IF(OR($N470=9,$N470=10,$N470=11),1,IF(OR($N470=12,$N470=1,$N470=2),2,IF(OR($N470=3,$N470=4,$N470=5),3,IF(OR($N470=6,$N470=7,$N470=8),4,"")))))</f>
        <v/>
      </c>
      <c r="P470" s="99"/>
      <c r="Q470" s="62"/>
      <c r="R470" s="62"/>
      <c r="S470" s="51"/>
      <c r="T470" s="51"/>
      <c r="U470" s="51"/>
      <c r="V470" s="51"/>
      <c r="W470" s="51"/>
      <c r="X470" s="51"/>
      <c r="Y470" s="51"/>
      <c r="Z470" s="51"/>
      <c r="AA470" s="51"/>
      <c r="AB470" s="51"/>
      <c r="AC470" s="51"/>
      <c r="AD470" s="51"/>
      <c r="AE470" s="51"/>
      <c r="AF470" s="51"/>
      <c r="AG470" s="51"/>
      <c r="AH470" s="94"/>
      <c r="AI470" s="94"/>
      <c r="AJ470" s="94"/>
      <c r="AK470" s="94"/>
      <c r="AL470" s="94"/>
      <c r="AM470" s="94"/>
      <c r="AN470" s="94"/>
      <c r="AO470" s="95"/>
      <c r="AP470" s="686">
        <f t="shared" si="61"/>
        <v>0</v>
      </c>
      <c r="AQ470" s="42"/>
      <c r="AR470" s="42"/>
      <c r="AS470" s="42"/>
      <c r="AT470" s="43"/>
      <c r="AU470" s="687">
        <f t="shared" si="62"/>
        <v>0</v>
      </c>
      <c r="AV470" s="42"/>
      <c r="AW470" s="42"/>
      <c r="AX470" s="42"/>
      <c r="AY470" s="43"/>
      <c r="AZ470" s="486"/>
      <c r="BA470" s="51"/>
      <c r="BB470" s="51"/>
      <c r="BC470" s="51"/>
      <c r="BD470" s="51"/>
      <c r="BE470" s="51"/>
      <c r="BF470" s="51"/>
      <c r="BG470" s="51"/>
      <c r="BH470" s="94"/>
      <c r="BI470" s="94"/>
      <c r="BJ470" s="94"/>
      <c r="BK470" s="94"/>
      <c r="BL470" s="94"/>
      <c r="BM470" s="483"/>
      <c r="BN470" s="94"/>
      <c r="BO470" s="94"/>
      <c r="BP470" s="94"/>
      <c r="BQ470" s="94"/>
      <c r="BR470" s="94"/>
      <c r="BS470" s="94"/>
      <c r="BT470" s="94"/>
      <c r="BU470" s="94"/>
      <c r="BV470" s="94"/>
      <c r="BW470" s="688">
        <f t="shared" si="58"/>
        <v>0</v>
      </c>
      <c r="BX470" s="51"/>
      <c r="BY470" s="51"/>
      <c r="BZ470" s="51"/>
      <c r="CA470" s="51"/>
      <c r="CB470" s="51"/>
      <c r="CC470" s="51"/>
      <c r="CD470" s="97"/>
      <c r="CE470" s="479"/>
      <c r="CF470" s="51"/>
      <c r="CG470" s="51"/>
      <c r="CH470" s="62"/>
      <c r="CI470" s="62"/>
      <c r="CJ470" s="51"/>
      <c r="CK470" s="51"/>
      <c r="CL470" s="95"/>
      <c r="CM470" s="93"/>
      <c r="CN470" s="51"/>
      <c r="CO470" s="51"/>
      <c r="CP470" s="51"/>
      <c r="CQ470" s="51"/>
      <c r="CR470" s="51"/>
      <c r="CS470" s="51"/>
      <c r="CT470" s="51"/>
      <c r="CU470" s="95"/>
      <c r="CV470" s="93"/>
      <c r="CW470" s="51"/>
      <c r="CX470" s="51"/>
      <c r="CY470" s="51"/>
      <c r="CZ470" s="51"/>
      <c r="DA470" s="51"/>
      <c r="DB470" s="51"/>
      <c r="DC470" s="51"/>
      <c r="DD470" s="95"/>
      <c r="DE470" s="93"/>
      <c r="DF470" s="51"/>
      <c r="DG470" s="51"/>
      <c r="DH470" s="51"/>
      <c r="DI470" s="51"/>
      <c r="DJ470" s="51"/>
      <c r="DK470" s="51"/>
      <c r="DL470" s="95"/>
      <c r="DM470" s="478"/>
      <c r="DN470" s="682">
        <f t="shared" si="63"/>
        <v>0</v>
      </c>
      <c r="DO470" s="683"/>
    </row>
    <row r="471" spans="1:119" ht="25.5" customHeight="1" thickTop="1" thickBot="1" x14ac:dyDescent="0.2">
      <c r="A471" s="676">
        <f t="shared" si="59"/>
        <v>456</v>
      </c>
      <c r="B471" s="1054"/>
      <c r="C471" s="1055"/>
      <c r="D471" s="83"/>
      <c r="E471" s="954"/>
      <c r="F471" s="52"/>
      <c r="G471" s="103"/>
      <c r="H471" s="1058"/>
      <c r="I471" s="684" t="str">
        <f t="shared" si="56"/>
        <v/>
      </c>
      <c r="J471" s="685">
        <f t="shared" si="57"/>
        <v>0</v>
      </c>
      <c r="K471" s="1258"/>
      <c r="L471" s="1251"/>
      <c r="M471" s="1257"/>
      <c r="N471" s="719" t="str">
        <f t="shared" si="60"/>
        <v/>
      </c>
      <c r="O471" s="720" t="str">
        <f>IF('Set up ~ Config'!$G$32=6,IF(OR($N471=7,$N471=8,$N471=9),1,IF(OR($N471=10,$N471=11,$N471=12),2,IF(OR($N471=1,$N471=2,$N471=3),3,IF(OR($N471=4,$N471=5,$N471=6),4,"")))),IF(OR($N471=9,$N471=10,$N471=11),1,IF(OR($N471=12,$N471=1,$N471=2),2,IF(OR($N471=3,$N471=4,$N471=5),3,IF(OR($N471=6,$N471=7,$N471=8),4,"")))))</f>
        <v/>
      </c>
      <c r="P471" s="99"/>
      <c r="Q471" s="62"/>
      <c r="R471" s="62"/>
      <c r="S471" s="51"/>
      <c r="T471" s="51"/>
      <c r="U471" s="51"/>
      <c r="V471" s="51"/>
      <c r="W471" s="51"/>
      <c r="X471" s="51"/>
      <c r="Y471" s="51"/>
      <c r="Z471" s="51"/>
      <c r="AA471" s="51"/>
      <c r="AB471" s="51"/>
      <c r="AC471" s="51"/>
      <c r="AD471" s="51"/>
      <c r="AE471" s="51"/>
      <c r="AF471" s="51"/>
      <c r="AG471" s="51"/>
      <c r="AH471" s="94"/>
      <c r="AI471" s="94"/>
      <c r="AJ471" s="94"/>
      <c r="AK471" s="94"/>
      <c r="AL471" s="94"/>
      <c r="AM471" s="94"/>
      <c r="AN471" s="94"/>
      <c r="AO471" s="95"/>
      <c r="AP471" s="686">
        <f t="shared" si="61"/>
        <v>0</v>
      </c>
      <c r="AQ471" s="42"/>
      <c r="AR471" s="42"/>
      <c r="AS471" s="42"/>
      <c r="AT471" s="43"/>
      <c r="AU471" s="687">
        <f t="shared" si="62"/>
        <v>0</v>
      </c>
      <c r="AV471" s="42"/>
      <c r="AW471" s="42"/>
      <c r="AX471" s="42"/>
      <c r="AY471" s="43"/>
      <c r="AZ471" s="486"/>
      <c r="BA471" s="51"/>
      <c r="BB471" s="51"/>
      <c r="BC471" s="51"/>
      <c r="BD471" s="51"/>
      <c r="BE471" s="51"/>
      <c r="BF471" s="51"/>
      <c r="BG471" s="51"/>
      <c r="BH471" s="94"/>
      <c r="BI471" s="94"/>
      <c r="BJ471" s="94"/>
      <c r="BK471" s="94"/>
      <c r="BL471" s="94"/>
      <c r="BM471" s="483"/>
      <c r="BN471" s="94"/>
      <c r="BO471" s="94"/>
      <c r="BP471" s="94"/>
      <c r="BQ471" s="94"/>
      <c r="BR471" s="94"/>
      <c r="BS471" s="94"/>
      <c r="BT471" s="94"/>
      <c r="BU471" s="94"/>
      <c r="BV471" s="94"/>
      <c r="BW471" s="688">
        <f t="shared" si="58"/>
        <v>0</v>
      </c>
      <c r="BX471" s="51"/>
      <c r="BY471" s="51"/>
      <c r="BZ471" s="51"/>
      <c r="CA471" s="51"/>
      <c r="CB471" s="51"/>
      <c r="CC471" s="51"/>
      <c r="CD471" s="97"/>
      <c r="CE471" s="479"/>
      <c r="CF471" s="51"/>
      <c r="CG471" s="51"/>
      <c r="CH471" s="62"/>
      <c r="CI471" s="62"/>
      <c r="CJ471" s="51"/>
      <c r="CK471" s="51"/>
      <c r="CL471" s="95"/>
      <c r="CM471" s="93"/>
      <c r="CN471" s="51"/>
      <c r="CO471" s="51"/>
      <c r="CP471" s="51"/>
      <c r="CQ471" s="51"/>
      <c r="CR471" s="51"/>
      <c r="CS471" s="51"/>
      <c r="CT471" s="51"/>
      <c r="CU471" s="95"/>
      <c r="CV471" s="93"/>
      <c r="CW471" s="51"/>
      <c r="CX471" s="51"/>
      <c r="CY471" s="51"/>
      <c r="CZ471" s="51"/>
      <c r="DA471" s="51"/>
      <c r="DB471" s="51"/>
      <c r="DC471" s="51"/>
      <c r="DD471" s="95"/>
      <c r="DE471" s="93"/>
      <c r="DF471" s="51"/>
      <c r="DG471" s="51"/>
      <c r="DH471" s="51"/>
      <c r="DI471" s="51"/>
      <c r="DJ471" s="51"/>
      <c r="DK471" s="51"/>
      <c r="DL471" s="95"/>
      <c r="DM471" s="478"/>
      <c r="DN471" s="682">
        <f t="shared" si="63"/>
        <v>0</v>
      </c>
      <c r="DO471" s="683"/>
    </row>
    <row r="472" spans="1:119" ht="25.5" customHeight="1" thickTop="1" thickBot="1" x14ac:dyDescent="0.2">
      <c r="A472" s="676">
        <f t="shared" si="59"/>
        <v>457</v>
      </c>
      <c r="B472" s="1054"/>
      <c r="C472" s="1055"/>
      <c r="D472" s="83"/>
      <c r="E472" s="954"/>
      <c r="F472" s="52"/>
      <c r="G472" s="103"/>
      <c r="H472" s="1058"/>
      <c r="I472" s="684" t="str">
        <f t="shared" si="56"/>
        <v/>
      </c>
      <c r="J472" s="685">
        <f t="shared" si="57"/>
        <v>0</v>
      </c>
      <c r="K472" s="1258"/>
      <c r="L472" s="1251"/>
      <c r="M472" s="1257"/>
      <c r="N472" s="719" t="str">
        <f t="shared" si="60"/>
        <v/>
      </c>
      <c r="O472" s="720" t="str">
        <f>IF('Set up ~ Config'!$G$32=6,IF(OR($N472=7,$N472=8,$N472=9),1,IF(OR($N472=10,$N472=11,$N472=12),2,IF(OR($N472=1,$N472=2,$N472=3),3,IF(OR($N472=4,$N472=5,$N472=6),4,"")))),IF(OR($N472=9,$N472=10,$N472=11),1,IF(OR($N472=12,$N472=1,$N472=2),2,IF(OR($N472=3,$N472=4,$N472=5),3,IF(OR($N472=6,$N472=7,$N472=8),4,"")))))</f>
        <v/>
      </c>
      <c r="P472" s="99"/>
      <c r="Q472" s="62"/>
      <c r="R472" s="62"/>
      <c r="S472" s="51"/>
      <c r="T472" s="51"/>
      <c r="U472" s="51"/>
      <c r="V472" s="51"/>
      <c r="W472" s="51"/>
      <c r="X472" s="51"/>
      <c r="Y472" s="51"/>
      <c r="Z472" s="51"/>
      <c r="AA472" s="51"/>
      <c r="AB472" s="51"/>
      <c r="AC472" s="51"/>
      <c r="AD472" s="51"/>
      <c r="AE472" s="51"/>
      <c r="AF472" s="51"/>
      <c r="AG472" s="51"/>
      <c r="AH472" s="94"/>
      <c r="AI472" s="94"/>
      <c r="AJ472" s="94"/>
      <c r="AK472" s="94"/>
      <c r="AL472" s="94"/>
      <c r="AM472" s="94"/>
      <c r="AN472" s="94"/>
      <c r="AO472" s="95"/>
      <c r="AP472" s="686">
        <f t="shared" si="61"/>
        <v>0</v>
      </c>
      <c r="AQ472" s="42"/>
      <c r="AR472" s="42"/>
      <c r="AS472" s="42"/>
      <c r="AT472" s="43"/>
      <c r="AU472" s="687">
        <f t="shared" si="62"/>
        <v>0</v>
      </c>
      <c r="AV472" s="42"/>
      <c r="AW472" s="42"/>
      <c r="AX472" s="42"/>
      <c r="AY472" s="43"/>
      <c r="AZ472" s="486"/>
      <c r="BA472" s="51"/>
      <c r="BB472" s="51"/>
      <c r="BC472" s="51"/>
      <c r="BD472" s="51"/>
      <c r="BE472" s="51"/>
      <c r="BF472" s="51"/>
      <c r="BG472" s="51"/>
      <c r="BH472" s="94"/>
      <c r="BI472" s="94"/>
      <c r="BJ472" s="94"/>
      <c r="BK472" s="94"/>
      <c r="BL472" s="94"/>
      <c r="BM472" s="483"/>
      <c r="BN472" s="94"/>
      <c r="BO472" s="94"/>
      <c r="BP472" s="94"/>
      <c r="BQ472" s="94"/>
      <c r="BR472" s="94"/>
      <c r="BS472" s="94"/>
      <c r="BT472" s="94"/>
      <c r="BU472" s="94"/>
      <c r="BV472" s="94"/>
      <c r="BW472" s="688">
        <f t="shared" si="58"/>
        <v>0</v>
      </c>
      <c r="BX472" s="51"/>
      <c r="BY472" s="51"/>
      <c r="BZ472" s="51"/>
      <c r="CA472" s="51"/>
      <c r="CB472" s="51"/>
      <c r="CC472" s="51"/>
      <c r="CD472" s="97"/>
      <c r="CE472" s="479"/>
      <c r="CF472" s="51"/>
      <c r="CG472" s="51"/>
      <c r="CH472" s="62"/>
      <c r="CI472" s="62"/>
      <c r="CJ472" s="51"/>
      <c r="CK472" s="51"/>
      <c r="CL472" s="95"/>
      <c r="CM472" s="93"/>
      <c r="CN472" s="51"/>
      <c r="CO472" s="51"/>
      <c r="CP472" s="51"/>
      <c r="CQ472" s="51"/>
      <c r="CR472" s="51"/>
      <c r="CS472" s="51"/>
      <c r="CT472" s="51"/>
      <c r="CU472" s="95"/>
      <c r="CV472" s="93"/>
      <c r="CW472" s="51"/>
      <c r="CX472" s="51"/>
      <c r="CY472" s="51"/>
      <c r="CZ472" s="51"/>
      <c r="DA472" s="51"/>
      <c r="DB472" s="51"/>
      <c r="DC472" s="51"/>
      <c r="DD472" s="95"/>
      <c r="DE472" s="93"/>
      <c r="DF472" s="51"/>
      <c r="DG472" s="51"/>
      <c r="DH472" s="51"/>
      <c r="DI472" s="51"/>
      <c r="DJ472" s="51"/>
      <c r="DK472" s="51"/>
      <c r="DL472" s="95"/>
      <c r="DM472" s="478"/>
      <c r="DN472" s="682">
        <f t="shared" si="63"/>
        <v>0</v>
      </c>
      <c r="DO472" s="683"/>
    </row>
    <row r="473" spans="1:119" ht="25.5" customHeight="1" thickTop="1" thickBot="1" x14ac:dyDescent="0.2">
      <c r="A473" s="676">
        <f t="shared" si="59"/>
        <v>458</v>
      </c>
      <c r="B473" s="1054"/>
      <c r="C473" s="1055"/>
      <c r="D473" s="83"/>
      <c r="E473" s="954"/>
      <c r="F473" s="52"/>
      <c r="G473" s="103"/>
      <c r="H473" s="1058"/>
      <c r="I473" s="684" t="str">
        <f t="shared" si="56"/>
        <v/>
      </c>
      <c r="J473" s="685">
        <f t="shared" si="57"/>
        <v>0</v>
      </c>
      <c r="K473" s="1258"/>
      <c r="L473" s="1251"/>
      <c r="M473" s="1257"/>
      <c r="N473" s="719" t="str">
        <f t="shared" si="60"/>
        <v/>
      </c>
      <c r="O473" s="720" t="str">
        <f>IF('Set up ~ Config'!$G$32=6,IF(OR($N473=7,$N473=8,$N473=9),1,IF(OR($N473=10,$N473=11,$N473=12),2,IF(OR($N473=1,$N473=2,$N473=3),3,IF(OR($N473=4,$N473=5,$N473=6),4,"")))),IF(OR($N473=9,$N473=10,$N473=11),1,IF(OR($N473=12,$N473=1,$N473=2),2,IF(OR($N473=3,$N473=4,$N473=5),3,IF(OR($N473=6,$N473=7,$N473=8),4,"")))))</f>
        <v/>
      </c>
      <c r="P473" s="99"/>
      <c r="Q473" s="62"/>
      <c r="R473" s="62"/>
      <c r="S473" s="51"/>
      <c r="T473" s="51"/>
      <c r="U473" s="51"/>
      <c r="V473" s="51"/>
      <c r="W473" s="51"/>
      <c r="X473" s="51"/>
      <c r="Y473" s="51"/>
      <c r="Z473" s="51"/>
      <c r="AA473" s="51"/>
      <c r="AB473" s="51"/>
      <c r="AC473" s="51"/>
      <c r="AD473" s="51"/>
      <c r="AE473" s="51"/>
      <c r="AF473" s="51"/>
      <c r="AG473" s="51"/>
      <c r="AH473" s="94"/>
      <c r="AI473" s="94"/>
      <c r="AJ473" s="94"/>
      <c r="AK473" s="94"/>
      <c r="AL473" s="94"/>
      <c r="AM473" s="94"/>
      <c r="AN473" s="94"/>
      <c r="AO473" s="95"/>
      <c r="AP473" s="686">
        <f t="shared" si="61"/>
        <v>0</v>
      </c>
      <c r="AQ473" s="42"/>
      <c r="AR473" s="42"/>
      <c r="AS473" s="42"/>
      <c r="AT473" s="43"/>
      <c r="AU473" s="687">
        <f t="shared" si="62"/>
        <v>0</v>
      </c>
      <c r="AV473" s="42"/>
      <c r="AW473" s="42"/>
      <c r="AX473" s="42"/>
      <c r="AY473" s="43"/>
      <c r="AZ473" s="486"/>
      <c r="BA473" s="51"/>
      <c r="BB473" s="51"/>
      <c r="BC473" s="51"/>
      <c r="BD473" s="51"/>
      <c r="BE473" s="51"/>
      <c r="BF473" s="51"/>
      <c r="BG473" s="51"/>
      <c r="BH473" s="94"/>
      <c r="BI473" s="94"/>
      <c r="BJ473" s="94"/>
      <c r="BK473" s="94"/>
      <c r="BL473" s="94"/>
      <c r="BM473" s="483"/>
      <c r="BN473" s="94"/>
      <c r="BO473" s="94"/>
      <c r="BP473" s="94"/>
      <c r="BQ473" s="94"/>
      <c r="BR473" s="94"/>
      <c r="BS473" s="94"/>
      <c r="BT473" s="94"/>
      <c r="BU473" s="94"/>
      <c r="BV473" s="94"/>
      <c r="BW473" s="688">
        <f t="shared" si="58"/>
        <v>0</v>
      </c>
      <c r="BX473" s="51"/>
      <c r="BY473" s="51"/>
      <c r="BZ473" s="51"/>
      <c r="CA473" s="51"/>
      <c r="CB473" s="51"/>
      <c r="CC473" s="51"/>
      <c r="CD473" s="97"/>
      <c r="CE473" s="479"/>
      <c r="CF473" s="51"/>
      <c r="CG473" s="51"/>
      <c r="CH473" s="62"/>
      <c r="CI473" s="62"/>
      <c r="CJ473" s="51"/>
      <c r="CK473" s="51"/>
      <c r="CL473" s="95"/>
      <c r="CM473" s="93"/>
      <c r="CN473" s="51"/>
      <c r="CO473" s="51"/>
      <c r="CP473" s="51"/>
      <c r="CQ473" s="51"/>
      <c r="CR473" s="51"/>
      <c r="CS473" s="51"/>
      <c r="CT473" s="51"/>
      <c r="CU473" s="95"/>
      <c r="CV473" s="93"/>
      <c r="CW473" s="51"/>
      <c r="CX473" s="51"/>
      <c r="CY473" s="51"/>
      <c r="CZ473" s="51"/>
      <c r="DA473" s="51"/>
      <c r="DB473" s="51"/>
      <c r="DC473" s="51"/>
      <c r="DD473" s="95"/>
      <c r="DE473" s="93"/>
      <c r="DF473" s="51"/>
      <c r="DG473" s="51"/>
      <c r="DH473" s="51"/>
      <c r="DI473" s="51"/>
      <c r="DJ473" s="51"/>
      <c r="DK473" s="51"/>
      <c r="DL473" s="95"/>
      <c r="DM473" s="478"/>
      <c r="DN473" s="682">
        <f t="shared" si="63"/>
        <v>0</v>
      </c>
      <c r="DO473" s="683"/>
    </row>
    <row r="474" spans="1:119" ht="25.5" customHeight="1" thickTop="1" thickBot="1" x14ac:dyDescent="0.2">
      <c r="A474" s="676">
        <f t="shared" si="59"/>
        <v>459</v>
      </c>
      <c r="B474" s="1054"/>
      <c r="C474" s="1055"/>
      <c r="D474" s="83"/>
      <c r="E474" s="954"/>
      <c r="F474" s="52"/>
      <c r="G474" s="103"/>
      <c r="H474" s="1058"/>
      <c r="I474" s="684" t="str">
        <f t="shared" si="56"/>
        <v/>
      </c>
      <c r="J474" s="685">
        <f t="shared" si="57"/>
        <v>0</v>
      </c>
      <c r="K474" s="1258"/>
      <c r="L474" s="1251"/>
      <c r="M474" s="1257"/>
      <c r="N474" s="719" t="str">
        <f t="shared" si="60"/>
        <v/>
      </c>
      <c r="O474" s="720" t="str">
        <f>IF('Set up ~ Config'!$G$32=6,IF(OR($N474=7,$N474=8,$N474=9),1,IF(OR($N474=10,$N474=11,$N474=12),2,IF(OR($N474=1,$N474=2,$N474=3),3,IF(OR($N474=4,$N474=5,$N474=6),4,"")))),IF(OR($N474=9,$N474=10,$N474=11),1,IF(OR($N474=12,$N474=1,$N474=2),2,IF(OR($N474=3,$N474=4,$N474=5),3,IF(OR($N474=6,$N474=7,$N474=8),4,"")))))</f>
        <v/>
      </c>
      <c r="P474" s="99"/>
      <c r="Q474" s="62"/>
      <c r="R474" s="62"/>
      <c r="S474" s="51"/>
      <c r="T474" s="51"/>
      <c r="U474" s="51"/>
      <c r="V474" s="51"/>
      <c r="W474" s="51"/>
      <c r="X474" s="51"/>
      <c r="Y474" s="51"/>
      <c r="Z474" s="51"/>
      <c r="AA474" s="51"/>
      <c r="AB474" s="51"/>
      <c r="AC474" s="51"/>
      <c r="AD474" s="51"/>
      <c r="AE474" s="51"/>
      <c r="AF474" s="51"/>
      <c r="AG474" s="51"/>
      <c r="AH474" s="94"/>
      <c r="AI474" s="94"/>
      <c r="AJ474" s="94"/>
      <c r="AK474" s="94"/>
      <c r="AL474" s="94"/>
      <c r="AM474" s="94"/>
      <c r="AN474" s="94"/>
      <c r="AO474" s="95"/>
      <c r="AP474" s="686">
        <f t="shared" si="61"/>
        <v>0</v>
      </c>
      <c r="AQ474" s="42"/>
      <c r="AR474" s="42"/>
      <c r="AS474" s="42"/>
      <c r="AT474" s="43"/>
      <c r="AU474" s="687">
        <f t="shared" si="62"/>
        <v>0</v>
      </c>
      <c r="AV474" s="42"/>
      <c r="AW474" s="42"/>
      <c r="AX474" s="42"/>
      <c r="AY474" s="43"/>
      <c r="AZ474" s="486"/>
      <c r="BA474" s="51"/>
      <c r="BB474" s="51"/>
      <c r="BC474" s="51"/>
      <c r="BD474" s="51"/>
      <c r="BE474" s="51"/>
      <c r="BF474" s="51"/>
      <c r="BG474" s="51"/>
      <c r="BH474" s="94"/>
      <c r="BI474" s="94"/>
      <c r="BJ474" s="94"/>
      <c r="BK474" s="94"/>
      <c r="BL474" s="94"/>
      <c r="BM474" s="483"/>
      <c r="BN474" s="94"/>
      <c r="BO474" s="94"/>
      <c r="BP474" s="94"/>
      <c r="BQ474" s="94"/>
      <c r="BR474" s="94"/>
      <c r="BS474" s="94"/>
      <c r="BT474" s="94"/>
      <c r="BU474" s="94"/>
      <c r="BV474" s="94"/>
      <c r="BW474" s="688">
        <f t="shared" si="58"/>
        <v>0</v>
      </c>
      <c r="BX474" s="51"/>
      <c r="BY474" s="51"/>
      <c r="BZ474" s="51"/>
      <c r="CA474" s="51"/>
      <c r="CB474" s="51"/>
      <c r="CC474" s="51"/>
      <c r="CD474" s="97"/>
      <c r="CE474" s="479"/>
      <c r="CF474" s="51"/>
      <c r="CG474" s="51"/>
      <c r="CH474" s="62"/>
      <c r="CI474" s="62"/>
      <c r="CJ474" s="51"/>
      <c r="CK474" s="51"/>
      <c r="CL474" s="95"/>
      <c r="CM474" s="93"/>
      <c r="CN474" s="51"/>
      <c r="CO474" s="51"/>
      <c r="CP474" s="51"/>
      <c r="CQ474" s="51"/>
      <c r="CR474" s="51"/>
      <c r="CS474" s="51"/>
      <c r="CT474" s="51"/>
      <c r="CU474" s="95"/>
      <c r="CV474" s="93"/>
      <c r="CW474" s="51"/>
      <c r="CX474" s="51"/>
      <c r="CY474" s="51"/>
      <c r="CZ474" s="51"/>
      <c r="DA474" s="51"/>
      <c r="DB474" s="51"/>
      <c r="DC474" s="51"/>
      <c r="DD474" s="95"/>
      <c r="DE474" s="93"/>
      <c r="DF474" s="51"/>
      <c r="DG474" s="51"/>
      <c r="DH474" s="51"/>
      <c r="DI474" s="51"/>
      <c r="DJ474" s="51"/>
      <c r="DK474" s="51"/>
      <c r="DL474" s="95"/>
      <c r="DM474" s="478"/>
      <c r="DN474" s="682">
        <f t="shared" si="63"/>
        <v>0</v>
      </c>
      <c r="DO474" s="683"/>
    </row>
    <row r="475" spans="1:119" ht="25.5" customHeight="1" thickTop="1" thickBot="1" x14ac:dyDescent="0.2">
      <c r="A475" s="676">
        <f t="shared" si="59"/>
        <v>460</v>
      </c>
      <c r="B475" s="1054"/>
      <c r="C475" s="1055"/>
      <c r="D475" s="83"/>
      <c r="E475" s="954"/>
      <c r="F475" s="52"/>
      <c r="G475" s="103"/>
      <c r="H475" s="1058"/>
      <c r="I475" s="684" t="str">
        <f t="shared" si="56"/>
        <v/>
      </c>
      <c r="J475" s="685">
        <f t="shared" si="57"/>
        <v>0</v>
      </c>
      <c r="K475" s="1258"/>
      <c r="L475" s="1251"/>
      <c r="M475" s="1257"/>
      <c r="N475" s="719" t="str">
        <f t="shared" si="60"/>
        <v/>
      </c>
      <c r="O475" s="720" t="str">
        <f>IF('Set up ~ Config'!$G$32=6,IF(OR($N475=7,$N475=8,$N475=9),1,IF(OR($N475=10,$N475=11,$N475=12),2,IF(OR($N475=1,$N475=2,$N475=3),3,IF(OR($N475=4,$N475=5,$N475=6),4,"")))),IF(OR($N475=9,$N475=10,$N475=11),1,IF(OR($N475=12,$N475=1,$N475=2),2,IF(OR($N475=3,$N475=4,$N475=5),3,IF(OR($N475=6,$N475=7,$N475=8),4,"")))))</f>
        <v/>
      </c>
      <c r="P475" s="99"/>
      <c r="Q475" s="62"/>
      <c r="R475" s="62"/>
      <c r="S475" s="51"/>
      <c r="T475" s="51"/>
      <c r="U475" s="51"/>
      <c r="V475" s="51"/>
      <c r="W475" s="51"/>
      <c r="X475" s="51"/>
      <c r="Y475" s="51"/>
      <c r="Z475" s="51"/>
      <c r="AA475" s="51"/>
      <c r="AB475" s="51"/>
      <c r="AC475" s="51"/>
      <c r="AD475" s="51"/>
      <c r="AE475" s="51"/>
      <c r="AF475" s="51"/>
      <c r="AG475" s="51"/>
      <c r="AH475" s="94"/>
      <c r="AI475" s="94"/>
      <c r="AJ475" s="94"/>
      <c r="AK475" s="94"/>
      <c r="AL475" s="94"/>
      <c r="AM475" s="94"/>
      <c r="AN475" s="94"/>
      <c r="AO475" s="95"/>
      <c r="AP475" s="686">
        <f t="shared" si="61"/>
        <v>0</v>
      </c>
      <c r="AQ475" s="42"/>
      <c r="AR475" s="42"/>
      <c r="AS475" s="42"/>
      <c r="AT475" s="43"/>
      <c r="AU475" s="687">
        <f t="shared" si="62"/>
        <v>0</v>
      </c>
      <c r="AV475" s="42"/>
      <c r="AW475" s="42"/>
      <c r="AX475" s="42"/>
      <c r="AY475" s="43"/>
      <c r="AZ475" s="486"/>
      <c r="BA475" s="51"/>
      <c r="BB475" s="51"/>
      <c r="BC475" s="51"/>
      <c r="BD475" s="51"/>
      <c r="BE475" s="51"/>
      <c r="BF475" s="51"/>
      <c r="BG475" s="51"/>
      <c r="BH475" s="94"/>
      <c r="BI475" s="94"/>
      <c r="BJ475" s="94"/>
      <c r="BK475" s="94"/>
      <c r="BL475" s="94"/>
      <c r="BM475" s="483"/>
      <c r="BN475" s="94"/>
      <c r="BO475" s="94"/>
      <c r="BP475" s="94"/>
      <c r="BQ475" s="94"/>
      <c r="BR475" s="94"/>
      <c r="BS475" s="94"/>
      <c r="BT475" s="94"/>
      <c r="BU475" s="94"/>
      <c r="BV475" s="94"/>
      <c r="BW475" s="688">
        <f t="shared" si="58"/>
        <v>0</v>
      </c>
      <c r="BX475" s="51"/>
      <c r="BY475" s="51"/>
      <c r="BZ475" s="51"/>
      <c r="CA475" s="51"/>
      <c r="CB475" s="51"/>
      <c r="CC475" s="51"/>
      <c r="CD475" s="97"/>
      <c r="CE475" s="479"/>
      <c r="CF475" s="51"/>
      <c r="CG475" s="51"/>
      <c r="CH475" s="62"/>
      <c r="CI475" s="62"/>
      <c r="CJ475" s="51"/>
      <c r="CK475" s="51"/>
      <c r="CL475" s="95"/>
      <c r="CM475" s="93"/>
      <c r="CN475" s="51"/>
      <c r="CO475" s="51"/>
      <c r="CP475" s="51"/>
      <c r="CQ475" s="51"/>
      <c r="CR475" s="51"/>
      <c r="CS475" s="51"/>
      <c r="CT475" s="51"/>
      <c r="CU475" s="95"/>
      <c r="CV475" s="93"/>
      <c r="CW475" s="51"/>
      <c r="CX475" s="51"/>
      <c r="CY475" s="51"/>
      <c r="CZ475" s="51"/>
      <c r="DA475" s="51"/>
      <c r="DB475" s="51"/>
      <c r="DC475" s="51"/>
      <c r="DD475" s="95"/>
      <c r="DE475" s="93"/>
      <c r="DF475" s="51"/>
      <c r="DG475" s="51"/>
      <c r="DH475" s="51"/>
      <c r="DI475" s="51"/>
      <c r="DJ475" s="51"/>
      <c r="DK475" s="51"/>
      <c r="DL475" s="95"/>
      <c r="DM475" s="478"/>
      <c r="DN475" s="682">
        <f t="shared" si="63"/>
        <v>0</v>
      </c>
      <c r="DO475" s="683"/>
    </row>
    <row r="476" spans="1:119" ht="25.5" customHeight="1" thickTop="1" thickBot="1" x14ac:dyDescent="0.2">
      <c r="A476" s="676">
        <f t="shared" si="59"/>
        <v>461</v>
      </c>
      <c r="B476" s="1054"/>
      <c r="C476" s="1055"/>
      <c r="D476" s="83"/>
      <c r="E476" s="954"/>
      <c r="F476" s="52"/>
      <c r="G476" s="103"/>
      <c r="H476" s="1058"/>
      <c r="I476" s="684" t="str">
        <f t="shared" si="56"/>
        <v/>
      </c>
      <c r="J476" s="685">
        <f t="shared" si="57"/>
        <v>0</v>
      </c>
      <c r="K476" s="1258"/>
      <c r="L476" s="1251"/>
      <c r="M476" s="1257"/>
      <c r="N476" s="719" t="str">
        <f t="shared" si="60"/>
        <v/>
      </c>
      <c r="O476" s="720" t="str">
        <f>IF('Set up ~ Config'!$G$32=6,IF(OR($N476=7,$N476=8,$N476=9),1,IF(OR($N476=10,$N476=11,$N476=12),2,IF(OR($N476=1,$N476=2,$N476=3),3,IF(OR($N476=4,$N476=5,$N476=6),4,"")))),IF(OR($N476=9,$N476=10,$N476=11),1,IF(OR($N476=12,$N476=1,$N476=2),2,IF(OR($N476=3,$N476=4,$N476=5),3,IF(OR($N476=6,$N476=7,$N476=8),4,"")))))</f>
        <v/>
      </c>
      <c r="P476" s="99"/>
      <c r="Q476" s="62"/>
      <c r="R476" s="62"/>
      <c r="S476" s="51"/>
      <c r="T476" s="51"/>
      <c r="U476" s="51"/>
      <c r="V476" s="51"/>
      <c r="W476" s="51"/>
      <c r="X476" s="51"/>
      <c r="Y476" s="51"/>
      <c r="Z476" s="51"/>
      <c r="AA476" s="51"/>
      <c r="AB476" s="51"/>
      <c r="AC476" s="51"/>
      <c r="AD476" s="51"/>
      <c r="AE476" s="51"/>
      <c r="AF476" s="51"/>
      <c r="AG476" s="51"/>
      <c r="AH476" s="94"/>
      <c r="AI476" s="94"/>
      <c r="AJ476" s="94"/>
      <c r="AK476" s="94"/>
      <c r="AL476" s="94"/>
      <c r="AM476" s="94"/>
      <c r="AN476" s="94"/>
      <c r="AO476" s="95"/>
      <c r="AP476" s="686">
        <f t="shared" si="61"/>
        <v>0</v>
      </c>
      <c r="AQ476" s="42"/>
      <c r="AR476" s="42"/>
      <c r="AS476" s="42"/>
      <c r="AT476" s="43"/>
      <c r="AU476" s="687">
        <f t="shared" si="62"/>
        <v>0</v>
      </c>
      <c r="AV476" s="42"/>
      <c r="AW476" s="42"/>
      <c r="AX476" s="42"/>
      <c r="AY476" s="43"/>
      <c r="AZ476" s="486"/>
      <c r="BA476" s="51"/>
      <c r="BB476" s="51"/>
      <c r="BC476" s="51"/>
      <c r="BD476" s="51"/>
      <c r="BE476" s="51"/>
      <c r="BF476" s="51"/>
      <c r="BG476" s="51"/>
      <c r="BH476" s="94"/>
      <c r="BI476" s="94"/>
      <c r="BJ476" s="94"/>
      <c r="BK476" s="94"/>
      <c r="BL476" s="94"/>
      <c r="BM476" s="483"/>
      <c r="BN476" s="94"/>
      <c r="BO476" s="94"/>
      <c r="BP476" s="94"/>
      <c r="BQ476" s="94"/>
      <c r="BR476" s="94"/>
      <c r="BS476" s="94"/>
      <c r="BT476" s="94"/>
      <c r="BU476" s="94"/>
      <c r="BV476" s="94"/>
      <c r="BW476" s="688">
        <f t="shared" si="58"/>
        <v>0</v>
      </c>
      <c r="BX476" s="51"/>
      <c r="BY476" s="51"/>
      <c r="BZ476" s="51"/>
      <c r="CA476" s="51"/>
      <c r="CB476" s="51"/>
      <c r="CC476" s="51"/>
      <c r="CD476" s="97"/>
      <c r="CE476" s="479"/>
      <c r="CF476" s="51"/>
      <c r="CG476" s="51"/>
      <c r="CH476" s="62"/>
      <c r="CI476" s="62"/>
      <c r="CJ476" s="51"/>
      <c r="CK476" s="51"/>
      <c r="CL476" s="95"/>
      <c r="CM476" s="93"/>
      <c r="CN476" s="51"/>
      <c r="CO476" s="51"/>
      <c r="CP476" s="51"/>
      <c r="CQ476" s="51"/>
      <c r="CR476" s="51"/>
      <c r="CS476" s="51"/>
      <c r="CT476" s="51"/>
      <c r="CU476" s="95"/>
      <c r="CV476" s="93"/>
      <c r="CW476" s="51"/>
      <c r="CX476" s="51"/>
      <c r="CY476" s="51"/>
      <c r="CZ476" s="51"/>
      <c r="DA476" s="51"/>
      <c r="DB476" s="51"/>
      <c r="DC476" s="51"/>
      <c r="DD476" s="95"/>
      <c r="DE476" s="93"/>
      <c r="DF476" s="51"/>
      <c r="DG476" s="51"/>
      <c r="DH476" s="51"/>
      <c r="DI476" s="51"/>
      <c r="DJ476" s="51"/>
      <c r="DK476" s="51"/>
      <c r="DL476" s="95"/>
      <c r="DM476" s="478"/>
      <c r="DN476" s="682">
        <f t="shared" si="63"/>
        <v>0</v>
      </c>
      <c r="DO476" s="683"/>
    </row>
    <row r="477" spans="1:119" ht="25.5" customHeight="1" thickTop="1" thickBot="1" x14ac:dyDescent="0.2">
      <c r="A477" s="676">
        <f t="shared" si="59"/>
        <v>462</v>
      </c>
      <c r="B477" s="1054"/>
      <c r="C477" s="1055"/>
      <c r="D477" s="83"/>
      <c r="E477" s="954"/>
      <c r="F477" s="52"/>
      <c r="G477" s="103"/>
      <c r="H477" s="1058"/>
      <c r="I477" s="684" t="str">
        <f t="shared" si="56"/>
        <v/>
      </c>
      <c r="J477" s="685">
        <f t="shared" si="57"/>
        <v>0</v>
      </c>
      <c r="K477" s="1258"/>
      <c r="L477" s="1251"/>
      <c r="M477" s="1257"/>
      <c r="N477" s="719" t="str">
        <f t="shared" si="60"/>
        <v/>
      </c>
      <c r="O477" s="720" t="str">
        <f>IF('Set up ~ Config'!$G$32=6,IF(OR($N477=7,$N477=8,$N477=9),1,IF(OR($N477=10,$N477=11,$N477=12),2,IF(OR($N477=1,$N477=2,$N477=3),3,IF(OR($N477=4,$N477=5,$N477=6),4,"")))),IF(OR($N477=9,$N477=10,$N477=11),1,IF(OR($N477=12,$N477=1,$N477=2),2,IF(OR($N477=3,$N477=4,$N477=5),3,IF(OR($N477=6,$N477=7,$N477=8),4,"")))))</f>
        <v/>
      </c>
      <c r="P477" s="99"/>
      <c r="Q477" s="62"/>
      <c r="R477" s="62"/>
      <c r="S477" s="51"/>
      <c r="T477" s="51"/>
      <c r="U477" s="51"/>
      <c r="V477" s="51"/>
      <c r="W477" s="51"/>
      <c r="X477" s="51"/>
      <c r="Y477" s="51"/>
      <c r="Z477" s="51"/>
      <c r="AA477" s="51"/>
      <c r="AB477" s="51"/>
      <c r="AC477" s="51"/>
      <c r="AD477" s="51"/>
      <c r="AE477" s="51"/>
      <c r="AF477" s="51"/>
      <c r="AG477" s="51"/>
      <c r="AH477" s="94"/>
      <c r="AI477" s="94"/>
      <c r="AJ477" s="94"/>
      <c r="AK477" s="94"/>
      <c r="AL477" s="94"/>
      <c r="AM477" s="94"/>
      <c r="AN477" s="94"/>
      <c r="AO477" s="95"/>
      <c r="AP477" s="686">
        <f t="shared" si="61"/>
        <v>0</v>
      </c>
      <c r="AQ477" s="42"/>
      <c r="AR477" s="42"/>
      <c r="AS477" s="42"/>
      <c r="AT477" s="43"/>
      <c r="AU477" s="687">
        <f t="shared" si="62"/>
        <v>0</v>
      </c>
      <c r="AV477" s="42"/>
      <c r="AW477" s="42"/>
      <c r="AX477" s="42"/>
      <c r="AY477" s="43"/>
      <c r="AZ477" s="486"/>
      <c r="BA477" s="51"/>
      <c r="BB477" s="51"/>
      <c r="BC477" s="51"/>
      <c r="BD477" s="51"/>
      <c r="BE477" s="51"/>
      <c r="BF477" s="51"/>
      <c r="BG477" s="51"/>
      <c r="BH477" s="94"/>
      <c r="BI477" s="94"/>
      <c r="BJ477" s="94"/>
      <c r="BK477" s="94"/>
      <c r="BL477" s="94"/>
      <c r="BM477" s="483"/>
      <c r="BN477" s="94"/>
      <c r="BO477" s="94"/>
      <c r="BP477" s="94"/>
      <c r="BQ477" s="94"/>
      <c r="BR477" s="94"/>
      <c r="BS477" s="94"/>
      <c r="BT477" s="94"/>
      <c r="BU477" s="94"/>
      <c r="BV477" s="94"/>
      <c r="BW477" s="688">
        <f t="shared" si="58"/>
        <v>0</v>
      </c>
      <c r="BX477" s="51"/>
      <c r="BY477" s="51"/>
      <c r="BZ477" s="51"/>
      <c r="CA477" s="51"/>
      <c r="CB477" s="51"/>
      <c r="CC477" s="51"/>
      <c r="CD477" s="97"/>
      <c r="CE477" s="479"/>
      <c r="CF477" s="51"/>
      <c r="CG477" s="51"/>
      <c r="CH477" s="62"/>
      <c r="CI477" s="62"/>
      <c r="CJ477" s="51"/>
      <c r="CK477" s="51"/>
      <c r="CL477" s="95"/>
      <c r="CM477" s="93"/>
      <c r="CN477" s="51"/>
      <c r="CO477" s="51"/>
      <c r="CP477" s="51"/>
      <c r="CQ477" s="51"/>
      <c r="CR477" s="51"/>
      <c r="CS477" s="51"/>
      <c r="CT477" s="51"/>
      <c r="CU477" s="95"/>
      <c r="CV477" s="93"/>
      <c r="CW477" s="51"/>
      <c r="CX477" s="51"/>
      <c r="CY477" s="51"/>
      <c r="CZ477" s="51"/>
      <c r="DA477" s="51"/>
      <c r="DB477" s="51"/>
      <c r="DC477" s="51"/>
      <c r="DD477" s="95"/>
      <c r="DE477" s="93"/>
      <c r="DF477" s="51"/>
      <c r="DG477" s="51"/>
      <c r="DH477" s="51"/>
      <c r="DI477" s="51"/>
      <c r="DJ477" s="51"/>
      <c r="DK477" s="51"/>
      <c r="DL477" s="95"/>
      <c r="DM477" s="478"/>
      <c r="DN477" s="682">
        <f t="shared" si="63"/>
        <v>0</v>
      </c>
      <c r="DO477" s="683"/>
    </row>
    <row r="478" spans="1:119" ht="25.5" customHeight="1" thickTop="1" thickBot="1" x14ac:dyDescent="0.2">
      <c r="A478" s="676">
        <f t="shared" si="59"/>
        <v>463</v>
      </c>
      <c r="B478" s="1054"/>
      <c r="C478" s="1055"/>
      <c r="D478" s="83"/>
      <c r="E478" s="954"/>
      <c r="F478" s="52"/>
      <c r="G478" s="103"/>
      <c r="H478" s="1058"/>
      <c r="I478" s="684" t="str">
        <f t="shared" si="56"/>
        <v/>
      </c>
      <c r="J478" s="685">
        <f t="shared" si="57"/>
        <v>0</v>
      </c>
      <c r="K478" s="1258"/>
      <c r="L478" s="1251"/>
      <c r="M478" s="1257"/>
      <c r="N478" s="719" t="str">
        <f t="shared" si="60"/>
        <v/>
      </c>
      <c r="O478" s="720" t="str">
        <f>IF('Set up ~ Config'!$G$32=6,IF(OR($N478=7,$N478=8,$N478=9),1,IF(OR($N478=10,$N478=11,$N478=12),2,IF(OR($N478=1,$N478=2,$N478=3),3,IF(OR($N478=4,$N478=5,$N478=6),4,"")))),IF(OR($N478=9,$N478=10,$N478=11),1,IF(OR($N478=12,$N478=1,$N478=2),2,IF(OR($N478=3,$N478=4,$N478=5),3,IF(OR($N478=6,$N478=7,$N478=8),4,"")))))</f>
        <v/>
      </c>
      <c r="P478" s="99"/>
      <c r="Q478" s="62"/>
      <c r="R478" s="62"/>
      <c r="S478" s="51"/>
      <c r="T478" s="51"/>
      <c r="U478" s="51"/>
      <c r="V478" s="51"/>
      <c r="W478" s="51"/>
      <c r="X478" s="51"/>
      <c r="Y478" s="51"/>
      <c r="Z478" s="51"/>
      <c r="AA478" s="51"/>
      <c r="AB478" s="51"/>
      <c r="AC478" s="51"/>
      <c r="AD478" s="51"/>
      <c r="AE478" s="51"/>
      <c r="AF478" s="51"/>
      <c r="AG478" s="51"/>
      <c r="AH478" s="94"/>
      <c r="AI478" s="94"/>
      <c r="AJ478" s="94"/>
      <c r="AK478" s="94"/>
      <c r="AL478" s="94"/>
      <c r="AM478" s="94"/>
      <c r="AN478" s="94"/>
      <c r="AO478" s="95"/>
      <c r="AP478" s="686">
        <f t="shared" si="61"/>
        <v>0</v>
      </c>
      <c r="AQ478" s="42"/>
      <c r="AR478" s="42"/>
      <c r="AS478" s="42"/>
      <c r="AT478" s="43"/>
      <c r="AU478" s="687">
        <f t="shared" si="62"/>
        <v>0</v>
      </c>
      <c r="AV478" s="42"/>
      <c r="AW478" s="42"/>
      <c r="AX478" s="42"/>
      <c r="AY478" s="43"/>
      <c r="AZ478" s="486"/>
      <c r="BA478" s="51"/>
      <c r="BB478" s="51"/>
      <c r="BC478" s="51"/>
      <c r="BD478" s="51"/>
      <c r="BE478" s="51"/>
      <c r="BF478" s="51"/>
      <c r="BG478" s="51"/>
      <c r="BH478" s="94"/>
      <c r="BI478" s="94"/>
      <c r="BJ478" s="94"/>
      <c r="BK478" s="94"/>
      <c r="BL478" s="94"/>
      <c r="BM478" s="483"/>
      <c r="BN478" s="94"/>
      <c r="BO478" s="94"/>
      <c r="BP478" s="94"/>
      <c r="BQ478" s="94"/>
      <c r="BR478" s="94"/>
      <c r="BS478" s="94"/>
      <c r="BT478" s="94"/>
      <c r="BU478" s="94"/>
      <c r="BV478" s="94"/>
      <c r="BW478" s="688">
        <f t="shared" si="58"/>
        <v>0</v>
      </c>
      <c r="BX478" s="51"/>
      <c r="BY478" s="51"/>
      <c r="BZ478" s="51"/>
      <c r="CA478" s="51"/>
      <c r="CB478" s="51"/>
      <c r="CC478" s="51"/>
      <c r="CD478" s="97"/>
      <c r="CE478" s="479"/>
      <c r="CF478" s="51"/>
      <c r="CG478" s="51"/>
      <c r="CH478" s="62"/>
      <c r="CI478" s="62"/>
      <c r="CJ478" s="51"/>
      <c r="CK478" s="51"/>
      <c r="CL478" s="95"/>
      <c r="CM478" s="93"/>
      <c r="CN478" s="51"/>
      <c r="CO478" s="51"/>
      <c r="CP478" s="51"/>
      <c r="CQ478" s="51"/>
      <c r="CR478" s="51"/>
      <c r="CS478" s="51"/>
      <c r="CT478" s="51"/>
      <c r="CU478" s="95"/>
      <c r="CV478" s="93"/>
      <c r="CW478" s="51"/>
      <c r="CX478" s="51"/>
      <c r="CY478" s="51"/>
      <c r="CZ478" s="51"/>
      <c r="DA478" s="51"/>
      <c r="DB478" s="51"/>
      <c r="DC478" s="51"/>
      <c r="DD478" s="95"/>
      <c r="DE478" s="93"/>
      <c r="DF478" s="51"/>
      <c r="DG478" s="51"/>
      <c r="DH478" s="51"/>
      <c r="DI478" s="51"/>
      <c r="DJ478" s="51"/>
      <c r="DK478" s="51"/>
      <c r="DL478" s="95"/>
      <c r="DM478" s="478"/>
      <c r="DN478" s="682">
        <f t="shared" si="63"/>
        <v>0</v>
      </c>
      <c r="DO478" s="683"/>
    </row>
    <row r="479" spans="1:119" ht="25.5" customHeight="1" thickTop="1" thickBot="1" x14ac:dyDescent="0.2">
      <c r="A479" s="676">
        <f t="shared" si="59"/>
        <v>464</v>
      </c>
      <c r="B479" s="1054"/>
      <c r="C479" s="1055"/>
      <c r="D479" s="83"/>
      <c r="E479" s="954"/>
      <c r="F479" s="52"/>
      <c r="G479" s="103"/>
      <c r="H479" s="1058"/>
      <c r="I479" s="684" t="str">
        <f t="shared" si="56"/>
        <v/>
      </c>
      <c r="J479" s="685">
        <f t="shared" si="57"/>
        <v>0</v>
      </c>
      <c r="K479" s="1258"/>
      <c r="L479" s="1251"/>
      <c r="M479" s="1257"/>
      <c r="N479" s="719" t="str">
        <f t="shared" si="60"/>
        <v/>
      </c>
      <c r="O479" s="720" t="str">
        <f>IF('Set up ~ Config'!$G$32=6,IF(OR($N479=7,$N479=8,$N479=9),1,IF(OR($N479=10,$N479=11,$N479=12),2,IF(OR($N479=1,$N479=2,$N479=3),3,IF(OR($N479=4,$N479=5,$N479=6),4,"")))),IF(OR($N479=9,$N479=10,$N479=11),1,IF(OR($N479=12,$N479=1,$N479=2),2,IF(OR($N479=3,$N479=4,$N479=5),3,IF(OR($N479=6,$N479=7,$N479=8),4,"")))))</f>
        <v/>
      </c>
      <c r="P479" s="99"/>
      <c r="Q479" s="62"/>
      <c r="R479" s="62"/>
      <c r="S479" s="51"/>
      <c r="T479" s="51"/>
      <c r="U479" s="51"/>
      <c r="V479" s="51"/>
      <c r="W479" s="51"/>
      <c r="X479" s="51"/>
      <c r="Y479" s="51"/>
      <c r="Z479" s="51"/>
      <c r="AA479" s="51"/>
      <c r="AB479" s="51"/>
      <c r="AC479" s="51"/>
      <c r="AD479" s="51"/>
      <c r="AE479" s="51"/>
      <c r="AF479" s="51"/>
      <c r="AG479" s="51"/>
      <c r="AH479" s="94"/>
      <c r="AI479" s="94"/>
      <c r="AJ479" s="94"/>
      <c r="AK479" s="94"/>
      <c r="AL479" s="94"/>
      <c r="AM479" s="94"/>
      <c r="AN479" s="94"/>
      <c r="AO479" s="95"/>
      <c r="AP479" s="686">
        <f t="shared" si="61"/>
        <v>0</v>
      </c>
      <c r="AQ479" s="42"/>
      <c r="AR479" s="42"/>
      <c r="AS479" s="42"/>
      <c r="AT479" s="43"/>
      <c r="AU479" s="687">
        <f t="shared" si="62"/>
        <v>0</v>
      </c>
      <c r="AV479" s="42"/>
      <c r="AW479" s="42"/>
      <c r="AX479" s="42"/>
      <c r="AY479" s="43"/>
      <c r="AZ479" s="486"/>
      <c r="BA479" s="51"/>
      <c r="BB479" s="51"/>
      <c r="BC479" s="51"/>
      <c r="BD479" s="51"/>
      <c r="BE479" s="51"/>
      <c r="BF479" s="51"/>
      <c r="BG479" s="51"/>
      <c r="BH479" s="94"/>
      <c r="BI479" s="94"/>
      <c r="BJ479" s="94"/>
      <c r="BK479" s="94"/>
      <c r="BL479" s="94"/>
      <c r="BM479" s="483"/>
      <c r="BN479" s="94"/>
      <c r="BO479" s="94"/>
      <c r="BP479" s="94"/>
      <c r="BQ479" s="94"/>
      <c r="BR479" s="94"/>
      <c r="BS479" s="94"/>
      <c r="BT479" s="94"/>
      <c r="BU479" s="94"/>
      <c r="BV479" s="94"/>
      <c r="BW479" s="688">
        <f t="shared" si="58"/>
        <v>0</v>
      </c>
      <c r="BX479" s="51"/>
      <c r="BY479" s="51"/>
      <c r="BZ479" s="51"/>
      <c r="CA479" s="51"/>
      <c r="CB479" s="51"/>
      <c r="CC479" s="51"/>
      <c r="CD479" s="97"/>
      <c r="CE479" s="479"/>
      <c r="CF479" s="51"/>
      <c r="CG479" s="51"/>
      <c r="CH479" s="62"/>
      <c r="CI479" s="62"/>
      <c r="CJ479" s="51"/>
      <c r="CK479" s="51"/>
      <c r="CL479" s="95"/>
      <c r="CM479" s="93"/>
      <c r="CN479" s="51"/>
      <c r="CO479" s="51"/>
      <c r="CP479" s="51"/>
      <c r="CQ479" s="51"/>
      <c r="CR479" s="51"/>
      <c r="CS479" s="51"/>
      <c r="CT479" s="51"/>
      <c r="CU479" s="95"/>
      <c r="CV479" s="93"/>
      <c r="CW479" s="51"/>
      <c r="CX479" s="51"/>
      <c r="CY479" s="51"/>
      <c r="CZ479" s="51"/>
      <c r="DA479" s="51"/>
      <c r="DB479" s="51"/>
      <c r="DC479" s="51"/>
      <c r="DD479" s="95"/>
      <c r="DE479" s="93"/>
      <c r="DF479" s="51"/>
      <c r="DG479" s="51"/>
      <c r="DH479" s="51"/>
      <c r="DI479" s="51"/>
      <c r="DJ479" s="51"/>
      <c r="DK479" s="51"/>
      <c r="DL479" s="95"/>
      <c r="DM479" s="478"/>
      <c r="DN479" s="682">
        <f t="shared" si="63"/>
        <v>0</v>
      </c>
      <c r="DO479" s="683"/>
    </row>
    <row r="480" spans="1:119" ht="25.5" customHeight="1" thickTop="1" thickBot="1" x14ac:dyDescent="0.2">
      <c r="A480" s="676">
        <f t="shared" si="59"/>
        <v>465</v>
      </c>
      <c r="B480" s="1054"/>
      <c r="C480" s="1055"/>
      <c r="D480" s="83"/>
      <c r="E480" s="954"/>
      <c r="F480" s="52"/>
      <c r="G480" s="103"/>
      <c r="H480" s="1058"/>
      <c r="I480" s="684" t="str">
        <f t="shared" si="56"/>
        <v/>
      </c>
      <c r="J480" s="685">
        <f t="shared" si="57"/>
        <v>0</v>
      </c>
      <c r="K480" s="1258"/>
      <c r="L480" s="1251"/>
      <c r="M480" s="1257"/>
      <c r="N480" s="719" t="str">
        <f t="shared" si="60"/>
        <v/>
      </c>
      <c r="O480" s="720" t="str">
        <f>IF('Set up ~ Config'!$G$32=6,IF(OR($N480=7,$N480=8,$N480=9),1,IF(OR($N480=10,$N480=11,$N480=12),2,IF(OR($N480=1,$N480=2,$N480=3),3,IF(OR($N480=4,$N480=5,$N480=6),4,"")))),IF(OR($N480=9,$N480=10,$N480=11),1,IF(OR($N480=12,$N480=1,$N480=2),2,IF(OR($N480=3,$N480=4,$N480=5),3,IF(OR($N480=6,$N480=7,$N480=8),4,"")))))</f>
        <v/>
      </c>
      <c r="P480" s="99"/>
      <c r="Q480" s="62"/>
      <c r="R480" s="62"/>
      <c r="S480" s="51"/>
      <c r="T480" s="51"/>
      <c r="U480" s="51"/>
      <c r="V480" s="51"/>
      <c r="W480" s="51"/>
      <c r="X480" s="51"/>
      <c r="Y480" s="51"/>
      <c r="Z480" s="51"/>
      <c r="AA480" s="51"/>
      <c r="AB480" s="51"/>
      <c r="AC480" s="51"/>
      <c r="AD480" s="51"/>
      <c r="AE480" s="51"/>
      <c r="AF480" s="51"/>
      <c r="AG480" s="51"/>
      <c r="AH480" s="94"/>
      <c r="AI480" s="94"/>
      <c r="AJ480" s="94"/>
      <c r="AK480" s="94"/>
      <c r="AL480" s="94"/>
      <c r="AM480" s="94"/>
      <c r="AN480" s="94"/>
      <c r="AO480" s="95"/>
      <c r="AP480" s="686">
        <f t="shared" si="61"/>
        <v>0</v>
      </c>
      <c r="AQ480" s="42"/>
      <c r="AR480" s="42"/>
      <c r="AS480" s="42"/>
      <c r="AT480" s="43"/>
      <c r="AU480" s="687">
        <f t="shared" si="62"/>
        <v>0</v>
      </c>
      <c r="AV480" s="42"/>
      <c r="AW480" s="42"/>
      <c r="AX480" s="42"/>
      <c r="AY480" s="43"/>
      <c r="AZ480" s="486"/>
      <c r="BA480" s="51"/>
      <c r="BB480" s="51"/>
      <c r="BC480" s="51"/>
      <c r="BD480" s="51"/>
      <c r="BE480" s="51"/>
      <c r="BF480" s="51"/>
      <c r="BG480" s="51"/>
      <c r="BH480" s="94"/>
      <c r="BI480" s="94"/>
      <c r="BJ480" s="94"/>
      <c r="BK480" s="94"/>
      <c r="BL480" s="94"/>
      <c r="BM480" s="483"/>
      <c r="BN480" s="94"/>
      <c r="BO480" s="94"/>
      <c r="BP480" s="94"/>
      <c r="BQ480" s="94"/>
      <c r="BR480" s="94"/>
      <c r="BS480" s="94"/>
      <c r="BT480" s="94"/>
      <c r="BU480" s="94"/>
      <c r="BV480" s="94"/>
      <c r="BW480" s="688">
        <f t="shared" si="58"/>
        <v>0</v>
      </c>
      <c r="BX480" s="51"/>
      <c r="BY480" s="51"/>
      <c r="BZ480" s="51"/>
      <c r="CA480" s="51"/>
      <c r="CB480" s="51"/>
      <c r="CC480" s="51"/>
      <c r="CD480" s="97"/>
      <c r="CE480" s="479"/>
      <c r="CF480" s="51"/>
      <c r="CG480" s="51"/>
      <c r="CH480" s="62"/>
      <c r="CI480" s="62"/>
      <c r="CJ480" s="51"/>
      <c r="CK480" s="51"/>
      <c r="CL480" s="95"/>
      <c r="CM480" s="93"/>
      <c r="CN480" s="51"/>
      <c r="CO480" s="51"/>
      <c r="CP480" s="51"/>
      <c r="CQ480" s="51"/>
      <c r="CR480" s="51"/>
      <c r="CS480" s="51"/>
      <c r="CT480" s="51"/>
      <c r="CU480" s="95"/>
      <c r="CV480" s="93"/>
      <c r="CW480" s="51"/>
      <c r="CX480" s="51"/>
      <c r="CY480" s="51"/>
      <c r="CZ480" s="51"/>
      <c r="DA480" s="51"/>
      <c r="DB480" s="51"/>
      <c r="DC480" s="51"/>
      <c r="DD480" s="95"/>
      <c r="DE480" s="93"/>
      <c r="DF480" s="51"/>
      <c r="DG480" s="51"/>
      <c r="DH480" s="51"/>
      <c r="DI480" s="51"/>
      <c r="DJ480" s="51"/>
      <c r="DK480" s="51"/>
      <c r="DL480" s="95"/>
      <c r="DM480" s="478"/>
      <c r="DN480" s="682">
        <f t="shared" si="63"/>
        <v>0</v>
      </c>
      <c r="DO480" s="683"/>
    </row>
    <row r="481" spans="1:119" ht="25.5" customHeight="1" thickTop="1" thickBot="1" x14ac:dyDescent="0.2">
      <c r="A481" s="676">
        <f t="shared" si="59"/>
        <v>466</v>
      </c>
      <c r="B481" s="1054"/>
      <c r="C481" s="1055"/>
      <c r="D481" s="83"/>
      <c r="E481" s="954"/>
      <c r="F481" s="52"/>
      <c r="G481" s="103"/>
      <c r="H481" s="1058"/>
      <c r="I481" s="684" t="str">
        <f t="shared" si="56"/>
        <v/>
      </c>
      <c r="J481" s="685">
        <f t="shared" si="57"/>
        <v>0</v>
      </c>
      <c r="K481" s="1258"/>
      <c r="L481" s="1251"/>
      <c r="M481" s="1257"/>
      <c r="N481" s="719" t="str">
        <f t="shared" si="60"/>
        <v/>
      </c>
      <c r="O481" s="720" t="str">
        <f>IF('Set up ~ Config'!$G$32=6,IF(OR($N481=7,$N481=8,$N481=9),1,IF(OR($N481=10,$N481=11,$N481=12),2,IF(OR($N481=1,$N481=2,$N481=3),3,IF(OR($N481=4,$N481=5,$N481=6),4,"")))),IF(OR($N481=9,$N481=10,$N481=11),1,IF(OR($N481=12,$N481=1,$N481=2),2,IF(OR($N481=3,$N481=4,$N481=5),3,IF(OR($N481=6,$N481=7,$N481=8),4,"")))))</f>
        <v/>
      </c>
      <c r="P481" s="99"/>
      <c r="Q481" s="62"/>
      <c r="R481" s="62"/>
      <c r="S481" s="51"/>
      <c r="T481" s="51"/>
      <c r="U481" s="51"/>
      <c r="V481" s="51"/>
      <c r="W481" s="51"/>
      <c r="X481" s="51"/>
      <c r="Y481" s="51"/>
      <c r="Z481" s="51"/>
      <c r="AA481" s="51"/>
      <c r="AB481" s="51"/>
      <c r="AC481" s="51"/>
      <c r="AD481" s="51"/>
      <c r="AE481" s="51"/>
      <c r="AF481" s="51"/>
      <c r="AG481" s="51"/>
      <c r="AH481" s="94"/>
      <c r="AI481" s="94"/>
      <c r="AJ481" s="94"/>
      <c r="AK481" s="94"/>
      <c r="AL481" s="94"/>
      <c r="AM481" s="94"/>
      <c r="AN481" s="94"/>
      <c r="AO481" s="95"/>
      <c r="AP481" s="686">
        <f t="shared" si="61"/>
        <v>0</v>
      </c>
      <c r="AQ481" s="42"/>
      <c r="AR481" s="42"/>
      <c r="AS481" s="42"/>
      <c r="AT481" s="43"/>
      <c r="AU481" s="687">
        <f t="shared" si="62"/>
        <v>0</v>
      </c>
      <c r="AV481" s="42"/>
      <c r="AW481" s="42"/>
      <c r="AX481" s="42"/>
      <c r="AY481" s="43"/>
      <c r="AZ481" s="486"/>
      <c r="BA481" s="51"/>
      <c r="BB481" s="51"/>
      <c r="BC481" s="51"/>
      <c r="BD481" s="51"/>
      <c r="BE481" s="51"/>
      <c r="BF481" s="51"/>
      <c r="BG481" s="51"/>
      <c r="BH481" s="94"/>
      <c r="BI481" s="94"/>
      <c r="BJ481" s="94"/>
      <c r="BK481" s="94"/>
      <c r="BL481" s="94"/>
      <c r="BM481" s="483"/>
      <c r="BN481" s="94"/>
      <c r="BO481" s="94"/>
      <c r="BP481" s="94"/>
      <c r="BQ481" s="94"/>
      <c r="BR481" s="94"/>
      <c r="BS481" s="94"/>
      <c r="BT481" s="94"/>
      <c r="BU481" s="94"/>
      <c r="BV481" s="94"/>
      <c r="BW481" s="688">
        <f t="shared" si="58"/>
        <v>0</v>
      </c>
      <c r="BX481" s="51"/>
      <c r="BY481" s="51"/>
      <c r="BZ481" s="51"/>
      <c r="CA481" s="51"/>
      <c r="CB481" s="51"/>
      <c r="CC481" s="51"/>
      <c r="CD481" s="97"/>
      <c r="CE481" s="479"/>
      <c r="CF481" s="51"/>
      <c r="CG481" s="51"/>
      <c r="CH481" s="62"/>
      <c r="CI481" s="62"/>
      <c r="CJ481" s="51"/>
      <c r="CK481" s="51"/>
      <c r="CL481" s="95"/>
      <c r="CM481" s="93"/>
      <c r="CN481" s="51"/>
      <c r="CO481" s="51"/>
      <c r="CP481" s="51"/>
      <c r="CQ481" s="51"/>
      <c r="CR481" s="51"/>
      <c r="CS481" s="51"/>
      <c r="CT481" s="51"/>
      <c r="CU481" s="95"/>
      <c r="CV481" s="93"/>
      <c r="CW481" s="51"/>
      <c r="CX481" s="51"/>
      <c r="CY481" s="51"/>
      <c r="CZ481" s="51"/>
      <c r="DA481" s="51"/>
      <c r="DB481" s="51"/>
      <c r="DC481" s="51"/>
      <c r="DD481" s="95"/>
      <c r="DE481" s="93"/>
      <c r="DF481" s="51"/>
      <c r="DG481" s="51"/>
      <c r="DH481" s="51"/>
      <c r="DI481" s="51"/>
      <c r="DJ481" s="51"/>
      <c r="DK481" s="51"/>
      <c r="DL481" s="95"/>
      <c r="DM481" s="478"/>
      <c r="DN481" s="682">
        <f t="shared" si="63"/>
        <v>0</v>
      </c>
      <c r="DO481" s="683"/>
    </row>
    <row r="482" spans="1:119" ht="25.5" customHeight="1" thickTop="1" thickBot="1" x14ac:dyDescent="0.2">
      <c r="A482" s="676">
        <f t="shared" si="59"/>
        <v>467</v>
      </c>
      <c r="B482" s="1054"/>
      <c r="C482" s="1055"/>
      <c r="D482" s="83"/>
      <c r="E482" s="954"/>
      <c r="F482" s="52"/>
      <c r="G482" s="103"/>
      <c r="H482" s="1058"/>
      <c r="I482" s="684" t="str">
        <f t="shared" si="56"/>
        <v/>
      </c>
      <c r="J482" s="685">
        <f t="shared" si="57"/>
        <v>0</v>
      </c>
      <c r="K482" s="1258"/>
      <c r="L482" s="1251"/>
      <c r="M482" s="1257"/>
      <c r="N482" s="719" t="str">
        <f t="shared" si="60"/>
        <v/>
      </c>
      <c r="O482" s="720" t="str">
        <f>IF('Set up ~ Config'!$G$32=6,IF(OR($N482=7,$N482=8,$N482=9),1,IF(OR($N482=10,$N482=11,$N482=12),2,IF(OR($N482=1,$N482=2,$N482=3),3,IF(OR($N482=4,$N482=5,$N482=6),4,"")))),IF(OR($N482=9,$N482=10,$N482=11),1,IF(OR($N482=12,$N482=1,$N482=2),2,IF(OR($N482=3,$N482=4,$N482=5),3,IF(OR($N482=6,$N482=7,$N482=8),4,"")))))</f>
        <v/>
      </c>
      <c r="P482" s="99"/>
      <c r="Q482" s="62"/>
      <c r="R482" s="62"/>
      <c r="S482" s="51"/>
      <c r="T482" s="51"/>
      <c r="U482" s="51"/>
      <c r="V482" s="51"/>
      <c r="W482" s="51"/>
      <c r="X482" s="51"/>
      <c r="Y482" s="51"/>
      <c r="Z482" s="51"/>
      <c r="AA482" s="51"/>
      <c r="AB482" s="51"/>
      <c r="AC482" s="51"/>
      <c r="AD482" s="51"/>
      <c r="AE482" s="51"/>
      <c r="AF482" s="51"/>
      <c r="AG482" s="51"/>
      <c r="AH482" s="94"/>
      <c r="AI482" s="94"/>
      <c r="AJ482" s="94"/>
      <c r="AK482" s="94"/>
      <c r="AL482" s="94"/>
      <c r="AM482" s="94"/>
      <c r="AN482" s="94"/>
      <c r="AO482" s="95"/>
      <c r="AP482" s="686">
        <f t="shared" si="61"/>
        <v>0</v>
      </c>
      <c r="AQ482" s="42"/>
      <c r="AR482" s="42"/>
      <c r="AS482" s="42"/>
      <c r="AT482" s="43"/>
      <c r="AU482" s="687">
        <f t="shared" si="62"/>
        <v>0</v>
      </c>
      <c r="AV482" s="42"/>
      <c r="AW482" s="42"/>
      <c r="AX482" s="42"/>
      <c r="AY482" s="43"/>
      <c r="AZ482" s="486"/>
      <c r="BA482" s="51"/>
      <c r="BB482" s="51"/>
      <c r="BC482" s="51"/>
      <c r="BD482" s="51"/>
      <c r="BE482" s="51"/>
      <c r="BF482" s="51"/>
      <c r="BG482" s="51"/>
      <c r="BH482" s="94"/>
      <c r="BI482" s="94"/>
      <c r="BJ482" s="94"/>
      <c r="BK482" s="94"/>
      <c r="BL482" s="94"/>
      <c r="BM482" s="483"/>
      <c r="BN482" s="94"/>
      <c r="BO482" s="94"/>
      <c r="BP482" s="94"/>
      <c r="BQ482" s="94"/>
      <c r="BR482" s="94"/>
      <c r="BS482" s="94"/>
      <c r="BT482" s="94"/>
      <c r="BU482" s="94"/>
      <c r="BV482" s="94"/>
      <c r="BW482" s="688">
        <f t="shared" si="58"/>
        <v>0</v>
      </c>
      <c r="BX482" s="51"/>
      <c r="BY482" s="51"/>
      <c r="BZ482" s="51"/>
      <c r="CA482" s="51"/>
      <c r="CB482" s="51"/>
      <c r="CC482" s="51"/>
      <c r="CD482" s="97"/>
      <c r="CE482" s="479"/>
      <c r="CF482" s="51"/>
      <c r="CG482" s="51"/>
      <c r="CH482" s="62"/>
      <c r="CI482" s="62"/>
      <c r="CJ482" s="51"/>
      <c r="CK482" s="51"/>
      <c r="CL482" s="95"/>
      <c r="CM482" s="93"/>
      <c r="CN482" s="51"/>
      <c r="CO482" s="51"/>
      <c r="CP482" s="51"/>
      <c r="CQ482" s="51"/>
      <c r="CR482" s="51"/>
      <c r="CS482" s="51"/>
      <c r="CT482" s="51"/>
      <c r="CU482" s="95"/>
      <c r="CV482" s="93"/>
      <c r="CW482" s="51"/>
      <c r="CX482" s="51"/>
      <c r="CY482" s="51"/>
      <c r="CZ482" s="51"/>
      <c r="DA482" s="51"/>
      <c r="DB482" s="51"/>
      <c r="DC482" s="51"/>
      <c r="DD482" s="95"/>
      <c r="DE482" s="93"/>
      <c r="DF482" s="51"/>
      <c r="DG482" s="51"/>
      <c r="DH482" s="51"/>
      <c r="DI482" s="51"/>
      <c r="DJ482" s="51"/>
      <c r="DK482" s="51"/>
      <c r="DL482" s="95"/>
      <c r="DM482" s="478"/>
      <c r="DN482" s="682">
        <f t="shared" si="63"/>
        <v>0</v>
      </c>
      <c r="DO482" s="683"/>
    </row>
    <row r="483" spans="1:119" ht="25.5" customHeight="1" thickTop="1" thickBot="1" x14ac:dyDescent="0.2">
      <c r="A483" s="676">
        <f t="shared" si="59"/>
        <v>468</v>
      </c>
      <c r="B483" s="1054"/>
      <c r="C483" s="1055"/>
      <c r="D483" s="83"/>
      <c r="E483" s="954"/>
      <c r="F483" s="52"/>
      <c r="G483" s="103"/>
      <c r="H483" s="1058"/>
      <c r="I483" s="684" t="str">
        <f t="shared" si="56"/>
        <v/>
      </c>
      <c r="J483" s="685">
        <f t="shared" si="57"/>
        <v>0</v>
      </c>
      <c r="K483" s="1258"/>
      <c r="L483" s="1251"/>
      <c r="M483" s="1257"/>
      <c r="N483" s="719" t="str">
        <f t="shared" si="60"/>
        <v/>
      </c>
      <c r="O483" s="720" t="str">
        <f>IF('Set up ~ Config'!$G$32=6,IF(OR($N483=7,$N483=8,$N483=9),1,IF(OR($N483=10,$N483=11,$N483=12),2,IF(OR($N483=1,$N483=2,$N483=3),3,IF(OR($N483=4,$N483=5,$N483=6),4,"")))),IF(OR($N483=9,$N483=10,$N483=11),1,IF(OR($N483=12,$N483=1,$N483=2),2,IF(OR($N483=3,$N483=4,$N483=5),3,IF(OR($N483=6,$N483=7,$N483=8),4,"")))))</f>
        <v/>
      </c>
      <c r="P483" s="99"/>
      <c r="Q483" s="62"/>
      <c r="R483" s="62"/>
      <c r="S483" s="51"/>
      <c r="T483" s="51"/>
      <c r="U483" s="51"/>
      <c r="V483" s="51"/>
      <c r="W483" s="51"/>
      <c r="X483" s="51"/>
      <c r="Y483" s="51"/>
      <c r="Z483" s="51"/>
      <c r="AA483" s="51"/>
      <c r="AB483" s="51"/>
      <c r="AC483" s="51"/>
      <c r="AD483" s="51"/>
      <c r="AE483" s="51"/>
      <c r="AF483" s="51"/>
      <c r="AG483" s="51"/>
      <c r="AH483" s="94"/>
      <c r="AI483" s="94"/>
      <c r="AJ483" s="94"/>
      <c r="AK483" s="94"/>
      <c r="AL483" s="94"/>
      <c r="AM483" s="94"/>
      <c r="AN483" s="94"/>
      <c r="AO483" s="95"/>
      <c r="AP483" s="686">
        <f t="shared" si="61"/>
        <v>0</v>
      </c>
      <c r="AQ483" s="42"/>
      <c r="AR483" s="42"/>
      <c r="AS483" s="42"/>
      <c r="AT483" s="43"/>
      <c r="AU483" s="687">
        <f t="shared" si="62"/>
        <v>0</v>
      </c>
      <c r="AV483" s="42"/>
      <c r="AW483" s="42"/>
      <c r="AX483" s="42"/>
      <c r="AY483" s="43"/>
      <c r="AZ483" s="486"/>
      <c r="BA483" s="51"/>
      <c r="BB483" s="51"/>
      <c r="BC483" s="51"/>
      <c r="BD483" s="51"/>
      <c r="BE483" s="51"/>
      <c r="BF483" s="51"/>
      <c r="BG483" s="51"/>
      <c r="BH483" s="94"/>
      <c r="BI483" s="94"/>
      <c r="BJ483" s="94"/>
      <c r="BK483" s="94"/>
      <c r="BL483" s="94"/>
      <c r="BM483" s="483"/>
      <c r="BN483" s="94"/>
      <c r="BO483" s="94"/>
      <c r="BP483" s="94"/>
      <c r="BQ483" s="94"/>
      <c r="BR483" s="94"/>
      <c r="BS483" s="94"/>
      <c r="BT483" s="94"/>
      <c r="BU483" s="94"/>
      <c r="BV483" s="94"/>
      <c r="BW483" s="688">
        <f t="shared" si="58"/>
        <v>0</v>
      </c>
      <c r="BX483" s="51"/>
      <c r="BY483" s="51"/>
      <c r="BZ483" s="51"/>
      <c r="CA483" s="51"/>
      <c r="CB483" s="51"/>
      <c r="CC483" s="51"/>
      <c r="CD483" s="97"/>
      <c r="CE483" s="479"/>
      <c r="CF483" s="51"/>
      <c r="CG483" s="51"/>
      <c r="CH483" s="62"/>
      <c r="CI483" s="62"/>
      <c r="CJ483" s="51"/>
      <c r="CK483" s="51"/>
      <c r="CL483" s="95"/>
      <c r="CM483" s="93"/>
      <c r="CN483" s="51"/>
      <c r="CO483" s="51"/>
      <c r="CP483" s="51"/>
      <c r="CQ483" s="51"/>
      <c r="CR483" s="51"/>
      <c r="CS483" s="51"/>
      <c r="CT483" s="51"/>
      <c r="CU483" s="95"/>
      <c r="CV483" s="93"/>
      <c r="CW483" s="51"/>
      <c r="CX483" s="51"/>
      <c r="CY483" s="51"/>
      <c r="CZ483" s="51"/>
      <c r="DA483" s="51"/>
      <c r="DB483" s="51"/>
      <c r="DC483" s="51"/>
      <c r="DD483" s="95"/>
      <c r="DE483" s="93"/>
      <c r="DF483" s="51"/>
      <c r="DG483" s="51"/>
      <c r="DH483" s="51"/>
      <c r="DI483" s="51"/>
      <c r="DJ483" s="51"/>
      <c r="DK483" s="51"/>
      <c r="DL483" s="95"/>
      <c r="DM483" s="478"/>
      <c r="DN483" s="682">
        <f t="shared" si="63"/>
        <v>0</v>
      </c>
      <c r="DO483" s="683"/>
    </row>
    <row r="484" spans="1:119" ht="25.5" customHeight="1" thickTop="1" thickBot="1" x14ac:dyDescent="0.2">
      <c r="A484" s="676">
        <f t="shared" si="59"/>
        <v>469</v>
      </c>
      <c r="B484" s="1054"/>
      <c r="C484" s="1055"/>
      <c r="D484" s="83"/>
      <c r="E484" s="954"/>
      <c r="F484" s="52"/>
      <c r="G484" s="103"/>
      <c r="H484" s="1058"/>
      <c r="I484" s="684" t="str">
        <f t="shared" si="56"/>
        <v/>
      </c>
      <c r="J484" s="685">
        <f t="shared" si="57"/>
        <v>0</v>
      </c>
      <c r="K484" s="1258"/>
      <c r="L484" s="1251"/>
      <c r="M484" s="1257"/>
      <c r="N484" s="719" t="str">
        <f t="shared" si="60"/>
        <v/>
      </c>
      <c r="O484" s="720" t="str">
        <f>IF('Set up ~ Config'!$G$32=6,IF(OR($N484=7,$N484=8,$N484=9),1,IF(OR($N484=10,$N484=11,$N484=12),2,IF(OR($N484=1,$N484=2,$N484=3),3,IF(OR($N484=4,$N484=5,$N484=6),4,"")))),IF(OR($N484=9,$N484=10,$N484=11),1,IF(OR($N484=12,$N484=1,$N484=2),2,IF(OR($N484=3,$N484=4,$N484=5),3,IF(OR($N484=6,$N484=7,$N484=8),4,"")))))</f>
        <v/>
      </c>
      <c r="P484" s="99"/>
      <c r="Q484" s="62"/>
      <c r="R484" s="62"/>
      <c r="S484" s="51"/>
      <c r="T484" s="51"/>
      <c r="U484" s="51"/>
      <c r="V484" s="51"/>
      <c r="W484" s="51"/>
      <c r="X484" s="51"/>
      <c r="Y484" s="51"/>
      <c r="Z484" s="51"/>
      <c r="AA484" s="51"/>
      <c r="AB484" s="51"/>
      <c r="AC484" s="51"/>
      <c r="AD484" s="51"/>
      <c r="AE484" s="51"/>
      <c r="AF484" s="51"/>
      <c r="AG484" s="51"/>
      <c r="AH484" s="94"/>
      <c r="AI484" s="94"/>
      <c r="AJ484" s="94"/>
      <c r="AK484" s="94"/>
      <c r="AL484" s="94"/>
      <c r="AM484" s="94"/>
      <c r="AN484" s="94"/>
      <c r="AO484" s="95"/>
      <c r="AP484" s="686">
        <f t="shared" si="61"/>
        <v>0</v>
      </c>
      <c r="AQ484" s="42"/>
      <c r="AR484" s="42"/>
      <c r="AS484" s="42"/>
      <c r="AT484" s="43"/>
      <c r="AU484" s="687">
        <f t="shared" si="62"/>
        <v>0</v>
      </c>
      <c r="AV484" s="42"/>
      <c r="AW484" s="42"/>
      <c r="AX484" s="42"/>
      <c r="AY484" s="43"/>
      <c r="AZ484" s="486"/>
      <c r="BA484" s="51"/>
      <c r="BB484" s="51"/>
      <c r="BC484" s="51"/>
      <c r="BD484" s="51"/>
      <c r="BE484" s="51"/>
      <c r="BF484" s="51"/>
      <c r="BG484" s="51"/>
      <c r="BH484" s="94"/>
      <c r="BI484" s="94"/>
      <c r="BJ484" s="94"/>
      <c r="BK484" s="94"/>
      <c r="BL484" s="94"/>
      <c r="BM484" s="483"/>
      <c r="BN484" s="94"/>
      <c r="BO484" s="94"/>
      <c r="BP484" s="94"/>
      <c r="BQ484" s="94"/>
      <c r="BR484" s="94"/>
      <c r="BS484" s="94"/>
      <c r="BT484" s="94"/>
      <c r="BU484" s="94"/>
      <c r="BV484" s="94"/>
      <c r="BW484" s="688">
        <f t="shared" si="58"/>
        <v>0</v>
      </c>
      <c r="BX484" s="51"/>
      <c r="BY484" s="51"/>
      <c r="BZ484" s="51"/>
      <c r="CA484" s="51"/>
      <c r="CB484" s="51"/>
      <c r="CC484" s="51"/>
      <c r="CD484" s="97"/>
      <c r="CE484" s="479"/>
      <c r="CF484" s="51"/>
      <c r="CG484" s="51"/>
      <c r="CH484" s="62"/>
      <c r="CI484" s="62"/>
      <c r="CJ484" s="51"/>
      <c r="CK484" s="51"/>
      <c r="CL484" s="95"/>
      <c r="CM484" s="93"/>
      <c r="CN484" s="51"/>
      <c r="CO484" s="51"/>
      <c r="CP484" s="51"/>
      <c r="CQ484" s="51"/>
      <c r="CR484" s="51"/>
      <c r="CS484" s="51"/>
      <c r="CT484" s="51"/>
      <c r="CU484" s="95"/>
      <c r="CV484" s="93"/>
      <c r="CW484" s="51"/>
      <c r="CX484" s="51"/>
      <c r="CY484" s="51"/>
      <c r="CZ484" s="51"/>
      <c r="DA484" s="51"/>
      <c r="DB484" s="51"/>
      <c r="DC484" s="51"/>
      <c r="DD484" s="95"/>
      <c r="DE484" s="93"/>
      <c r="DF484" s="51"/>
      <c r="DG484" s="51"/>
      <c r="DH484" s="51"/>
      <c r="DI484" s="51"/>
      <c r="DJ484" s="51"/>
      <c r="DK484" s="51"/>
      <c r="DL484" s="95"/>
      <c r="DM484" s="478"/>
      <c r="DN484" s="682">
        <f t="shared" si="63"/>
        <v>0</v>
      </c>
      <c r="DO484" s="683"/>
    </row>
    <row r="485" spans="1:119" ht="25.5" customHeight="1" thickTop="1" thickBot="1" x14ac:dyDescent="0.2">
      <c r="A485" s="676">
        <f t="shared" si="59"/>
        <v>470</v>
      </c>
      <c r="B485" s="1054"/>
      <c r="C485" s="1055"/>
      <c r="D485" s="83"/>
      <c r="E485" s="954"/>
      <c r="F485" s="52"/>
      <c r="G485" s="103"/>
      <c r="H485" s="1058"/>
      <c r="I485" s="684" t="str">
        <f t="shared" si="56"/>
        <v/>
      </c>
      <c r="J485" s="685">
        <f t="shared" si="57"/>
        <v>0</v>
      </c>
      <c r="K485" s="1258"/>
      <c r="L485" s="1251"/>
      <c r="M485" s="1257"/>
      <c r="N485" s="719" t="str">
        <f t="shared" si="60"/>
        <v/>
      </c>
      <c r="O485" s="720" t="str">
        <f>IF('Set up ~ Config'!$G$32=6,IF(OR($N485=7,$N485=8,$N485=9),1,IF(OR($N485=10,$N485=11,$N485=12),2,IF(OR($N485=1,$N485=2,$N485=3),3,IF(OR($N485=4,$N485=5,$N485=6),4,"")))),IF(OR($N485=9,$N485=10,$N485=11),1,IF(OR($N485=12,$N485=1,$N485=2),2,IF(OR($N485=3,$N485=4,$N485=5),3,IF(OR($N485=6,$N485=7,$N485=8),4,"")))))</f>
        <v/>
      </c>
      <c r="P485" s="99"/>
      <c r="Q485" s="62"/>
      <c r="R485" s="62"/>
      <c r="S485" s="51"/>
      <c r="T485" s="51"/>
      <c r="U485" s="51"/>
      <c r="V485" s="51"/>
      <c r="W485" s="51"/>
      <c r="X485" s="51"/>
      <c r="Y485" s="51"/>
      <c r="Z485" s="51"/>
      <c r="AA485" s="51"/>
      <c r="AB485" s="51"/>
      <c r="AC485" s="51"/>
      <c r="AD485" s="51"/>
      <c r="AE485" s="51"/>
      <c r="AF485" s="51"/>
      <c r="AG485" s="51"/>
      <c r="AH485" s="94"/>
      <c r="AI485" s="94"/>
      <c r="AJ485" s="94"/>
      <c r="AK485" s="94"/>
      <c r="AL485" s="94"/>
      <c r="AM485" s="94"/>
      <c r="AN485" s="94"/>
      <c r="AO485" s="95"/>
      <c r="AP485" s="686">
        <f t="shared" si="61"/>
        <v>0</v>
      </c>
      <c r="AQ485" s="42"/>
      <c r="AR485" s="42"/>
      <c r="AS485" s="42"/>
      <c r="AT485" s="43"/>
      <c r="AU485" s="687">
        <f t="shared" si="62"/>
        <v>0</v>
      </c>
      <c r="AV485" s="42"/>
      <c r="AW485" s="42"/>
      <c r="AX485" s="42"/>
      <c r="AY485" s="43"/>
      <c r="AZ485" s="486"/>
      <c r="BA485" s="51"/>
      <c r="BB485" s="51"/>
      <c r="BC485" s="51"/>
      <c r="BD485" s="51"/>
      <c r="BE485" s="51"/>
      <c r="BF485" s="51"/>
      <c r="BG485" s="51"/>
      <c r="BH485" s="94"/>
      <c r="BI485" s="94"/>
      <c r="BJ485" s="94"/>
      <c r="BK485" s="94"/>
      <c r="BL485" s="94"/>
      <c r="BM485" s="483"/>
      <c r="BN485" s="94"/>
      <c r="BO485" s="94"/>
      <c r="BP485" s="94"/>
      <c r="BQ485" s="94"/>
      <c r="BR485" s="94"/>
      <c r="BS485" s="94"/>
      <c r="BT485" s="94"/>
      <c r="BU485" s="94"/>
      <c r="BV485" s="94"/>
      <c r="BW485" s="688">
        <f t="shared" si="58"/>
        <v>0</v>
      </c>
      <c r="BX485" s="51"/>
      <c r="BY485" s="51"/>
      <c r="BZ485" s="51"/>
      <c r="CA485" s="51"/>
      <c r="CB485" s="51"/>
      <c r="CC485" s="51"/>
      <c r="CD485" s="97"/>
      <c r="CE485" s="479"/>
      <c r="CF485" s="51"/>
      <c r="CG485" s="51"/>
      <c r="CH485" s="62"/>
      <c r="CI485" s="62"/>
      <c r="CJ485" s="51"/>
      <c r="CK485" s="51"/>
      <c r="CL485" s="95"/>
      <c r="CM485" s="93"/>
      <c r="CN485" s="51"/>
      <c r="CO485" s="51"/>
      <c r="CP485" s="51"/>
      <c r="CQ485" s="51"/>
      <c r="CR485" s="51"/>
      <c r="CS485" s="51"/>
      <c r="CT485" s="51"/>
      <c r="CU485" s="95"/>
      <c r="CV485" s="93"/>
      <c r="CW485" s="51"/>
      <c r="CX485" s="51"/>
      <c r="CY485" s="51"/>
      <c r="CZ485" s="51"/>
      <c r="DA485" s="51"/>
      <c r="DB485" s="51"/>
      <c r="DC485" s="51"/>
      <c r="DD485" s="95"/>
      <c r="DE485" s="93"/>
      <c r="DF485" s="51"/>
      <c r="DG485" s="51"/>
      <c r="DH485" s="51"/>
      <c r="DI485" s="51"/>
      <c r="DJ485" s="51"/>
      <c r="DK485" s="51"/>
      <c r="DL485" s="95"/>
      <c r="DM485" s="478"/>
      <c r="DN485" s="682">
        <f t="shared" si="63"/>
        <v>0</v>
      </c>
      <c r="DO485" s="683"/>
    </row>
    <row r="486" spans="1:119" ht="25.5" customHeight="1" thickTop="1" thickBot="1" x14ac:dyDescent="0.2">
      <c r="A486" s="676">
        <f t="shared" si="59"/>
        <v>471</v>
      </c>
      <c r="B486" s="1054"/>
      <c r="C486" s="1055"/>
      <c r="D486" s="83"/>
      <c r="E486" s="954"/>
      <c r="F486" s="52"/>
      <c r="G486" s="103"/>
      <c r="H486" s="1058"/>
      <c r="I486" s="684" t="str">
        <f t="shared" si="56"/>
        <v/>
      </c>
      <c r="J486" s="685">
        <f t="shared" si="57"/>
        <v>0</v>
      </c>
      <c r="K486" s="1258"/>
      <c r="L486" s="1251"/>
      <c r="M486" s="1257"/>
      <c r="N486" s="719" t="str">
        <f t="shared" si="60"/>
        <v/>
      </c>
      <c r="O486" s="720" t="str">
        <f>IF('Set up ~ Config'!$G$32=6,IF(OR($N486=7,$N486=8,$N486=9),1,IF(OR($N486=10,$N486=11,$N486=12),2,IF(OR($N486=1,$N486=2,$N486=3),3,IF(OR($N486=4,$N486=5,$N486=6),4,"")))),IF(OR($N486=9,$N486=10,$N486=11),1,IF(OR($N486=12,$N486=1,$N486=2),2,IF(OR($N486=3,$N486=4,$N486=5),3,IF(OR($N486=6,$N486=7,$N486=8),4,"")))))</f>
        <v/>
      </c>
      <c r="P486" s="99"/>
      <c r="Q486" s="62"/>
      <c r="R486" s="62"/>
      <c r="S486" s="51"/>
      <c r="T486" s="51"/>
      <c r="U486" s="51"/>
      <c r="V486" s="51"/>
      <c r="W486" s="51"/>
      <c r="X486" s="51"/>
      <c r="Y486" s="51"/>
      <c r="Z486" s="51"/>
      <c r="AA486" s="51"/>
      <c r="AB486" s="51"/>
      <c r="AC486" s="51"/>
      <c r="AD486" s="51"/>
      <c r="AE486" s="51"/>
      <c r="AF486" s="51"/>
      <c r="AG486" s="51"/>
      <c r="AH486" s="94"/>
      <c r="AI486" s="94"/>
      <c r="AJ486" s="94"/>
      <c r="AK486" s="94"/>
      <c r="AL486" s="94"/>
      <c r="AM486" s="94"/>
      <c r="AN486" s="94"/>
      <c r="AO486" s="95"/>
      <c r="AP486" s="686">
        <f t="shared" si="61"/>
        <v>0</v>
      </c>
      <c r="AQ486" s="42"/>
      <c r="AR486" s="42"/>
      <c r="AS486" s="42"/>
      <c r="AT486" s="43"/>
      <c r="AU486" s="687">
        <f t="shared" si="62"/>
        <v>0</v>
      </c>
      <c r="AV486" s="42"/>
      <c r="AW486" s="42"/>
      <c r="AX486" s="42"/>
      <c r="AY486" s="43"/>
      <c r="AZ486" s="486"/>
      <c r="BA486" s="51"/>
      <c r="BB486" s="51"/>
      <c r="BC486" s="51"/>
      <c r="BD486" s="51"/>
      <c r="BE486" s="51"/>
      <c r="BF486" s="51"/>
      <c r="BG486" s="51"/>
      <c r="BH486" s="94"/>
      <c r="BI486" s="94"/>
      <c r="BJ486" s="94"/>
      <c r="BK486" s="94"/>
      <c r="BL486" s="94"/>
      <c r="BM486" s="483"/>
      <c r="BN486" s="94"/>
      <c r="BO486" s="94"/>
      <c r="BP486" s="94"/>
      <c r="BQ486" s="94"/>
      <c r="BR486" s="94"/>
      <c r="BS486" s="94"/>
      <c r="BT486" s="94"/>
      <c r="BU486" s="94"/>
      <c r="BV486" s="94"/>
      <c r="BW486" s="688">
        <f t="shared" si="58"/>
        <v>0</v>
      </c>
      <c r="BX486" s="51"/>
      <c r="BY486" s="51"/>
      <c r="BZ486" s="51"/>
      <c r="CA486" s="51"/>
      <c r="CB486" s="51"/>
      <c r="CC486" s="51"/>
      <c r="CD486" s="97"/>
      <c r="CE486" s="479"/>
      <c r="CF486" s="51"/>
      <c r="CG486" s="51"/>
      <c r="CH486" s="62"/>
      <c r="CI486" s="62"/>
      <c r="CJ486" s="51"/>
      <c r="CK486" s="51"/>
      <c r="CL486" s="95"/>
      <c r="CM486" s="93"/>
      <c r="CN486" s="51"/>
      <c r="CO486" s="51"/>
      <c r="CP486" s="51"/>
      <c r="CQ486" s="51"/>
      <c r="CR486" s="51"/>
      <c r="CS486" s="51"/>
      <c r="CT486" s="51"/>
      <c r="CU486" s="95"/>
      <c r="CV486" s="93"/>
      <c r="CW486" s="51"/>
      <c r="CX486" s="51"/>
      <c r="CY486" s="51"/>
      <c r="CZ486" s="51"/>
      <c r="DA486" s="51"/>
      <c r="DB486" s="51"/>
      <c r="DC486" s="51"/>
      <c r="DD486" s="95"/>
      <c r="DE486" s="93"/>
      <c r="DF486" s="51"/>
      <c r="DG486" s="51"/>
      <c r="DH486" s="51"/>
      <c r="DI486" s="51"/>
      <c r="DJ486" s="51"/>
      <c r="DK486" s="51"/>
      <c r="DL486" s="95"/>
      <c r="DM486" s="478"/>
      <c r="DN486" s="682">
        <f t="shared" si="63"/>
        <v>0</v>
      </c>
      <c r="DO486" s="683"/>
    </row>
    <row r="487" spans="1:119" ht="25.5" customHeight="1" thickTop="1" thickBot="1" x14ac:dyDescent="0.2">
      <c r="A487" s="676">
        <f t="shared" si="59"/>
        <v>472</v>
      </c>
      <c r="B487" s="1054"/>
      <c r="C487" s="1055"/>
      <c r="D487" s="83"/>
      <c r="E487" s="954"/>
      <c r="F487" s="52"/>
      <c r="G487" s="103"/>
      <c r="H487" s="1058"/>
      <c r="I487" s="684" t="str">
        <f t="shared" si="56"/>
        <v/>
      </c>
      <c r="J487" s="685">
        <f t="shared" si="57"/>
        <v>0</v>
      </c>
      <c r="K487" s="1258"/>
      <c r="L487" s="1251"/>
      <c r="M487" s="1257"/>
      <c r="N487" s="719" t="str">
        <f t="shared" si="60"/>
        <v/>
      </c>
      <c r="O487" s="720" t="str">
        <f>IF('Set up ~ Config'!$G$32=6,IF(OR($N487=7,$N487=8,$N487=9),1,IF(OR($N487=10,$N487=11,$N487=12),2,IF(OR($N487=1,$N487=2,$N487=3),3,IF(OR($N487=4,$N487=5,$N487=6),4,"")))),IF(OR($N487=9,$N487=10,$N487=11),1,IF(OR($N487=12,$N487=1,$N487=2),2,IF(OR($N487=3,$N487=4,$N487=5),3,IF(OR($N487=6,$N487=7,$N487=8),4,"")))))</f>
        <v/>
      </c>
      <c r="P487" s="99"/>
      <c r="Q487" s="62"/>
      <c r="R487" s="62"/>
      <c r="S487" s="51"/>
      <c r="T487" s="51"/>
      <c r="U487" s="51"/>
      <c r="V487" s="51"/>
      <c r="W487" s="51"/>
      <c r="X487" s="51"/>
      <c r="Y487" s="51"/>
      <c r="Z487" s="51"/>
      <c r="AA487" s="51"/>
      <c r="AB487" s="51"/>
      <c r="AC487" s="51"/>
      <c r="AD487" s="51"/>
      <c r="AE487" s="51"/>
      <c r="AF487" s="51"/>
      <c r="AG487" s="51"/>
      <c r="AH487" s="94"/>
      <c r="AI487" s="94"/>
      <c r="AJ487" s="94"/>
      <c r="AK487" s="94"/>
      <c r="AL487" s="94"/>
      <c r="AM487" s="94"/>
      <c r="AN487" s="94"/>
      <c r="AO487" s="95"/>
      <c r="AP487" s="686">
        <f t="shared" si="61"/>
        <v>0</v>
      </c>
      <c r="AQ487" s="42"/>
      <c r="AR487" s="42"/>
      <c r="AS487" s="42"/>
      <c r="AT487" s="43"/>
      <c r="AU487" s="687">
        <f t="shared" si="62"/>
        <v>0</v>
      </c>
      <c r="AV487" s="42"/>
      <c r="AW487" s="42"/>
      <c r="AX487" s="42"/>
      <c r="AY487" s="43"/>
      <c r="AZ487" s="486"/>
      <c r="BA487" s="51"/>
      <c r="BB487" s="51"/>
      <c r="BC487" s="51"/>
      <c r="BD487" s="51"/>
      <c r="BE487" s="51"/>
      <c r="BF487" s="51"/>
      <c r="BG487" s="51"/>
      <c r="BH487" s="94"/>
      <c r="BI487" s="94"/>
      <c r="BJ487" s="94"/>
      <c r="BK487" s="94"/>
      <c r="BL487" s="94"/>
      <c r="BM487" s="483"/>
      <c r="BN487" s="94"/>
      <c r="BO487" s="94"/>
      <c r="BP487" s="94"/>
      <c r="BQ487" s="94"/>
      <c r="BR487" s="94"/>
      <c r="BS487" s="94"/>
      <c r="BT487" s="94"/>
      <c r="BU487" s="94"/>
      <c r="BV487" s="94"/>
      <c r="BW487" s="688">
        <f t="shared" si="58"/>
        <v>0</v>
      </c>
      <c r="BX487" s="51"/>
      <c r="BY487" s="51"/>
      <c r="BZ487" s="51"/>
      <c r="CA487" s="51"/>
      <c r="CB487" s="51"/>
      <c r="CC487" s="51"/>
      <c r="CD487" s="97"/>
      <c r="CE487" s="479"/>
      <c r="CF487" s="51"/>
      <c r="CG487" s="51"/>
      <c r="CH487" s="62"/>
      <c r="CI487" s="62"/>
      <c r="CJ487" s="51"/>
      <c r="CK487" s="51"/>
      <c r="CL487" s="95"/>
      <c r="CM487" s="93"/>
      <c r="CN487" s="51"/>
      <c r="CO487" s="51"/>
      <c r="CP487" s="51"/>
      <c r="CQ487" s="51"/>
      <c r="CR487" s="51"/>
      <c r="CS487" s="51"/>
      <c r="CT487" s="51"/>
      <c r="CU487" s="95"/>
      <c r="CV487" s="93"/>
      <c r="CW487" s="51"/>
      <c r="CX487" s="51"/>
      <c r="CY487" s="51"/>
      <c r="CZ487" s="51"/>
      <c r="DA487" s="51"/>
      <c r="DB487" s="51"/>
      <c r="DC487" s="51"/>
      <c r="DD487" s="95"/>
      <c r="DE487" s="93"/>
      <c r="DF487" s="51"/>
      <c r="DG487" s="51"/>
      <c r="DH487" s="51"/>
      <c r="DI487" s="51"/>
      <c r="DJ487" s="51"/>
      <c r="DK487" s="51"/>
      <c r="DL487" s="95"/>
      <c r="DM487" s="478"/>
      <c r="DN487" s="682">
        <f t="shared" si="63"/>
        <v>0</v>
      </c>
      <c r="DO487" s="683"/>
    </row>
    <row r="488" spans="1:119" ht="25.5" customHeight="1" thickTop="1" thickBot="1" x14ac:dyDescent="0.2">
      <c r="A488" s="676">
        <f t="shared" si="59"/>
        <v>473</v>
      </c>
      <c r="B488" s="1054"/>
      <c r="C488" s="1055"/>
      <c r="D488" s="83"/>
      <c r="E488" s="954"/>
      <c r="F488" s="52"/>
      <c r="G488" s="103"/>
      <c r="H488" s="1058"/>
      <c r="I488" s="684" t="str">
        <f t="shared" si="56"/>
        <v/>
      </c>
      <c r="J488" s="685">
        <f t="shared" si="57"/>
        <v>0</v>
      </c>
      <c r="K488" s="1258"/>
      <c r="L488" s="1251"/>
      <c r="M488" s="1257"/>
      <c r="N488" s="719" t="str">
        <f t="shared" si="60"/>
        <v/>
      </c>
      <c r="O488" s="720" t="str">
        <f>IF('Set up ~ Config'!$G$32=6,IF(OR($N488=7,$N488=8,$N488=9),1,IF(OR($N488=10,$N488=11,$N488=12),2,IF(OR($N488=1,$N488=2,$N488=3),3,IF(OR($N488=4,$N488=5,$N488=6),4,"")))),IF(OR($N488=9,$N488=10,$N488=11),1,IF(OR($N488=12,$N488=1,$N488=2),2,IF(OR($N488=3,$N488=4,$N488=5),3,IF(OR($N488=6,$N488=7,$N488=8),4,"")))))</f>
        <v/>
      </c>
      <c r="P488" s="99"/>
      <c r="Q488" s="62"/>
      <c r="R488" s="62"/>
      <c r="S488" s="51"/>
      <c r="T488" s="51"/>
      <c r="U488" s="51"/>
      <c r="V488" s="51"/>
      <c r="W488" s="51"/>
      <c r="X488" s="51"/>
      <c r="Y488" s="51"/>
      <c r="Z488" s="51"/>
      <c r="AA488" s="51"/>
      <c r="AB488" s="51"/>
      <c r="AC488" s="51"/>
      <c r="AD488" s="51"/>
      <c r="AE488" s="51"/>
      <c r="AF488" s="51"/>
      <c r="AG488" s="51"/>
      <c r="AH488" s="94"/>
      <c r="AI488" s="94"/>
      <c r="AJ488" s="94"/>
      <c r="AK488" s="94"/>
      <c r="AL488" s="94"/>
      <c r="AM488" s="94"/>
      <c r="AN488" s="94"/>
      <c r="AO488" s="95"/>
      <c r="AP488" s="686">
        <f t="shared" si="61"/>
        <v>0</v>
      </c>
      <c r="AQ488" s="42"/>
      <c r="AR488" s="42"/>
      <c r="AS488" s="42"/>
      <c r="AT488" s="43"/>
      <c r="AU488" s="687">
        <f t="shared" si="62"/>
        <v>0</v>
      </c>
      <c r="AV488" s="42"/>
      <c r="AW488" s="42"/>
      <c r="AX488" s="42"/>
      <c r="AY488" s="43"/>
      <c r="AZ488" s="486"/>
      <c r="BA488" s="51"/>
      <c r="BB488" s="51"/>
      <c r="BC488" s="51"/>
      <c r="BD488" s="51"/>
      <c r="BE488" s="51"/>
      <c r="BF488" s="51"/>
      <c r="BG488" s="51"/>
      <c r="BH488" s="94"/>
      <c r="BI488" s="94"/>
      <c r="BJ488" s="94"/>
      <c r="BK488" s="94"/>
      <c r="BL488" s="94"/>
      <c r="BM488" s="483"/>
      <c r="BN488" s="94"/>
      <c r="BO488" s="94"/>
      <c r="BP488" s="94"/>
      <c r="BQ488" s="94"/>
      <c r="BR488" s="94"/>
      <c r="BS488" s="94"/>
      <c r="BT488" s="94"/>
      <c r="BU488" s="94"/>
      <c r="BV488" s="94"/>
      <c r="BW488" s="688">
        <f t="shared" si="58"/>
        <v>0</v>
      </c>
      <c r="BX488" s="51"/>
      <c r="BY488" s="51"/>
      <c r="BZ488" s="51"/>
      <c r="CA488" s="51"/>
      <c r="CB488" s="51"/>
      <c r="CC488" s="51"/>
      <c r="CD488" s="97"/>
      <c r="CE488" s="479"/>
      <c r="CF488" s="51"/>
      <c r="CG488" s="51"/>
      <c r="CH488" s="62"/>
      <c r="CI488" s="62"/>
      <c r="CJ488" s="51"/>
      <c r="CK488" s="51"/>
      <c r="CL488" s="95"/>
      <c r="CM488" s="93"/>
      <c r="CN488" s="51"/>
      <c r="CO488" s="51"/>
      <c r="CP488" s="51"/>
      <c r="CQ488" s="51"/>
      <c r="CR488" s="51"/>
      <c r="CS488" s="51"/>
      <c r="CT488" s="51"/>
      <c r="CU488" s="95"/>
      <c r="CV488" s="93"/>
      <c r="CW488" s="51"/>
      <c r="CX488" s="51"/>
      <c r="CY488" s="51"/>
      <c r="CZ488" s="51"/>
      <c r="DA488" s="51"/>
      <c r="DB488" s="51"/>
      <c r="DC488" s="51"/>
      <c r="DD488" s="95"/>
      <c r="DE488" s="93"/>
      <c r="DF488" s="51"/>
      <c r="DG488" s="51"/>
      <c r="DH488" s="51"/>
      <c r="DI488" s="51"/>
      <c r="DJ488" s="51"/>
      <c r="DK488" s="51"/>
      <c r="DL488" s="95"/>
      <c r="DM488" s="478"/>
      <c r="DN488" s="682">
        <f t="shared" si="63"/>
        <v>0</v>
      </c>
      <c r="DO488" s="683"/>
    </row>
    <row r="489" spans="1:119" ht="25.5" customHeight="1" thickTop="1" thickBot="1" x14ac:dyDescent="0.2">
      <c r="A489" s="676">
        <f t="shared" si="59"/>
        <v>474</v>
      </c>
      <c r="B489" s="1054"/>
      <c r="C489" s="1055"/>
      <c r="D489" s="83"/>
      <c r="E489" s="954"/>
      <c r="F489" s="52"/>
      <c r="G489" s="103"/>
      <c r="H489" s="1058"/>
      <c r="I489" s="684" t="str">
        <f t="shared" si="56"/>
        <v/>
      </c>
      <c r="J489" s="685">
        <f t="shared" si="57"/>
        <v>0</v>
      </c>
      <c r="K489" s="1258"/>
      <c r="L489" s="1251"/>
      <c r="M489" s="1257"/>
      <c r="N489" s="719" t="str">
        <f t="shared" si="60"/>
        <v/>
      </c>
      <c r="O489" s="720" t="str">
        <f>IF('Set up ~ Config'!$G$32=6,IF(OR($N489=7,$N489=8,$N489=9),1,IF(OR($N489=10,$N489=11,$N489=12),2,IF(OR($N489=1,$N489=2,$N489=3),3,IF(OR($N489=4,$N489=5,$N489=6),4,"")))),IF(OR($N489=9,$N489=10,$N489=11),1,IF(OR($N489=12,$N489=1,$N489=2),2,IF(OR($N489=3,$N489=4,$N489=5),3,IF(OR($N489=6,$N489=7,$N489=8),4,"")))))</f>
        <v/>
      </c>
      <c r="P489" s="99"/>
      <c r="Q489" s="62"/>
      <c r="R489" s="62"/>
      <c r="S489" s="51"/>
      <c r="T489" s="51"/>
      <c r="U489" s="51"/>
      <c r="V489" s="51"/>
      <c r="W489" s="51"/>
      <c r="X489" s="51"/>
      <c r="Y489" s="51"/>
      <c r="Z489" s="51"/>
      <c r="AA489" s="51"/>
      <c r="AB489" s="51"/>
      <c r="AC489" s="51"/>
      <c r="AD489" s="51"/>
      <c r="AE489" s="51"/>
      <c r="AF489" s="51"/>
      <c r="AG489" s="51"/>
      <c r="AH489" s="94"/>
      <c r="AI489" s="94"/>
      <c r="AJ489" s="94"/>
      <c r="AK489" s="94"/>
      <c r="AL489" s="94"/>
      <c r="AM489" s="94"/>
      <c r="AN489" s="94"/>
      <c r="AO489" s="95"/>
      <c r="AP489" s="686">
        <f t="shared" si="61"/>
        <v>0</v>
      </c>
      <c r="AQ489" s="42"/>
      <c r="AR489" s="42"/>
      <c r="AS489" s="42"/>
      <c r="AT489" s="43"/>
      <c r="AU489" s="687">
        <f t="shared" si="62"/>
        <v>0</v>
      </c>
      <c r="AV489" s="42"/>
      <c r="AW489" s="42"/>
      <c r="AX489" s="42"/>
      <c r="AY489" s="43"/>
      <c r="AZ489" s="486"/>
      <c r="BA489" s="51"/>
      <c r="BB489" s="51"/>
      <c r="BC489" s="51"/>
      <c r="BD489" s="51"/>
      <c r="BE489" s="51"/>
      <c r="BF489" s="51"/>
      <c r="BG489" s="51"/>
      <c r="BH489" s="94"/>
      <c r="BI489" s="94"/>
      <c r="BJ489" s="94"/>
      <c r="BK489" s="94"/>
      <c r="BL489" s="94"/>
      <c r="BM489" s="483"/>
      <c r="BN489" s="94"/>
      <c r="BO489" s="94"/>
      <c r="BP489" s="94"/>
      <c r="BQ489" s="94"/>
      <c r="BR489" s="94"/>
      <c r="BS489" s="94"/>
      <c r="BT489" s="94"/>
      <c r="BU489" s="94"/>
      <c r="BV489" s="94"/>
      <c r="BW489" s="688">
        <f t="shared" si="58"/>
        <v>0</v>
      </c>
      <c r="BX489" s="51"/>
      <c r="BY489" s="51"/>
      <c r="BZ489" s="51"/>
      <c r="CA489" s="51"/>
      <c r="CB489" s="51"/>
      <c r="CC489" s="51"/>
      <c r="CD489" s="97"/>
      <c r="CE489" s="479"/>
      <c r="CF489" s="51"/>
      <c r="CG489" s="51"/>
      <c r="CH489" s="62"/>
      <c r="CI489" s="62"/>
      <c r="CJ489" s="51"/>
      <c r="CK489" s="51"/>
      <c r="CL489" s="95"/>
      <c r="CM489" s="93"/>
      <c r="CN489" s="51"/>
      <c r="CO489" s="51"/>
      <c r="CP489" s="51"/>
      <c r="CQ489" s="51"/>
      <c r="CR489" s="51"/>
      <c r="CS489" s="51"/>
      <c r="CT489" s="51"/>
      <c r="CU489" s="95"/>
      <c r="CV489" s="93"/>
      <c r="CW489" s="51"/>
      <c r="CX489" s="51"/>
      <c r="CY489" s="51"/>
      <c r="CZ489" s="51"/>
      <c r="DA489" s="51"/>
      <c r="DB489" s="51"/>
      <c r="DC489" s="51"/>
      <c r="DD489" s="95"/>
      <c r="DE489" s="93"/>
      <c r="DF489" s="51"/>
      <c r="DG489" s="51"/>
      <c r="DH489" s="51"/>
      <c r="DI489" s="51"/>
      <c r="DJ489" s="51"/>
      <c r="DK489" s="51"/>
      <c r="DL489" s="95"/>
      <c r="DM489" s="478"/>
      <c r="DN489" s="682">
        <f t="shared" si="63"/>
        <v>0</v>
      </c>
      <c r="DO489" s="683"/>
    </row>
    <row r="490" spans="1:119" ht="25.5" customHeight="1" thickTop="1" thickBot="1" x14ac:dyDescent="0.2">
      <c r="A490" s="676">
        <f t="shared" si="59"/>
        <v>475</v>
      </c>
      <c r="B490" s="1054"/>
      <c r="C490" s="1055"/>
      <c r="D490" s="83"/>
      <c r="E490" s="954"/>
      <c r="F490" s="52"/>
      <c r="G490" s="103"/>
      <c r="H490" s="1058"/>
      <c r="I490" s="684" t="str">
        <f t="shared" si="56"/>
        <v/>
      </c>
      <c r="J490" s="685">
        <f t="shared" si="57"/>
        <v>0</v>
      </c>
      <c r="K490" s="1258"/>
      <c r="L490" s="1251"/>
      <c r="M490" s="1257"/>
      <c r="N490" s="719" t="str">
        <f t="shared" si="60"/>
        <v/>
      </c>
      <c r="O490" s="720" t="str">
        <f>IF('Set up ~ Config'!$G$32=6,IF(OR($N490=7,$N490=8,$N490=9),1,IF(OR($N490=10,$N490=11,$N490=12),2,IF(OR($N490=1,$N490=2,$N490=3),3,IF(OR($N490=4,$N490=5,$N490=6),4,"")))),IF(OR($N490=9,$N490=10,$N490=11),1,IF(OR($N490=12,$N490=1,$N490=2),2,IF(OR($N490=3,$N490=4,$N490=5),3,IF(OR($N490=6,$N490=7,$N490=8),4,"")))))</f>
        <v/>
      </c>
      <c r="P490" s="99"/>
      <c r="Q490" s="62"/>
      <c r="R490" s="62"/>
      <c r="S490" s="51"/>
      <c r="T490" s="51"/>
      <c r="U490" s="51"/>
      <c r="V490" s="51"/>
      <c r="W490" s="51"/>
      <c r="X490" s="51"/>
      <c r="Y490" s="51"/>
      <c r="Z490" s="51"/>
      <c r="AA490" s="51"/>
      <c r="AB490" s="51"/>
      <c r="AC490" s="51"/>
      <c r="AD490" s="51"/>
      <c r="AE490" s="51"/>
      <c r="AF490" s="51"/>
      <c r="AG490" s="51"/>
      <c r="AH490" s="94"/>
      <c r="AI490" s="94"/>
      <c r="AJ490" s="94"/>
      <c r="AK490" s="94"/>
      <c r="AL490" s="94"/>
      <c r="AM490" s="94"/>
      <c r="AN490" s="94"/>
      <c r="AO490" s="95"/>
      <c r="AP490" s="686">
        <f t="shared" si="61"/>
        <v>0</v>
      </c>
      <c r="AQ490" s="42"/>
      <c r="AR490" s="42"/>
      <c r="AS490" s="42"/>
      <c r="AT490" s="43"/>
      <c r="AU490" s="687">
        <f t="shared" si="62"/>
        <v>0</v>
      </c>
      <c r="AV490" s="42"/>
      <c r="AW490" s="42"/>
      <c r="AX490" s="42"/>
      <c r="AY490" s="43"/>
      <c r="AZ490" s="486"/>
      <c r="BA490" s="51"/>
      <c r="BB490" s="51"/>
      <c r="BC490" s="51"/>
      <c r="BD490" s="51"/>
      <c r="BE490" s="51"/>
      <c r="BF490" s="51"/>
      <c r="BG490" s="51"/>
      <c r="BH490" s="94"/>
      <c r="BI490" s="94"/>
      <c r="BJ490" s="94"/>
      <c r="BK490" s="94"/>
      <c r="BL490" s="94"/>
      <c r="BM490" s="483"/>
      <c r="BN490" s="94"/>
      <c r="BO490" s="94"/>
      <c r="BP490" s="94"/>
      <c r="BQ490" s="94"/>
      <c r="BR490" s="94"/>
      <c r="BS490" s="94"/>
      <c r="BT490" s="94"/>
      <c r="BU490" s="94"/>
      <c r="BV490" s="94"/>
      <c r="BW490" s="688">
        <f t="shared" si="58"/>
        <v>0</v>
      </c>
      <c r="BX490" s="51"/>
      <c r="BY490" s="51"/>
      <c r="BZ490" s="51"/>
      <c r="CA490" s="51"/>
      <c r="CB490" s="51"/>
      <c r="CC490" s="51"/>
      <c r="CD490" s="97"/>
      <c r="CE490" s="479"/>
      <c r="CF490" s="51"/>
      <c r="CG490" s="51"/>
      <c r="CH490" s="62"/>
      <c r="CI490" s="62"/>
      <c r="CJ490" s="51"/>
      <c r="CK490" s="51"/>
      <c r="CL490" s="95"/>
      <c r="CM490" s="93"/>
      <c r="CN490" s="51"/>
      <c r="CO490" s="51"/>
      <c r="CP490" s="51"/>
      <c r="CQ490" s="51"/>
      <c r="CR490" s="51"/>
      <c r="CS490" s="51"/>
      <c r="CT490" s="51"/>
      <c r="CU490" s="95"/>
      <c r="CV490" s="93"/>
      <c r="CW490" s="51"/>
      <c r="CX490" s="51"/>
      <c r="CY490" s="51"/>
      <c r="CZ490" s="51"/>
      <c r="DA490" s="51"/>
      <c r="DB490" s="51"/>
      <c r="DC490" s="51"/>
      <c r="DD490" s="95"/>
      <c r="DE490" s="93"/>
      <c r="DF490" s="51"/>
      <c r="DG490" s="51"/>
      <c r="DH490" s="51"/>
      <c r="DI490" s="51"/>
      <c r="DJ490" s="51"/>
      <c r="DK490" s="51"/>
      <c r="DL490" s="95"/>
      <c r="DM490" s="478"/>
      <c r="DN490" s="682">
        <f t="shared" si="63"/>
        <v>0</v>
      </c>
      <c r="DO490" s="683"/>
    </row>
    <row r="491" spans="1:119" ht="25.5" customHeight="1" thickTop="1" thickBot="1" x14ac:dyDescent="0.2">
      <c r="A491" s="676">
        <f t="shared" si="59"/>
        <v>476</v>
      </c>
      <c r="B491" s="1054"/>
      <c r="C491" s="1055"/>
      <c r="D491" s="83"/>
      <c r="E491" s="954"/>
      <c r="F491" s="52"/>
      <c r="G491" s="103"/>
      <c r="H491" s="1058"/>
      <c r="I491" s="684" t="str">
        <f t="shared" si="56"/>
        <v/>
      </c>
      <c r="J491" s="685">
        <f t="shared" si="57"/>
        <v>0</v>
      </c>
      <c r="K491" s="1258"/>
      <c r="L491" s="1251"/>
      <c r="M491" s="1257"/>
      <c r="N491" s="719" t="str">
        <f t="shared" si="60"/>
        <v/>
      </c>
      <c r="O491" s="720" t="str">
        <f>IF('Set up ~ Config'!$G$32=6,IF(OR($N491=7,$N491=8,$N491=9),1,IF(OR($N491=10,$N491=11,$N491=12),2,IF(OR($N491=1,$N491=2,$N491=3),3,IF(OR($N491=4,$N491=5,$N491=6),4,"")))),IF(OR($N491=9,$N491=10,$N491=11),1,IF(OR($N491=12,$N491=1,$N491=2),2,IF(OR($N491=3,$N491=4,$N491=5),3,IF(OR($N491=6,$N491=7,$N491=8),4,"")))))</f>
        <v/>
      </c>
      <c r="P491" s="99"/>
      <c r="Q491" s="62"/>
      <c r="R491" s="62"/>
      <c r="S491" s="51"/>
      <c r="T491" s="51"/>
      <c r="U491" s="51"/>
      <c r="V491" s="51"/>
      <c r="W491" s="51"/>
      <c r="X491" s="51"/>
      <c r="Y491" s="51"/>
      <c r="Z491" s="51"/>
      <c r="AA491" s="51"/>
      <c r="AB491" s="51"/>
      <c r="AC491" s="51"/>
      <c r="AD491" s="51"/>
      <c r="AE491" s="51"/>
      <c r="AF491" s="51"/>
      <c r="AG491" s="51"/>
      <c r="AH491" s="94"/>
      <c r="AI491" s="94"/>
      <c r="AJ491" s="94"/>
      <c r="AK491" s="94"/>
      <c r="AL491" s="94"/>
      <c r="AM491" s="94"/>
      <c r="AN491" s="94"/>
      <c r="AO491" s="95"/>
      <c r="AP491" s="686">
        <f t="shared" si="61"/>
        <v>0</v>
      </c>
      <c r="AQ491" s="42"/>
      <c r="AR491" s="42"/>
      <c r="AS491" s="42"/>
      <c r="AT491" s="43"/>
      <c r="AU491" s="687">
        <f t="shared" si="62"/>
        <v>0</v>
      </c>
      <c r="AV491" s="42"/>
      <c r="AW491" s="42"/>
      <c r="AX491" s="42"/>
      <c r="AY491" s="43"/>
      <c r="AZ491" s="486"/>
      <c r="BA491" s="51"/>
      <c r="BB491" s="51"/>
      <c r="BC491" s="51"/>
      <c r="BD491" s="51"/>
      <c r="BE491" s="51"/>
      <c r="BF491" s="51"/>
      <c r="BG491" s="51"/>
      <c r="BH491" s="94"/>
      <c r="BI491" s="94"/>
      <c r="BJ491" s="94"/>
      <c r="BK491" s="94"/>
      <c r="BL491" s="94"/>
      <c r="BM491" s="483"/>
      <c r="BN491" s="94"/>
      <c r="BO491" s="94"/>
      <c r="BP491" s="94"/>
      <c r="BQ491" s="94"/>
      <c r="BR491" s="94"/>
      <c r="BS491" s="94"/>
      <c r="BT491" s="94"/>
      <c r="BU491" s="94"/>
      <c r="BV491" s="94"/>
      <c r="BW491" s="688">
        <f t="shared" si="58"/>
        <v>0</v>
      </c>
      <c r="BX491" s="51"/>
      <c r="BY491" s="51"/>
      <c r="BZ491" s="51"/>
      <c r="CA491" s="51"/>
      <c r="CB491" s="51"/>
      <c r="CC491" s="51"/>
      <c r="CD491" s="97"/>
      <c r="CE491" s="479"/>
      <c r="CF491" s="51"/>
      <c r="CG491" s="51"/>
      <c r="CH491" s="62"/>
      <c r="CI491" s="62"/>
      <c r="CJ491" s="51"/>
      <c r="CK491" s="51"/>
      <c r="CL491" s="95"/>
      <c r="CM491" s="93"/>
      <c r="CN491" s="51"/>
      <c r="CO491" s="51"/>
      <c r="CP491" s="51"/>
      <c r="CQ491" s="51"/>
      <c r="CR491" s="51"/>
      <c r="CS491" s="51"/>
      <c r="CT491" s="51"/>
      <c r="CU491" s="95"/>
      <c r="CV491" s="93"/>
      <c r="CW491" s="51"/>
      <c r="CX491" s="51"/>
      <c r="CY491" s="51"/>
      <c r="CZ491" s="51"/>
      <c r="DA491" s="51"/>
      <c r="DB491" s="51"/>
      <c r="DC491" s="51"/>
      <c r="DD491" s="95"/>
      <c r="DE491" s="93"/>
      <c r="DF491" s="51"/>
      <c r="DG491" s="51"/>
      <c r="DH491" s="51"/>
      <c r="DI491" s="51"/>
      <c r="DJ491" s="51"/>
      <c r="DK491" s="51"/>
      <c r="DL491" s="95"/>
      <c r="DM491" s="478"/>
      <c r="DN491" s="682">
        <f t="shared" si="63"/>
        <v>0</v>
      </c>
      <c r="DO491" s="683"/>
    </row>
    <row r="492" spans="1:119" ht="25.5" customHeight="1" thickTop="1" thickBot="1" x14ac:dyDescent="0.2">
      <c r="A492" s="676">
        <f t="shared" si="59"/>
        <v>477</v>
      </c>
      <c r="B492" s="1054"/>
      <c r="C492" s="1055"/>
      <c r="D492" s="83"/>
      <c r="E492" s="954"/>
      <c r="F492" s="52"/>
      <c r="G492" s="103"/>
      <c r="H492" s="1058"/>
      <c r="I492" s="684" t="str">
        <f t="shared" si="56"/>
        <v/>
      </c>
      <c r="J492" s="685">
        <f t="shared" si="57"/>
        <v>0</v>
      </c>
      <c r="K492" s="1258"/>
      <c r="L492" s="1251"/>
      <c r="M492" s="1257"/>
      <c r="N492" s="719" t="str">
        <f t="shared" si="60"/>
        <v/>
      </c>
      <c r="O492" s="720" t="str">
        <f>IF('Set up ~ Config'!$G$32=6,IF(OR($N492=7,$N492=8,$N492=9),1,IF(OR($N492=10,$N492=11,$N492=12),2,IF(OR($N492=1,$N492=2,$N492=3),3,IF(OR($N492=4,$N492=5,$N492=6),4,"")))),IF(OR($N492=9,$N492=10,$N492=11),1,IF(OR($N492=12,$N492=1,$N492=2),2,IF(OR($N492=3,$N492=4,$N492=5),3,IF(OR($N492=6,$N492=7,$N492=8),4,"")))))</f>
        <v/>
      </c>
      <c r="P492" s="99"/>
      <c r="Q492" s="62"/>
      <c r="R492" s="62"/>
      <c r="S492" s="51"/>
      <c r="T492" s="51"/>
      <c r="U492" s="51"/>
      <c r="V492" s="51"/>
      <c r="W492" s="51"/>
      <c r="X492" s="51"/>
      <c r="Y492" s="51"/>
      <c r="Z492" s="51"/>
      <c r="AA492" s="51"/>
      <c r="AB492" s="51"/>
      <c r="AC492" s="51"/>
      <c r="AD492" s="51"/>
      <c r="AE492" s="51"/>
      <c r="AF492" s="51"/>
      <c r="AG492" s="51"/>
      <c r="AH492" s="94"/>
      <c r="AI492" s="94"/>
      <c r="AJ492" s="94"/>
      <c r="AK492" s="94"/>
      <c r="AL492" s="94"/>
      <c r="AM492" s="94"/>
      <c r="AN492" s="94"/>
      <c r="AO492" s="95"/>
      <c r="AP492" s="686">
        <f t="shared" si="61"/>
        <v>0</v>
      </c>
      <c r="AQ492" s="42"/>
      <c r="AR492" s="42"/>
      <c r="AS492" s="42"/>
      <c r="AT492" s="43"/>
      <c r="AU492" s="687">
        <f t="shared" si="62"/>
        <v>0</v>
      </c>
      <c r="AV492" s="42"/>
      <c r="AW492" s="42"/>
      <c r="AX492" s="42"/>
      <c r="AY492" s="43"/>
      <c r="AZ492" s="486"/>
      <c r="BA492" s="51"/>
      <c r="BB492" s="51"/>
      <c r="BC492" s="51"/>
      <c r="BD492" s="51"/>
      <c r="BE492" s="51"/>
      <c r="BF492" s="51"/>
      <c r="BG492" s="51"/>
      <c r="BH492" s="94"/>
      <c r="BI492" s="94"/>
      <c r="BJ492" s="94"/>
      <c r="BK492" s="94"/>
      <c r="BL492" s="94"/>
      <c r="BM492" s="483"/>
      <c r="BN492" s="94"/>
      <c r="BO492" s="94"/>
      <c r="BP492" s="94"/>
      <c r="BQ492" s="94"/>
      <c r="BR492" s="94"/>
      <c r="BS492" s="94"/>
      <c r="BT492" s="94"/>
      <c r="BU492" s="94"/>
      <c r="BV492" s="94"/>
      <c r="BW492" s="688">
        <f t="shared" si="58"/>
        <v>0</v>
      </c>
      <c r="BX492" s="51"/>
      <c r="BY492" s="51"/>
      <c r="BZ492" s="51"/>
      <c r="CA492" s="51"/>
      <c r="CB492" s="51"/>
      <c r="CC492" s="51"/>
      <c r="CD492" s="97"/>
      <c r="CE492" s="479"/>
      <c r="CF492" s="51"/>
      <c r="CG492" s="51"/>
      <c r="CH492" s="62"/>
      <c r="CI492" s="62"/>
      <c r="CJ492" s="51"/>
      <c r="CK492" s="51"/>
      <c r="CL492" s="95"/>
      <c r="CM492" s="93"/>
      <c r="CN492" s="51"/>
      <c r="CO492" s="51"/>
      <c r="CP492" s="51"/>
      <c r="CQ492" s="51"/>
      <c r="CR492" s="51"/>
      <c r="CS492" s="51"/>
      <c r="CT492" s="51"/>
      <c r="CU492" s="95"/>
      <c r="CV492" s="93"/>
      <c r="CW492" s="51"/>
      <c r="CX492" s="51"/>
      <c r="CY492" s="51"/>
      <c r="CZ492" s="51"/>
      <c r="DA492" s="51"/>
      <c r="DB492" s="51"/>
      <c r="DC492" s="51"/>
      <c r="DD492" s="95"/>
      <c r="DE492" s="93"/>
      <c r="DF492" s="51"/>
      <c r="DG492" s="51"/>
      <c r="DH492" s="51"/>
      <c r="DI492" s="51"/>
      <c r="DJ492" s="51"/>
      <c r="DK492" s="51"/>
      <c r="DL492" s="95"/>
      <c r="DM492" s="478"/>
      <c r="DN492" s="682">
        <f t="shared" si="63"/>
        <v>0</v>
      </c>
      <c r="DO492" s="683"/>
    </row>
    <row r="493" spans="1:119" ht="25.5" customHeight="1" thickTop="1" thickBot="1" x14ac:dyDescent="0.2">
      <c r="A493" s="676">
        <f t="shared" si="59"/>
        <v>478</v>
      </c>
      <c r="B493" s="1054"/>
      <c r="C493" s="1055"/>
      <c r="D493" s="83"/>
      <c r="E493" s="954"/>
      <c r="F493" s="52"/>
      <c r="G493" s="103"/>
      <c r="H493" s="1058"/>
      <c r="I493" s="684" t="str">
        <f t="shared" si="56"/>
        <v/>
      </c>
      <c r="J493" s="685">
        <f t="shared" si="57"/>
        <v>0</v>
      </c>
      <c r="K493" s="1258"/>
      <c r="L493" s="1251"/>
      <c r="M493" s="1257"/>
      <c r="N493" s="719" t="str">
        <f t="shared" si="60"/>
        <v/>
      </c>
      <c r="O493" s="720" t="str">
        <f>IF('Set up ~ Config'!$G$32=6,IF(OR($N493=7,$N493=8,$N493=9),1,IF(OR($N493=10,$N493=11,$N493=12),2,IF(OR($N493=1,$N493=2,$N493=3),3,IF(OR($N493=4,$N493=5,$N493=6),4,"")))),IF(OR($N493=9,$N493=10,$N493=11),1,IF(OR($N493=12,$N493=1,$N493=2),2,IF(OR($N493=3,$N493=4,$N493=5),3,IF(OR($N493=6,$N493=7,$N493=8),4,"")))))</f>
        <v/>
      </c>
      <c r="P493" s="99"/>
      <c r="Q493" s="62"/>
      <c r="R493" s="62"/>
      <c r="S493" s="51"/>
      <c r="T493" s="51"/>
      <c r="U493" s="51"/>
      <c r="V493" s="51"/>
      <c r="W493" s="51"/>
      <c r="X493" s="51"/>
      <c r="Y493" s="51"/>
      <c r="Z493" s="51"/>
      <c r="AA493" s="51"/>
      <c r="AB493" s="51"/>
      <c r="AC493" s="51"/>
      <c r="AD493" s="51"/>
      <c r="AE493" s="51"/>
      <c r="AF493" s="51"/>
      <c r="AG493" s="51"/>
      <c r="AH493" s="94"/>
      <c r="AI493" s="94"/>
      <c r="AJ493" s="94"/>
      <c r="AK493" s="94"/>
      <c r="AL493" s="94"/>
      <c r="AM493" s="94"/>
      <c r="AN493" s="94"/>
      <c r="AO493" s="95"/>
      <c r="AP493" s="686">
        <f t="shared" si="61"/>
        <v>0</v>
      </c>
      <c r="AQ493" s="42"/>
      <c r="AR493" s="42"/>
      <c r="AS493" s="42"/>
      <c r="AT493" s="43"/>
      <c r="AU493" s="687">
        <f t="shared" si="62"/>
        <v>0</v>
      </c>
      <c r="AV493" s="42"/>
      <c r="AW493" s="42"/>
      <c r="AX493" s="42"/>
      <c r="AY493" s="43"/>
      <c r="AZ493" s="486"/>
      <c r="BA493" s="51"/>
      <c r="BB493" s="51"/>
      <c r="BC493" s="51"/>
      <c r="BD493" s="51"/>
      <c r="BE493" s="51"/>
      <c r="BF493" s="51"/>
      <c r="BG493" s="51"/>
      <c r="BH493" s="94"/>
      <c r="BI493" s="94"/>
      <c r="BJ493" s="94"/>
      <c r="BK493" s="94"/>
      <c r="BL493" s="94"/>
      <c r="BM493" s="483"/>
      <c r="BN493" s="94"/>
      <c r="BO493" s="94"/>
      <c r="BP493" s="94"/>
      <c r="BQ493" s="94"/>
      <c r="BR493" s="94"/>
      <c r="BS493" s="94"/>
      <c r="BT493" s="94"/>
      <c r="BU493" s="94"/>
      <c r="BV493" s="94"/>
      <c r="BW493" s="688">
        <f t="shared" si="58"/>
        <v>0</v>
      </c>
      <c r="BX493" s="51"/>
      <c r="BY493" s="51"/>
      <c r="BZ493" s="51"/>
      <c r="CA493" s="51"/>
      <c r="CB493" s="51"/>
      <c r="CC493" s="51"/>
      <c r="CD493" s="97"/>
      <c r="CE493" s="479"/>
      <c r="CF493" s="51"/>
      <c r="CG493" s="51"/>
      <c r="CH493" s="62"/>
      <c r="CI493" s="62"/>
      <c r="CJ493" s="51"/>
      <c r="CK493" s="51"/>
      <c r="CL493" s="95"/>
      <c r="CM493" s="93"/>
      <c r="CN493" s="51"/>
      <c r="CO493" s="51"/>
      <c r="CP493" s="51"/>
      <c r="CQ493" s="51"/>
      <c r="CR493" s="51"/>
      <c r="CS493" s="51"/>
      <c r="CT493" s="51"/>
      <c r="CU493" s="95"/>
      <c r="CV493" s="93"/>
      <c r="CW493" s="51"/>
      <c r="CX493" s="51"/>
      <c r="CY493" s="51"/>
      <c r="CZ493" s="51"/>
      <c r="DA493" s="51"/>
      <c r="DB493" s="51"/>
      <c r="DC493" s="51"/>
      <c r="DD493" s="95"/>
      <c r="DE493" s="93"/>
      <c r="DF493" s="51"/>
      <c r="DG493" s="51"/>
      <c r="DH493" s="51"/>
      <c r="DI493" s="51"/>
      <c r="DJ493" s="51"/>
      <c r="DK493" s="51"/>
      <c r="DL493" s="95"/>
      <c r="DM493" s="478"/>
      <c r="DN493" s="682">
        <f t="shared" si="63"/>
        <v>0</v>
      </c>
      <c r="DO493" s="683"/>
    </row>
    <row r="494" spans="1:119" ht="25.5" customHeight="1" thickTop="1" thickBot="1" x14ac:dyDescent="0.2">
      <c r="A494" s="676">
        <f t="shared" si="59"/>
        <v>479</v>
      </c>
      <c r="B494" s="1054"/>
      <c r="C494" s="1055"/>
      <c r="D494" s="83"/>
      <c r="E494" s="954"/>
      <c r="F494" s="52"/>
      <c r="G494" s="103"/>
      <c r="H494" s="1058"/>
      <c r="I494" s="684" t="str">
        <f t="shared" si="56"/>
        <v/>
      </c>
      <c r="J494" s="685">
        <f t="shared" si="57"/>
        <v>0</v>
      </c>
      <c r="K494" s="1258"/>
      <c r="L494" s="1251"/>
      <c r="M494" s="1257"/>
      <c r="N494" s="719" t="str">
        <f t="shared" si="60"/>
        <v/>
      </c>
      <c r="O494" s="720" t="str">
        <f>IF('Set up ~ Config'!$G$32=6,IF(OR($N494=7,$N494=8,$N494=9),1,IF(OR($N494=10,$N494=11,$N494=12),2,IF(OR($N494=1,$N494=2,$N494=3),3,IF(OR($N494=4,$N494=5,$N494=6),4,"")))),IF(OR($N494=9,$N494=10,$N494=11),1,IF(OR($N494=12,$N494=1,$N494=2),2,IF(OR($N494=3,$N494=4,$N494=5),3,IF(OR($N494=6,$N494=7,$N494=8),4,"")))))</f>
        <v/>
      </c>
      <c r="P494" s="99"/>
      <c r="Q494" s="62"/>
      <c r="R494" s="62"/>
      <c r="S494" s="51"/>
      <c r="T494" s="51"/>
      <c r="U494" s="51"/>
      <c r="V494" s="51"/>
      <c r="W494" s="51"/>
      <c r="X494" s="51"/>
      <c r="Y494" s="51"/>
      <c r="Z494" s="51"/>
      <c r="AA494" s="51"/>
      <c r="AB494" s="51"/>
      <c r="AC494" s="51"/>
      <c r="AD494" s="51"/>
      <c r="AE494" s="51"/>
      <c r="AF494" s="51"/>
      <c r="AG494" s="51"/>
      <c r="AH494" s="94"/>
      <c r="AI494" s="94"/>
      <c r="AJ494" s="94"/>
      <c r="AK494" s="94"/>
      <c r="AL494" s="94"/>
      <c r="AM494" s="94"/>
      <c r="AN494" s="94"/>
      <c r="AO494" s="95"/>
      <c r="AP494" s="686">
        <f t="shared" si="61"/>
        <v>0</v>
      </c>
      <c r="AQ494" s="42"/>
      <c r="AR494" s="42"/>
      <c r="AS494" s="42"/>
      <c r="AT494" s="43"/>
      <c r="AU494" s="687">
        <f t="shared" si="62"/>
        <v>0</v>
      </c>
      <c r="AV494" s="42"/>
      <c r="AW494" s="42"/>
      <c r="AX494" s="42"/>
      <c r="AY494" s="43"/>
      <c r="AZ494" s="486"/>
      <c r="BA494" s="51"/>
      <c r="BB494" s="51"/>
      <c r="BC494" s="51"/>
      <c r="BD494" s="51"/>
      <c r="BE494" s="51"/>
      <c r="BF494" s="51"/>
      <c r="BG494" s="51"/>
      <c r="BH494" s="94"/>
      <c r="BI494" s="94"/>
      <c r="BJ494" s="94"/>
      <c r="BK494" s="94"/>
      <c r="BL494" s="94"/>
      <c r="BM494" s="483"/>
      <c r="BN494" s="94"/>
      <c r="BO494" s="94"/>
      <c r="BP494" s="94"/>
      <c r="BQ494" s="94"/>
      <c r="BR494" s="94"/>
      <c r="BS494" s="94"/>
      <c r="BT494" s="94"/>
      <c r="BU494" s="94"/>
      <c r="BV494" s="94"/>
      <c r="BW494" s="688">
        <f t="shared" si="58"/>
        <v>0</v>
      </c>
      <c r="BX494" s="51"/>
      <c r="BY494" s="51"/>
      <c r="BZ494" s="51"/>
      <c r="CA494" s="51"/>
      <c r="CB494" s="51"/>
      <c r="CC494" s="51"/>
      <c r="CD494" s="97"/>
      <c r="CE494" s="479"/>
      <c r="CF494" s="51"/>
      <c r="CG494" s="51"/>
      <c r="CH494" s="62"/>
      <c r="CI494" s="62"/>
      <c r="CJ494" s="51"/>
      <c r="CK494" s="51"/>
      <c r="CL494" s="95"/>
      <c r="CM494" s="93"/>
      <c r="CN494" s="51"/>
      <c r="CO494" s="51"/>
      <c r="CP494" s="51"/>
      <c r="CQ494" s="51"/>
      <c r="CR494" s="51"/>
      <c r="CS494" s="51"/>
      <c r="CT494" s="51"/>
      <c r="CU494" s="95"/>
      <c r="CV494" s="93"/>
      <c r="CW494" s="51"/>
      <c r="CX494" s="51"/>
      <c r="CY494" s="51"/>
      <c r="CZ494" s="51"/>
      <c r="DA494" s="51"/>
      <c r="DB494" s="51"/>
      <c r="DC494" s="51"/>
      <c r="DD494" s="95"/>
      <c r="DE494" s="93"/>
      <c r="DF494" s="51"/>
      <c r="DG494" s="51"/>
      <c r="DH494" s="51"/>
      <c r="DI494" s="51"/>
      <c r="DJ494" s="51"/>
      <c r="DK494" s="51"/>
      <c r="DL494" s="95"/>
      <c r="DM494" s="478"/>
      <c r="DN494" s="682">
        <f t="shared" si="63"/>
        <v>0</v>
      </c>
      <c r="DO494" s="683"/>
    </row>
    <row r="495" spans="1:119" ht="25.5" customHeight="1" thickTop="1" thickBot="1" x14ac:dyDescent="0.2">
      <c r="A495" s="676">
        <f t="shared" si="59"/>
        <v>480</v>
      </c>
      <c r="B495" s="1054"/>
      <c r="C495" s="1055"/>
      <c r="D495" s="83"/>
      <c r="E495" s="954"/>
      <c r="F495" s="52"/>
      <c r="G495" s="103"/>
      <c r="H495" s="1058"/>
      <c r="I495" s="684" t="str">
        <f t="shared" si="56"/>
        <v/>
      </c>
      <c r="J495" s="685">
        <f t="shared" si="57"/>
        <v>0</v>
      </c>
      <c r="K495" s="1258"/>
      <c r="L495" s="1251"/>
      <c r="M495" s="1257"/>
      <c r="N495" s="719" t="str">
        <f t="shared" si="60"/>
        <v/>
      </c>
      <c r="O495" s="720" t="str">
        <f>IF('Set up ~ Config'!$G$32=6,IF(OR($N495=7,$N495=8,$N495=9),1,IF(OR($N495=10,$N495=11,$N495=12),2,IF(OR($N495=1,$N495=2,$N495=3),3,IF(OR($N495=4,$N495=5,$N495=6),4,"")))),IF(OR($N495=9,$N495=10,$N495=11),1,IF(OR($N495=12,$N495=1,$N495=2),2,IF(OR($N495=3,$N495=4,$N495=5),3,IF(OR($N495=6,$N495=7,$N495=8),4,"")))))</f>
        <v/>
      </c>
      <c r="P495" s="99"/>
      <c r="Q495" s="62"/>
      <c r="R495" s="62"/>
      <c r="S495" s="51"/>
      <c r="T495" s="51"/>
      <c r="U495" s="51"/>
      <c r="V495" s="51"/>
      <c r="W495" s="51"/>
      <c r="X495" s="51"/>
      <c r="Y495" s="51"/>
      <c r="Z495" s="51"/>
      <c r="AA495" s="51"/>
      <c r="AB495" s="51"/>
      <c r="AC495" s="51"/>
      <c r="AD495" s="51"/>
      <c r="AE495" s="51"/>
      <c r="AF495" s="51"/>
      <c r="AG495" s="51"/>
      <c r="AH495" s="94"/>
      <c r="AI495" s="94"/>
      <c r="AJ495" s="94"/>
      <c r="AK495" s="94"/>
      <c r="AL495" s="94"/>
      <c r="AM495" s="94"/>
      <c r="AN495" s="94"/>
      <c r="AO495" s="95"/>
      <c r="AP495" s="686">
        <f t="shared" si="61"/>
        <v>0</v>
      </c>
      <c r="AQ495" s="42"/>
      <c r="AR495" s="42"/>
      <c r="AS495" s="42"/>
      <c r="AT495" s="43"/>
      <c r="AU495" s="687">
        <f t="shared" si="62"/>
        <v>0</v>
      </c>
      <c r="AV495" s="42"/>
      <c r="AW495" s="42"/>
      <c r="AX495" s="42"/>
      <c r="AY495" s="43"/>
      <c r="AZ495" s="486"/>
      <c r="BA495" s="51"/>
      <c r="BB495" s="51"/>
      <c r="BC495" s="51"/>
      <c r="BD495" s="51"/>
      <c r="BE495" s="51"/>
      <c r="BF495" s="51"/>
      <c r="BG495" s="51"/>
      <c r="BH495" s="94"/>
      <c r="BI495" s="94"/>
      <c r="BJ495" s="94"/>
      <c r="BK495" s="94"/>
      <c r="BL495" s="94"/>
      <c r="BM495" s="483"/>
      <c r="BN495" s="94"/>
      <c r="BO495" s="94"/>
      <c r="BP495" s="94"/>
      <c r="BQ495" s="94"/>
      <c r="BR495" s="94"/>
      <c r="BS495" s="94"/>
      <c r="BT495" s="94"/>
      <c r="BU495" s="94"/>
      <c r="BV495" s="94"/>
      <c r="BW495" s="688">
        <f t="shared" si="58"/>
        <v>0</v>
      </c>
      <c r="BX495" s="51"/>
      <c r="BY495" s="51"/>
      <c r="BZ495" s="51"/>
      <c r="CA495" s="51"/>
      <c r="CB495" s="51"/>
      <c r="CC495" s="51"/>
      <c r="CD495" s="97"/>
      <c r="CE495" s="479"/>
      <c r="CF495" s="51"/>
      <c r="CG495" s="51"/>
      <c r="CH495" s="62"/>
      <c r="CI495" s="62"/>
      <c r="CJ495" s="51"/>
      <c r="CK495" s="51"/>
      <c r="CL495" s="95"/>
      <c r="CM495" s="93"/>
      <c r="CN495" s="51"/>
      <c r="CO495" s="51"/>
      <c r="CP495" s="51"/>
      <c r="CQ495" s="51"/>
      <c r="CR495" s="51"/>
      <c r="CS495" s="51"/>
      <c r="CT495" s="51"/>
      <c r="CU495" s="95"/>
      <c r="CV495" s="93"/>
      <c r="CW495" s="51"/>
      <c r="CX495" s="51"/>
      <c r="CY495" s="51"/>
      <c r="CZ495" s="51"/>
      <c r="DA495" s="51"/>
      <c r="DB495" s="51"/>
      <c r="DC495" s="51"/>
      <c r="DD495" s="95"/>
      <c r="DE495" s="93"/>
      <c r="DF495" s="51"/>
      <c r="DG495" s="51"/>
      <c r="DH495" s="51"/>
      <c r="DI495" s="51"/>
      <c r="DJ495" s="51"/>
      <c r="DK495" s="51"/>
      <c r="DL495" s="95"/>
      <c r="DM495" s="478"/>
      <c r="DN495" s="682">
        <f t="shared" si="63"/>
        <v>0</v>
      </c>
      <c r="DO495" s="683"/>
    </row>
    <row r="496" spans="1:119" ht="25.5" customHeight="1" thickTop="1" thickBot="1" x14ac:dyDescent="0.2">
      <c r="A496" s="676">
        <f t="shared" si="59"/>
        <v>481</v>
      </c>
      <c r="B496" s="1054"/>
      <c r="C496" s="1055"/>
      <c r="D496" s="83"/>
      <c r="E496" s="954"/>
      <c r="F496" s="52"/>
      <c r="G496" s="103"/>
      <c r="H496" s="1058"/>
      <c r="I496" s="684" t="str">
        <f t="shared" si="56"/>
        <v/>
      </c>
      <c r="J496" s="685">
        <f t="shared" si="57"/>
        <v>0</v>
      </c>
      <c r="K496" s="1258"/>
      <c r="L496" s="1251"/>
      <c r="M496" s="1257"/>
      <c r="N496" s="719" t="str">
        <f t="shared" si="60"/>
        <v/>
      </c>
      <c r="O496" s="720" t="str">
        <f>IF('Set up ~ Config'!$G$32=6,IF(OR($N496=7,$N496=8,$N496=9),1,IF(OR($N496=10,$N496=11,$N496=12),2,IF(OR($N496=1,$N496=2,$N496=3),3,IF(OR($N496=4,$N496=5,$N496=6),4,"")))),IF(OR($N496=9,$N496=10,$N496=11),1,IF(OR($N496=12,$N496=1,$N496=2),2,IF(OR($N496=3,$N496=4,$N496=5),3,IF(OR($N496=6,$N496=7,$N496=8),4,"")))))</f>
        <v/>
      </c>
      <c r="P496" s="99"/>
      <c r="Q496" s="62"/>
      <c r="R496" s="62"/>
      <c r="S496" s="51"/>
      <c r="T496" s="51"/>
      <c r="U496" s="51"/>
      <c r="V496" s="51"/>
      <c r="W496" s="51"/>
      <c r="X496" s="51"/>
      <c r="Y496" s="51"/>
      <c r="Z496" s="51"/>
      <c r="AA496" s="51"/>
      <c r="AB496" s="51"/>
      <c r="AC496" s="51"/>
      <c r="AD496" s="51"/>
      <c r="AE496" s="51"/>
      <c r="AF496" s="51"/>
      <c r="AG496" s="51"/>
      <c r="AH496" s="94"/>
      <c r="AI496" s="94"/>
      <c r="AJ496" s="94"/>
      <c r="AK496" s="94"/>
      <c r="AL496" s="94"/>
      <c r="AM496" s="94"/>
      <c r="AN496" s="94"/>
      <c r="AO496" s="95"/>
      <c r="AP496" s="686">
        <f t="shared" si="61"/>
        <v>0</v>
      </c>
      <c r="AQ496" s="42"/>
      <c r="AR496" s="42"/>
      <c r="AS496" s="42"/>
      <c r="AT496" s="43"/>
      <c r="AU496" s="687">
        <f t="shared" si="62"/>
        <v>0</v>
      </c>
      <c r="AV496" s="42"/>
      <c r="AW496" s="42"/>
      <c r="AX496" s="42"/>
      <c r="AY496" s="43"/>
      <c r="AZ496" s="486"/>
      <c r="BA496" s="51"/>
      <c r="BB496" s="51"/>
      <c r="BC496" s="51"/>
      <c r="BD496" s="51"/>
      <c r="BE496" s="51"/>
      <c r="BF496" s="51"/>
      <c r="BG496" s="51"/>
      <c r="BH496" s="94"/>
      <c r="BI496" s="94"/>
      <c r="BJ496" s="94"/>
      <c r="BK496" s="94"/>
      <c r="BL496" s="94"/>
      <c r="BM496" s="483"/>
      <c r="BN496" s="94"/>
      <c r="BO496" s="94"/>
      <c r="BP496" s="94"/>
      <c r="BQ496" s="94"/>
      <c r="BR496" s="94"/>
      <c r="BS496" s="94"/>
      <c r="BT496" s="94"/>
      <c r="BU496" s="94"/>
      <c r="BV496" s="94"/>
      <c r="BW496" s="688">
        <f t="shared" si="58"/>
        <v>0</v>
      </c>
      <c r="BX496" s="51"/>
      <c r="BY496" s="51"/>
      <c r="BZ496" s="51"/>
      <c r="CA496" s="51"/>
      <c r="CB496" s="51"/>
      <c r="CC496" s="51"/>
      <c r="CD496" s="97"/>
      <c r="CE496" s="479"/>
      <c r="CF496" s="51"/>
      <c r="CG496" s="51"/>
      <c r="CH496" s="62"/>
      <c r="CI496" s="62"/>
      <c r="CJ496" s="51"/>
      <c r="CK496" s="51"/>
      <c r="CL496" s="95"/>
      <c r="CM496" s="93"/>
      <c r="CN496" s="51"/>
      <c r="CO496" s="51"/>
      <c r="CP496" s="51"/>
      <c r="CQ496" s="51"/>
      <c r="CR496" s="51"/>
      <c r="CS496" s="51"/>
      <c r="CT496" s="51"/>
      <c r="CU496" s="95"/>
      <c r="CV496" s="93"/>
      <c r="CW496" s="51"/>
      <c r="CX496" s="51"/>
      <c r="CY496" s="51"/>
      <c r="CZ496" s="51"/>
      <c r="DA496" s="51"/>
      <c r="DB496" s="51"/>
      <c r="DC496" s="51"/>
      <c r="DD496" s="95"/>
      <c r="DE496" s="93"/>
      <c r="DF496" s="51"/>
      <c r="DG496" s="51"/>
      <c r="DH496" s="51"/>
      <c r="DI496" s="51"/>
      <c r="DJ496" s="51"/>
      <c r="DK496" s="51"/>
      <c r="DL496" s="95"/>
      <c r="DM496" s="478"/>
      <c r="DN496" s="682">
        <f t="shared" si="63"/>
        <v>0</v>
      </c>
      <c r="DO496" s="683"/>
    </row>
    <row r="497" spans="1:119" ht="25.5" customHeight="1" thickTop="1" thickBot="1" x14ac:dyDescent="0.2">
      <c r="A497" s="676">
        <f t="shared" si="59"/>
        <v>482</v>
      </c>
      <c r="B497" s="1054"/>
      <c r="C497" s="1055"/>
      <c r="D497" s="83"/>
      <c r="E497" s="954"/>
      <c r="F497" s="52"/>
      <c r="G497" s="103"/>
      <c r="H497" s="1058"/>
      <c r="I497" s="684" t="str">
        <f t="shared" si="56"/>
        <v/>
      </c>
      <c r="J497" s="685">
        <f t="shared" si="57"/>
        <v>0</v>
      </c>
      <c r="K497" s="1258"/>
      <c r="L497" s="1251"/>
      <c r="M497" s="1257"/>
      <c r="N497" s="719" t="str">
        <f t="shared" si="60"/>
        <v/>
      </c>
      <c r="O497" s="720" t="str">
        <f>IF('Set up ~ Config'!$G$32=6,IF(OR($N497=7,$N497=8,$N497=9),1,IF(OR($N497=10,$N497=11,$N497=12),2,IF(OR($N497=1,$N497=2,$N497=3),3,IF(OR($N497=4,$N497=5,$N497=6),4,"")))),IF(OR($N497=9,$N497=10,$N497=11),1,IF(OR($N497=12,$N497=1,$N497=2),2,IF(OR($N497=3,$N497=4,$N497=5),3,IF(OR($N497=6,$N497=7,$N497=8),4,"")))))</f>
        <v/>
      </c>
      <c r="P497" s="99"/>
      <c r="Q497" s="62"/>
      <c r="R497" s="62"/>
      <c r="S497" s="51"/>
      <c r="T497" s="51"/>
      <c r="U497" s="51"/>
      <c r="V497" s="51"/>
      <c r="W497" s="51"/>
      <c r="X497" s="51"/>
      <c r="Y497" s="51"/>
      <c r="Z497" s="51"/>
      <c r="AA497" s="51"/>
      <c r="AB497" s="51"/>
      <c r="AC497" s="51"/>
      <c r="AD497" s="51"/>
      <c r="AE497" s="51"/>
      <c r="AF497" s="51"/>
      <c r="AG497" s="51"/>
      <c r="AH497" s="94"/>
      <c r="AI497" s="94"/>
      <c r="AJ497" s="94"/>
      <c r="AK497" s="94"/>
      <c r="AL497" s="94"/>
      <c r="AM497" s="94"/>
      <c r="AN497" s="94"/>
      <c r="AO497" s="95"/>
      <c r="AP497" s="686">
        <f t="shared" si="61"/>
        <v>0</v>
      </c>
      <c r="AQ497" s="42"/>
      <c r="AR497" s="42"/>
      <c r="AS497" s="42"/>
      <c r="AT497" s="43"/>
      <c r="AU497" s="687">
        <f t="shared" si="62"/>
        <v>0</v>
      </c>
      <c r="AV497" s="42"/>
      <c r="AW497" s="42"/>
      <c r="AX497" s="42"/>
      <c r="AY497" s="43"/>
      <c r="AZ497" s="486"/>
      <c r="BA497" s="51"/>
      <c r="BB497" s="51"/>
      <c r="BC497" s="51"/>
      <c r="BD497" s="51"/>
      <c r="BE497" s="51"/>
      <c r="BF497" s="51"/>
      <c r="BG497" s="51"/>
      <c r="BH497" s="94"/>
      <c r="BI497" s="94"/>
      <c r="BJ497" s="94"/>
      <c r="BK497" s="94"/>
      <c r="BL497" s="94"/>
      <c r="BM497" s="483"/>
      <c r="BN497" s="94"/>
      <c r="BO497" s="94"/>
      <c r="BP497" s="94"/>
      <c r="BQ497" s="94"/>
      <c r="BR497" s="94"/>
      <c r="BS497" s="94"/>
      <c r="BT497" s="94"/>
      <c r="BU497" s="94"/>
      <c r="BV497" s="94"/>
      <c r="BW497" s="688">
        <f t="shared" si="58"/>
        <v>0</v>
      </c>
      <c r="BX497" s="51"/>
      <c r="BY497" s="51"/>
      <c r="BZ497" s="51"/>
      <c r="CA497" s="51"/>
      <c r="CB497" s="51"/>
      <c r="CC497" s="51"/>
      <c r="CD497" s="97"/>
      <c r="CE497" s="479"/>
      <c r="CF497" s="51"/>
      <c r="CG497" s="51"/>
      <c r="CH497" s="62"/>
      <c r="CI497" s="62"/>
      <c r="CJ497" s="51"/>
      <c r="CK497" s="51"/>
      <c r="CL497" s="95"/>
      <c r="CM497" s="93"/>
      <c r="CN497" s="51"/>
      <c r="CO497" s="51"/>
      <c r="CP497" s="51"/>
      <c r="CQ497" s="51"/>
      <c r="CR497" s="51"/>
      <c r="CS497" s="51"/>
      <c r="CT497" s="51"/>
      <c r="CU497" s="95"/>
      <c r="CV497" s="93"/>
      <c r="CW497" s="51"/>
      <c r="CX497" s="51"/>
      <c r="CY497" s="51"/>
      <c r="CZ497" s="51"/>
      <c r="DA497" s="51"/>
      <c r="DB497" s="51"/>
      <c r="DC497" s="51"/>
      <c r="DD497" s="95"/>
      <c r="DE497" s="93"/>
      <c r="DF497" s="51"/>
      <c r="DG497" s="51"/>
      <c r="DH497" s="51"/>
      <c r="DI497" s="51"/>
      <c r="DJ497" s="51"/>
      <c r="DK497" s="51"/>
      <c r="DL497" s="95"/>
      <c r="DM497" s="478"/>
      <c r="DN497" s="682">
        <f t="shared" si="63"/>
        <v>0</v>
      </c>
      <c r="DO497" s="683"/>
    </row>
    <row r="498" spans="1:119" ht="25.5" customHeight="1" thickTop="1" thickBot="1" x14ac:dyDescent="0.2">
      <c r="A498" s="676">
        <f t="shared" si="59"/>
        <v>483</v>
      </c>
      <c r="B498" s="1054"/>
      <c r="C498" s="1055"/>
      <c r="D498" s="83"/>
      <c r="E498" s="954"/>
      <c r="F498" s="52"/>
      <c r="G498" s="103"/>
      <c r="H498" s="1058"/>
      <c r="I498" s="684" t="str">
        <f t="shared" si="56"/>
        <v/>
      </c>
      <c r="J498" s="685">
        <f t="shared" si="57"/>
        <v>0</v>
      </c>
      <c r="K498" s="1258"/>
      <c r="L498" s="1251"/>
      <c r="M498" s="1257"/>
      <c r="N498" s="719" t="str">
        <f t="shared" si="60"/>
        <v/>
      </c>
      <c r="O498" s="720" t="str">
        <f>IF('Set up ~ Config'!$G$32=6,IF(OR($N498=7,$N498=8,$N498=9),1,IF(OR($N498=10,$N498=11,$N498=12),2,IF(OR($N498=1,$N498=2,$N498=3),3,IF(OR($N498=4,$N498=5,$N498=6),4,"")))),IF(OR($N498=9,$N498=10,$N498=11),1,IF(OR($N498=12,$N498=1,$N498=2),2,IF(OR($N498=3,$N498=4,$N498=5),3,IF(OR($N498=6,$N498=7,$N498=8),4,"")))))</f>
        <v/>
      </c>
      <c r="P498" s="99"/>
      <c r="Q498" s="62"/>
      <c r="R498" s="62"/>
      <c r="S498" s="51"/>
      <c r="T498" s="51"/>
      <c r="U498" s="51"/>
      <c r="V498" s="51"/>
      <c r="W498" s="51"/>
      <c r="X498" s="51"/>
      <c r="Y498" s="51"/>
      <c r="Z498" s="51"/>
      <c r="AA498" s="51"/>
      <c r="AB498" s="51"/>
      <c r="AC498" s="51"/>
      <c r="AD498" s="51"/>
      <c r="AE498" s="51"/>
      <c r="AF498" s="51"/>
      <c r="AG498" s="51"/>
      <c r="AH498" s="94"/>
      <c r="AI498" s="94"/>
      <c r="AJ498" s="94"/>
      <c r="AK498" s="94"/>
      <c r="AL498" s="94"/>
      <c r="AM498" s="94"/>
      <c r="AN498" s="94"/>
      <c r="AO498" s="95"/>
      <c r="AP498" s="686">
        <f t="shared" si="61"/>
        <v>0</v>
      </c>
      <c r="AQ498" s="42"/>
      <c r="AR498" s="42"/>
      <c r="AS498" s="42"/>
      <c r="AT498" s="43"/>
      <c r="AU498" s="687">
        <f t="shared" si="62"/>
        <v>0</v>
      </c>
      <c r="AV498" s="42"/>
      <c r="AW498" s="42"/>
      <c r="AX498" s="42"/>
      <c r="AY498" s="43"/>
      <c r="AZ498" s="486"/>
      <c r="BA498" s="51"/>
      <c r="BB498" s="51"/>
      <c r="BC498" s="51"/>
      <c r="BD498" s="51"/>
      <c r="BE498" s="51"/>
      <c r="BF498" s="51"/>
      <c r="BG498" s="51"/>
      <c r="BH498" s="94"/>
      <c r="BI498" s="94"/>
      <c r="BJ498" s="94"/>
      <c r="BK498" s="94"/>
      <c r="BL498" s="94"/>
      <c r="BM498" s="483"/>
      <c r="BN498" s="94"/>
      <c r="BO498" s="94"/>
      <c r="BP498" s="94"/>
      <c r="BQ498" s="94"/>
      <c r="BR498" s="94"/>
      <c r="BS498" s="94"/>
      <c r="BT498" s="94"/>
      <c r="BU498" s="94"/>
      <c r="BV498" s="94"/>
      <c r="BW498" s="688">
        <f t="shared" si="58"/>
        <v>0</v>
      </c>
      <c r="BX498" s="51"/>
      <c r="BY498" s="51"/>
      <c r="BZ498" s="51"/>
      <c r="CA498" s="51"/>
      <c r="CB498" s="51"/>
      <c r="CC498" s="51"/>
      <c r="CD498" s="97"/>
      <c r="CE498" s="479"/>
      <c r="CF498" s="51"/>
      <c r="CG498" s="51"/>
      <c r="CH498" s="62"/>
      <c r="CI498" s="62"/>
      <c r="CJ498" s="51"/>
      <c r="CK498" s="51"/>
      <c r="CL498" s="95"/>
      <c r="CM498" s="93"/>
      <c r="CN498" s="51"/>
      <c r="CO498" s="51"/>
      <c r="CP498" s="51"/>
      <c r="CQ498" s="51"/>
      <c r="CR498" s="51"/>
      <c r="CS498" s="51"/>
      <c r="CT498" s="51"/>
      <c r="CU498" s="95"/>
      <c r="CV498" s="93"/>
      <c r="CW498" s="51"/>
      <c r="CX498" s="51"/>
      <c r="CY498" s="51"/>
      <c r="CZ498" s="51"/>
      <c r="DA498" s="51"/>
      <c r="DB498" s="51"/>
      <c r="DC498" s="51"/>
      <c r="DD498" s="95"/>
      <c r="DE498" s="93"/>
      <c r="DF498" s="51"/>
      <c r="DG498" s="51"/>
      <c r="DH498" s="51"/>
      <c r="DI498" s="51"/>
      <c r="DJ498" s="51"/>
      <c r="DK498" s="51"/>
      <c r="DL498" s="95"/>
      <c r="DM498" s="478"/>
      <c r="DN498" s="682">
        <f t="shared" si="63"/>
        <v>0</v>
      </c>
      <c r="DO498" s="683"/>
    </row>
    <row r="499" spans="1:119" ht="25.5" customHeight="1" thickTop="1" thickBot="1" x14ac:dyDescent="0.2">
      <c r="A499" s="676">
        <f t="shared" si="59"/>
        <v>484</v>
      </c>
      <c r="B499" s="1054"/>
      <c r="C499" s="1055"/>
      <c r="D499" s="83"/>
      <c r="E499" s="954"/>
      <c r="F499" s="52"/>
      <c r="G499" s="103"/>
      <c r="H499" s="1058"/>
      <c r="I499" s="684" t="str">
        <f t="shared" si="56"/>
        <v/>
      </c>
      <c r="J499" s="685">
        <f t="shared" si="57"/>
        <v>0</v>
      </c>
      <c r="K499" s="1258"/>
      <c r="L499" s="1251"/>
      <c r="M499" s="1257"/>
      <c r="N499" s="719" t="str">
        <f t="shared" si="60"/>
        <v/>
      </c>
      <c r="O499" s="720" t="str">
        <f>IF('Set up ~ Config'!$G$32=6,IF(OR($N499=7,$N499=8,$N499=9),1,IF(OR($N499=10,$N499=11,$N499=12),2,IF(OR($N499=1,$N499=2,$N499=3),3,IF(OR($N499=4,$N499=5,$N499=6),4,"")))),IF(OR($N499=9,$N499=10,$N499=11),1,IF(OR($N499=12,$N499=1,$N499=2),2,IF(OR($N499=3,$N499=4,$N499=5),3,IF(OR($N499=6,$N499=7,$N499=8),4,"")))))</f>
        <v/>
      </c>
      <c r="P499" s="99"/>
      <c r="Q499" s="62"/>
      <c r="R499" s="62"/>
      <c r="S499" s="51"/>
      <c r="T499" s="51"/>
      <c r="U499" s="51"/>
      <c r="V499" s="51"/>
      <c r="W499" s="51"/>
      <c r="X499" s="51"/>
      <c r="Y499" s="51"/>
      <c r="Z499" s="51"/>
      <c r="AA499" s="51"/>
      <c r="AB499" s="51"/>
      <c r="AC499" s="51"/>
      <c r="AD499" s="51"/>
      <c r="AE499" s="51"/>
      <c r="AF499" s="51"/>
      <c r="AG499" s="51"/>
      <c r="AH499" s="94"/>
      <c r="AI499" s="94"/>
      <c r="AJ499" s="94"/>
      <c r="AK499" s="94"/>
      <c r="AL499" s="94"/>
      <c r="AM499" s="94"/>
      <c r="AN499" s="94"/>
      <c r="AO499" s="95"/>
      <c r="AP499" s="686">
        <f t="shared" si="61"/>
        <v>0</v>
      </c>
      <c r="AQ499" s="42"/>
      <c r="AR499" s="42"/>
      <c r="AS499" s="42"/>
      <c r="AT499" s="43"/>
      <c r="AU499" s="687">
        <f t="shared" si="62"/>
        <v>0</v>
      </c>
      <c r="AV499" s="42"/>
      <c r="AW499" s="42"/>
      <c r="AX499" s="42"/>
      <c r="AY499" s="43"/>
      <c r="AZ499" s="486"/>
      <c r="BA499" s="51"/>
      <c r="BB499" s="51"/>
      <c r="BC499" s="51"/>
      <c r="BD499" s="51"/>
      <c r="BE499" s="51"/>
      <c r="BF499" s="51"/>
      <c r="BG499" s="51"/>
      <c r="BH499" s="94"/>
      <c r="BI499" s="94"/>
      <c r="BJ499" s="94"/>
      <c r="BK499" s="94"/>
      <c r="BL499" s="94"/>
      <c r="BM499" s="483"/>
      <c r="BN499" s="94"/>
      <c r="BO499" s="94"/>
      <c r="BP499" s="94"/>
      <c r="BQ499" s="94"/>
      <c r="BR499" s="94"/>
      <c r="BS499" s="94"/>
      <c r="BT499" s="94"/>
      <c r="BU499" s="94"/>
      <c r="BV499" s="94"/>
      <c r="BW499" s="688">
        <f t="shared" si="58"/>
        <v>0</v>
      </c>
      <c r="BX499" s="51"/>
      <c r="BY499" s="51"/>
      <c r="BZ499" s="51"/>
      <c r="CA499" s="51"/>
      <c r="CB499" s="51"/>
      <c r="CC499" s="51"/>
      <c r="CD499" s="97"/>
      <c r="CE499" s="479"/>
      <c r="CF499" s="51"/>
      <c r="CG499" s="51"/>
      <c r="CH499" s="62"/>
      <c r="CI499" s="62"/>
      <c r="CJ499" s="51"/>
      <c r="CK499" s="51"/>
      <c r="CL499" s="95"/>
      <c r="CM499" s="93"/>
      <c r="CN499" s="51"/>
      <c r="CO499" s="51"/>
      <c r="CP499" s="51"/>
      <c r="CQ499" s="51"/>
      <c r="CR499" s="51"/>
      <c r="CS499" s="51"/>
      <c r="CT499" s="51"/>
      <c r="CU499" s="95"/>
      <c r="CV499" s="93"/>
      <c r="CW499" s="51"/>
      <c r="CX499" s="51"/>
      <c r="CY499" s="51"/>
      <c r="CZ499" s="51"/>
      <c r="DA499" s="51"/>
      <c r="DB499" s="51"/>
      <c r="DC499" s="51"/>
      <c r="DD499" s="95"/>
      <c r="DE499" s="93"/>
      <c r="DF499" s="51"/>
      <c r="DG499" s="51"/>
      <c r="DH499" s="51"/>
      <c r="DI499" s="51"/>
      <c r="DJ499" s="51"/>
      <c r="DK499" s="51"/>
      <c r="DL499" s="95"/>
      <c r="DM499" s="478"/>
      <c r="DN499" s="682">
        <f t="shared" si="63"/>
        <v>0</v>
      </c>
      <c r="DO499" s="683"/>
    </row>
    <row r="500" spans="1:119" ht="25.5" customHeight="1" thickTop="1" thickBot="1" x14ac:dyDescent="0.2">
      <c r="A500" s="676">
        <f t="shared" si="59"/>
        <v>485</v>
      </c>
      <c r="B500" s="1054"/>
      <c r="C500" s="1055"/>
      <c r="D500" s="83"/>
      <c r="E500" s="954"/>
      <c r="F500" s="52"/>
      <c r="G500" s="103"/>
      <c r="H500" s="1058"/>
      <c r="I500" s="684" t="str">
        <f t="shared" si="56"/>
        <v/>
      </c>
      <c r="J500" s="685">
        <f t="shared" si="57"/>
        <v>0</v>
      </c>
      <c r="K500" s="1258"/>
      <c r="L500" s="1251"/>
      <c r="M500" s="1257"/>
      <c r="N500" s="719" t="str">
        <f t="shared" si="60"/>
        <v/>
      </c>
      <c r="O500" s="720" t="str">
        <f>IF('Set up ~ Config'!$G$32=6,IF(OR($N500=7,$N500=8,$N500=9),1,IF(OR($N500=10,$N500=11,$N500=12),2,IF(OR($N500=1,$N500=2,$N500=3),3,IF(OR($N500=4,$N500=5,$N500=6),4,"")))),IF(OR($N500=9,$N500=10,$N500=11),1,IF(OR($N500=12,$N500=1,$N500=2),2,IF(OR($N500=3,$N500=4,$N500=5),3,IF(OR($N500=6,$N500=7,$N500=8),4,"")))))</f>
        <v/>
      </c>
      <c r="P500" s="99"/>
      <c r="Q500" s="62"/>
      <c r="R500" s="62"/>
      <c r="S500" s="51"/>
      <c r="T500" s="51"/>
      <c r="U500" s="51"/>
      <c r="V500" s="51"/>
      <c r="W500" s="51"/>
      <c r="X500" s="51"/>
      <c r="Y500" s="51"/>
      <c r="Z500" s="51"/>
      <c r="AA500" s="51"/>
      <c r="AB500" s="51"/>
      <c r="AC500" s="51"/>
      <c r="AD500" s="51"/>
      <c r="AE500" s="51"/>
      <c r="AF500" s="51"/>
      <c r="AG500" s="51"/>
      <c r="AH500" s="94"/>
      <c r="AI500" s="94"/>
      <c r="AJ500" s="94"/>
      <c r="AK500" s="94"/>
      <c r="AL500" s="94"/>
      <c r="AM500" s="94"/>
      <c r="AN500" s="94"/>
      <c r="AO500" s="95"/>
      <c r="AP500" s="686">
        <f t="shared" si="61"/>
        <v>0</v>
      </c>
      <c r="AQ500" s="42"/>
      <c r="AR500" s="42"/>
      <c r="AS500" s="42"/>
      <c r="AT500" s="43"/>
      <c r="AU500" s="687">
        <f t="shared" si="62"/>
        <v>0</v>
      </c>
      <c r="AV500" s="42"/>
      <c r="AW500" s="42"/>
      <c r="AX500" s="42"/>
      <c r="AY500" s="43"/>
      <c r="AZ500" s="486"/>
      <c r="BA500" s="51"/>
      <c r="BB500" s="51"/>
      <c r="BC500" s="51"/>
      <c r="BD500" s="51"/>
      <c r="BE500" s="51"/>
      <c r="BF500" s="51"/>
      <c r="BG500" s="51"/>
      <c r="BH500" s="94"/>
      <c r="BI500" s="94"/>
      <c r="BJ500" s="94"/>
      <c r="BK500" s="94"/>
      <c r="BL500" s="94"/>
      <c r="BM500" s="483"/>
      <c r="BN500" s="94"/>
      <c r="BO500" s="94"/>
      <c r="BP500" s="94"/>
      <c r="BQ500" s="94"/>
      <c r="BR500" s="94"/>
      <c r="BS500" s="94"/>
      <c r="BT500" s="94"/>
      <c r="BU500" s="94"/>
      <c r="BV500" s="94"/>
      <c r="BW500" s="688">
        <f t="shared" si="58"/>
        <v>0</v>
      </c>
      <c r="BX500" s="51"/>
      <c r="BY500" s="51"/>
      <c r="BZ500" s="51"/>
      <c r="CA500" s="51"/>
      <c r="CB500" s="51"/>
      <c r="CC500" s="51"/>
      <c r="CD500" s="97"/>
      <c r="CE500" s="479"/>
      <c r="CF500" s="51"/>
      <c r="CG500" s="51"/>
      <c r="CH500" s="62"/>
      <c r="CI500" s="62"/>
      <c r="CJ500" s="51"/>
      <c r="CK500" s="51"/>
      <c r="CL500" s="95"/>
      <c r="CM500" s="93"/>
      <c r="CN500" s="51"/>
      <c r="CO500" s="51"/>
      <c r="CP500" s="51"/>
      <c r="CQ500" s="51"/>
      <c r="CR500" s="51"/>
      <c r="CS500" s="51"/>
      <c r="CT500" s="51"/>
      <c r="CU500" s="95"/>
      <c r="CV500" s="93"/>
      <c r="CW500" s="51"/>
      <c r="CX500" s="51"/>
      <c r="CY500" s="51"/>
      <c r="CZ500" s="51"/>
      <c r="DA500" s="51"/>
      <c r="DB500" s="51"/>
      <c r="DC500" s="51"/>
      <c r="DD500" s="95"/>
      <c r="DE500" s="93"/>
      <c r="DF500" s="51"/>
      <c r="DG500" s="51"/>
      <c r="DH500" s="51"/>
      <c r="DI500" s="51"/>
      <c r="DJ500" s="51"/>
      <c r="DK500" s="51"/>
      <c r="DL500" s="95"/>
      <c r="DM500" s="478"/>
      <c r="DN500" s="682">
        <f t="shared" si="63"/>
        <v>0</v>
      </c>
      <c r="DO500" s="683"/>
    </row>
    <row r="501" spans="1:119" ht="25.5" customHeight="1" thickTop="1" thickBot="1" x14ac:dyDescent="0.2">
      <c r="A501" s="676">
        <f t="shared" si="59"/>
        <v>486</v>
      </c>
      <c r="B501" s="1054"/>
      <c r="C501" s="1055"/>
      <c r="D501" s="83"/>
      <c r="E501" s="954"/>
      <c r="F501" s="52"/>
      <c r="G501" s="103"/>
      <c r="H501" s="1058"/>
      <c r="I501" s="684" t="str">
        <f t="shared" si="56"/>
        <v/>
      </c>
      <c r="J501" s="685">
        <f t="shared" si="57"/>
        <v>0</v>
      </c>
      <c r="K501" s="1258"/>
      <c r="L501" s="1251"/>
      <c r="M501" s="1257"/>
      <c r="N501" s="719" t="str">
        <f t="shared" si="60"/>
        <v/>
      </c>
      <c r="O501" s="720" t="str">
        <f>IF('Set up ~ Config'!$G$32=6,IF(OR($N501=7,$N501=8,$N501=9),1,IF(OR($N501=10,$N501=11,$N501=12),2,IF(OR($N501=1,$N501=2,$N501=3),3,IF(OR($N501=4,$N501=5,$N501=6),4,"")))),IF(OR($N501=9,$N501=10,$N501=11),1,IF(OR($N501=12,$N501=1,$N501=2),2,IF(OR($N501=3,$N501=4,$N501=5),3,IF(OR($N501=6,$N501=7,$N501=8),4,"")))))</f>
        <v/>
      </c>
      <c r="P501" s="99"/>
      <c r="Q501" s="62"/>
      <c r="R501" s="62"/>
      <c r="S501" s="51"/>
      <c r="T501" s="51"/>
      <c r="U501" s="51"/>
      <c r="V501" s="51"/>
      <c r="W501" s="51"/>
      <c r="X501" s="51"/>
      <c r="Y501" s="51"/>
      <c r="Z501" s="51"/>
      <c r="AA501" s="51"/>
      <c r="AB501" s="51"/>
      <c r="AC501" s="51"/>
      <c r="AD501" s="51"/>
      <c r="AE501" s="51"/>
      <c r="AF501" s="51"/>
      <c r="AG501" s="51"/>
      <c r="AH501" s="94"/>
      <c r="AI501" s="94"/>
      <c r="AJ501" s="94"/>
      <c r="AK501" s="94"/>
      <c r="AL501" s="94"/>
      <c r="AM501" s="94"/>
      <c r="AN501" s="94"/>
      <c r="AO501" s="95"/>
      <c r="AP501" s="686">
        <f t="shared" si="61"/>
        <v>0</v>
      </c>
      <c r="AQ501" s="42"/>
      <c r="AR501" s="42"/>
      <c r="AS501" s="42"/>
      <c r="AT501" s="43"/>
      <c r="AU501" s="687">
        <f t="shared" si="62"/>
        <v>0</v>
      </c>
      <c r="AV501" s="42"/>
      <c r="AW501" s="42"/>
      <c r="AX501" s="42"/>
      <c r="AY501" s="43"/>
      <c r="AZ501" s="486"/>
      <c r="BA501" s="51"/>
      <c r="BB501" s="51"/>
      <c r="BC501" s="51"/>
      <c r="BD501" s="51"/>
      <c r="BE501" s="51"/>
      <c r="BF501" s="51"/>
      <c r="BG501" s="51"/>
      <c r="BH501" s="94"/>
      <c r="BI501" s="94"/>
      <c r="BJ501" s="94"/>
      <c r="BK501" s="94"/>
      <c r="BL501" s="94"/>
      <c r="BM501" s="483"/>
      <c r="BN501" s="94"/>
      <c r="BO501" s="94"/>
      <c r="BP501" s="94"/>
      <c r="BQ501" s="94"/>
      <c r="BR501" s="94"/>
      <c r="BS501" s="94"/>
      <c r="BT501" s="94"/>
      <c r="BU501" s="94"/>
      <c r="BV501" s="94"/>
      <c r="BW501" s="688">
        <f t="shared" si="58"/>
        <v>0</v>
      </c>
      <c r="BX501" s="51"/>
      <c r="BY501" s="51"/>
      <c r="BZ501" s="51"/>
      <c r="CA501" s="51"/>
      <c r="CB501" s="51"/>
      <c r="CC501" s="51"/>
      <c r="CD501" s="97"/>
      <c r="CE501" s="479"/>
      <c r="CF501" s="51"/>
      <c r="CG501" s="51"/>
      <c r="CH501" s="62"/>
      <c r="CI501" s="62"/>
      <c r="CJ501" s="51"/>
      <c r="CK501" s="51"/>
      <c r="CL501" s="95"/>
      <c r="CM501" s="93"/>
      <c r="CN501" s="51"/>
      <c r="CO501" s="51"/>
      <c r="CP501" s="51"/>
      <c r="CQ501" s="51"/>
      <c r="CR501" s="51"/>
      <c r="CS501" s="51"/>
      <c r="CT501" s="51"/>
      <c r="CU501" s="95"/>
      <c r="CV501" s="93"/>
      <c r="CW501" s="51"/>
      <c r="CX501" s="51"/>
      <c r="CY501" s="51"/>
      <c r="CZ501" s="51"/>
      <c r="DA501" s="51"/>
      <c r="DB501" s="51"/>
      <c r="DC501" s="51"/>
      <c r="DD501" s="95"/>
      <c r="DE501" s="93"/>
      <c r="DF501" s="51"/>
      <c r="DG501" s="51"/>
      <c r="DH501" s="51"/>
      <c r="DI501" s="51"/>
      <c r="DJ501" s="51"/>
      <c r="DK501" s="51"/>
      <c r="DL501" s="95"/>
      <c r="DM501" s="478"/>
      <c r="DN501" s="682">
        <f t="shared" si="63"/>
        <v>0</v>
      </c>
      <c r="DO501" s="683"/>
    </row>
    <row r="502" spans="1:119" ht="25.5" customHeight="1" thickTop="1" thickBot="1" x14ac:dyDescent="0.2">
      <c r="A502" s="676">
        <f t="shared" si="59"/>
        <v>487</v>
      </c>
      <c r="B502" s="1054"/>
      <c r="C502" s="1055"/>
      <c r="D502" s="83"/>
      <c r="E502" s="954"/>
      <c r="F502" s="52"/>
      <c r="G502" s="103"/>
      <c r="H502" s="1058"/>
      <c r="I502" s="684" t="str">
        <f t="shared" si="56"/>
        <v/>
      </c>
      <c r="J502" s="685">
        <f t="shared" si="57"/>
        <v>0</v>
      </c>
      <c r="K502" s="1258"/>
      <c r="L502" s="1251"/>
      <c r="M502" s="1257"/>
      <c r="N502" s="719" t="str">
        <f t="shared" si="60"/>
        <v/>
      </c>
      <c r="O502" s="720" t="str">
        <f>IF('Set up ~ Config'!$G$32=6,IF(OR($N502=7,$N502=8,$N502=9),1,IF(OR($N502=10,$N502=11,$N502=12),2,IF(OR($N502=1,$N502=2,$N502=3),3,IF(OR($N502=4,$N502=5,$N502=6),4,"")))),IF(OR($N502=9,$N502=10,$N502=11),1,IF(OR($N502=12,$N502=1,$N502=2),2,IF(OR($N502=3,$N502=4,$N502=5),3,IF(OR($N502=6,$N502=7,$N502=8),4,"")))))</f>
        <v/>
      </c>
      <c r="P502" s="99"/>
      <c r="Q502" s="62"/>
      <c r="R502" s="62"/>
      <c r="S502" s="51"/>
      <c r="T502" s="51"/>
      <c r="U502" s="51"/>
      <c r="V502" s="51"/>
      <c r="W502" s="51"/>
      <c r="X502" s="51"/>
      <c r="Y502" s="51"/>
      <c r="Z502" s="51"/>
      <c r="AA502" s="51"/>
      <c r="AB502" s="51"/>
      <c r="AC502" s="51"/>
      <c r="AD502" s="51"/>
      <c r="AE502" s="51"/>
      <c r="AF502" s="51"/>
      <c r="AG502" s="51"/>
      <c r="AH502" s="94"/>
      <c r="AI502" s="94"/>
      <c r="AJ502" s="94"/>
      <c r="AK502" s="94"/>
      <c r="AL502" s="94"/>
      <c r="AM502" s="94"/>
      <c r="AN502" s="94"/>
      <c r="AO502" s="95"/>
      <c r="AP502" s="686">
        <f t="shared" si="61"/>
        <v>0</v>
      </c>
      <c r="AQ502" s="42"/>
      <c r="AR502" s="42"/>
      <c r="AS502" s="42"/>
      <c r="AT502" s="43"/>
      <c r="AU502" s="687">
        <f t="shared" si="62"/>
        <v>0</v>
      </c>
      <c r="AV502" s="42"/>
      <c r="AW502" s="42"/>
      <c r="AX502" s="42"/>
      <c r="AY502" s="43"/>
      <c r="AZ502" s="486"/>
      <c r="BA502" s="51"/>
      <c r="BB502" s="51"/>
      <c r="BC502" s="51"/>
      <c r="BD502" s="51"/>
      <c r="BE502" s="51"/>
      <c r="BF502" s="51"/>
      <c r="BG502" s="51"/>
      <c r="BH502" s="94"/>
      <c r="BI502" s="94"/>
      <c r="BJ502" s="94"/>
      <c r="BK502" s="94"/>
      <c r="BL502" s="94"/>
      <c r="BM502" s="483"/>
      <c r="BN502" s="94"/>
      <c r="BO502" s="94"/>
      <c r="BP502" s="94"/>
      <c r="BQ502" s="94"/>
      <c r="BR502" s="94"/>
      <c r="BS502" s="94"/>
      <c r="BT502" s="94"/>
      <c r="BU502" s="94"/>
      <c r="BV502" s="94"/>
      <c r="BW502" s="688">
        <f t="shared" si="58"/>
        <v>0</v>
      </c>
      <c r="BX502" s="51"/>
      <c r="BY502" s="51"/>
      <c r="BZ502" s="51"/>
      <c r="CA502" s="51"/>
      <c r="CB502" s="51"/>
      <c r="CC502" s="51"/>
      <c r="CD502" s="97"/>
      <c r="CE502" s="479"/>
      <c r="CF502" s="51"/>
      <c r="CG502" s="51"/>
      <c r="CH502" s="62"/>
      <c r="CI502" s="62"/>
      <c r="CJ502" s="51"/>
      <c r="CK502" s="51"/>
      <c r="CL502" s="95"/>
      <c r="CM502" s="93"/>
      <c r="CN502" s="51"/>
      <c r="CO502" s="51"/>
      <c r="CP502" s="51"/>
      <c r="CQ502" s="51"/>
      <c r="CR502" s="51"/>
      <c r="CS502" s="51"/>
      <c r="CT502" s="51"/>
      <c r="CU502" s="95"/>
      <c r="CV502" s="93"/>
      <c r="CW502" s="51"/>
      <c r="CX502" s="51"/>
      <c r="CY502" s="51"/>
      <c r="CZ502" s="51"/>
      <c r="DA502" s="51"/>
      <c r="DB502" s="51"/>
      <c r="DC502" s="51"/>
      <c r="DD502" s="95"/>
      <c r="DE502" s="93"/>
      <c r="DF502" s="51"/>
      <c r="DG502" s="51"/>
      <c r="DH502" s="51"/>
      <c r="DI502" s="51"/>
      <c r="DJ502" s="51"/>
      <c r="DK502" s="51"/>
      <c r="DL502" s="95"/>
      <c r="DM502" s="478"/>
      <c r="DN502" s="682">
        <f t="shared" si="63"/>
        <v>0</v>
      </c>
      <c r="DO502" s="683"/>
    </row>
    <row r="503" spans="1:119" ht="25.5" customHeight="1" thickTop="1" thickBot="1" x14ac:dyDescent="0.2">
      <c r="A503" s="676">
        <f t="shared" si="59"/>
        <v>488</v>
      </c>
      <c r="B503" s="1054"/>
      <c r="C503" s="1055"/>
      <c r="D503" s="83"/>
      <c r="E503" s="954"/>
      <c r="F503" s="52"/>
      <c r="G503" s="103"/>
      <c r="H503" s="1058"/>
      <c r="I503" s="684" t="str">
        <f t="shared" si="56"/>
        <v/>
      </c>
      <c r="J503" s="685">
        <f t="shared" si="57"/>
        <v>0</v>
      </c>
      <c r="K503" s="1258"/>
      <c r="L503" s="1251"/>
      <c r="M503" s="1257"/>
      <c r="N503" s="719" t="str">
        <f t="shared" si="60"/>
        <v/>
      </c>
      <c r="O503" s="720" t="str">
        <f>IF('Set up ~ Config'!$G$32=6,IF(OR($N503=7,$N503=8,$N503=9),1,IF(OR($N503=10,$N503=11,$N503=12),2,IF(OR($N503=1,$N503=2,$N503=3),3,IF(OR($N503=4,$N503=5,$N503=6),4,"")))),IF(OR($N503=9,$N503=10,$N503=11),1,IF(OR($N503=12,$N503=1,$N503=2),2,IF(OR($N503=3,$N503=4,$N503=5),3,IF(OR($N503=6,$N503=7,$N503=8),4,"")))))</f>
        <v/>
      </c>
      <c r="P503" s="99"/>
      <c r="Q503" s="62"/>
      <c r="R503" s="62"/>
      <c r="S503" s="51"/>
      <c r="T503" s="51"/>
      <c r="U503" s="51"/>
      <c r="V503" s="51"/>
      <c r="W503" s="51"/>
      <c r="X503" s="51"/>
      <c r="Y503" s="51"/>
      <c r="Z503" s="51"/>
      <c r="AA503" s="51"/>
      <c r="AB503" s="51"/>
      <c r="AC503" s="51"/>
      <c r="AD503" s="51"/>
      <c r="AE503" s="51"/>
      <c r="AF503" s="51"/>
      <c r="AG503" s="51"/>
      <c r="AH503" s="94"/>
      <c r="AI503" s="94"/>
      <c r="AJ503" s="94"/>
      <c r="AK503" s="94"/>
      <c r="AL503" s="94"/>
      <c r="AM503" s="94"/>
      <c r="AN503" s="94"/>
      <c r="AO503" s="95"/>
      <c r="AP503" s="686">
        <f t="shared" si="61"/>
        <v>0</v>
      </c>
      <c r="AQ503" s="42"/>
      <c r="AR503" s="42"/>
      <c r="AS503" s="42"/>
      <c r="AT503" s="43"/>
      <c r="AU503" s="687">
        <f t="shared" si="62"/>
        <v>0</v>
      </c>
      <c r="AV503" s="42"/>
      <c r="AW503" s="42"/>
      <c r="AX503" s="42"/>
      <c r="AY503" s="43"/>
      <c r="AZ503" s="486"/>
      <c r="BA503" s="51"/>
      <c r="BB503" s="51"/>
      <c r="BC503" s="51"/>
      <c r="BD503" s="51"/>
      <c r="BE503" s="51"/>
      <c r="BF503" s="51"/>
      <c r="BG503" s="51"/>
      <c r="BH503" s="94"/>
      <c r="BI503" s="94"/>
      <c r="BJ503" s="94"/>
      <c r="BK503" s="94"/>
      <c r="BL503" s="94"/>
      <c r="BM503" s="483"/>
      <c r="BN503" s="94"/>
      <c r="BO503" s="94"/>
      <c r="BP503" s="94"/>
      <c r="BQ503" s="94"/>
      <c r="BR503" s="94"/>
      <c r="BS503" s="94"/>
      <c r="BT503" s="94"/>
      <c r="BU503" s="94"/>
      <c r="BV503" s="94"/>
      <c r="BW503" s="688">
        <f t="shared" si="58"/>
        <v>0</v>
      </c>
      <c r="BX503" s="51"/>
      <c r="BY503" s="51"/>
      <c r="BZ503" s="51"/>
      <c r="CA503" s="51"/>
      <c r="CB503" s="51"/>
      <c r="CC503" s="51"/>
      <c r="CD503" s="97"/>
      <c r="CE503" s="479"/>
      <c r="CF503" s="51"/>
      <c r="CG503" s="51"/>
      <c r="CH503" s="62"/>
      <c r="CI503" s="62"/>
      <c r="CJ503" s="51"/>
      <c r="CK503" s="51"/>
      <c r="CL503" s="95"/>
      <c r="CM503" s="93"/>
      <c r="CN503" s="51"/>
      <c r="CO503" s="51"/>
      <c r="CP503" s="51"/>
      <c r="CQ503" s="51"/>
      <c r="CR503" s="51"/>
      <c r="CS503" s="51"/>
      <c r="CT503" s="51"/>
      <c r="CU503" s="95"/>
      <c r="CV503" s="93"/>
      <c r="CW503" s="51"/>
      <c r="CX503" s="51"/>
      <c r="CY503" s="51"/>
      <c r="CZ503" s="51"/>
      <c r="DA503" s="51"/>
      <c r="DB503" s="51"/>
      <c r="DC503" s="51"/>
      <c r="DD503" s="95"/>
      <c r="DE503" s="93"/>
      <c r="DF503" s="51"/>
      <c r="DG503" s="51"/>
      <c r="DH503" s="51"/>
      <c r="DI503" s="51"/>
      <c r="DJ503" s="51"/>
      <c r="DK503" s="51"/>
      <c r="DL503" s="95"/>
      <c r="DM503" s="478"/>
      <c r="DN503" s="682">
        <f t="shared" si="63"/>
        <v>0</v>
      </c>
      <c r="DO503" s="683"/>
    </row>
    <row r="504" spans="1:119" ht="25.5" customHeight="1" thickTop="1" thickBot="1" x14ac:dyDescent="0.2">
      <c r="A504" s="676">
        <f t="shared" si="59"/>
        <v>489</v>
      </c>
      <c r="B504" s="1054"/>
      <c r="C504" s="1055"/>
      <c r="D504" s="83"/>
      <c r="E504" s="954"/>
      <c r="F504" s="52"/>
      <c r="G504" s="103"/>
      <c r="H504" s="1058"/>
      <c r="I504" s="684" t="str">
        <f t="shared" si="56"/>
        <v/>
      </c>
      <c r="J504" s="685">
        <f t="shared" si="57"/>
        <v>0</v>
      </c>
      <c r="K504" s="1258"/>
      <c r="L504" s="1251"/>
      <c r="M504" s="1257"/>
      <c r="N504" s="719" t="str">
        <f t="shared" si="60"/>
        <v/>
      </c>
      <c r="O504" s="720" t="str">
        <f>IF('Set up ~ Config'!$G$32=6,IF(OR($N504=7,$N504=8,$N504=9),1,IF(OR($N504=10,$N504=11,$N504=12),2,IF(OR($N504=1,$N504=2,$N504=3),3,IF(OR($N504=4,$N504=5,$N504=6),4,"")))),IF(OR($N504=9,$N504=10,$N504=11),1,IF(OR($N504=12,$N504=1,$N504=2),2,IF(OR($N504=3,$N504=4,$N504=5),3,IF(OR($N504=6,$N504=7,$N504=8),4,"")))))</f>
        <v/>
      </c>
      <c r="P504" s="99"/>
      <c r="Q504" s="62"/>
      <c r="R504" s="62"/>
      <c r="S504" s="51"/>
      <c r="T504" s="51"/>
      <c r="U504" s="51"/>
      <c r="V504" s="51"/>
      <c r="W504" s="51"/>
      <c r="X504" s="51"/>
      <c r="Y504" s="51"/>
      <c r="Z504" s="51"/>
      <c r="AA504" s="51"/>
      <c r="AB504" s="51"/>
      <c r="AC504" s="51"/>
      <c r="AD504" s="51"/>
      <c r="AE504" s="51"/>
      <c r="AF504" s="51"/>
      <c r="AG504" s="51"/>
      <c r="AH504" s="94"/>
      <c r="AI504" s="94"/>
      <c r="AJ504" s="94"/>
      <c r="AK504" s="94"/>
      <c r="AL504" s="94"/>
      <c r="AM504" s="94"/>
      <c r="AN504" s="94"/>
      <c r="AO504" s="95"/>
      <c r="AP504" s="686">
        <f t="shared" si="61"/>
        <v>0</v>
      </c>
      <c r="AQ504" s="42"/>
      <c r="AR504" s="42"/>
      <c r="AS504" s="42"/>
      <c r="AT504" s="43"/>
      <c r="AU504" s="687">
        <f t="shared" si="62"/>
        <v>0</v>
      </c>
      <c r="AV504" s="42"/>
      <c r="AW504" s="42"/>
      <c r="AX504" s="42"/>
      <c r="AY504" s="43"/>
      <c r="AZ504" s="486"/>
      <c r="BA504" s="51"/>
      <c r="BB504" s="51"/>
      <c r="BC504" s="51"/>
      <c r="BD504" s="51"/>
      <c r="BE504" s="51"/>
      <c r="BF504" s="51"/>
      <c r="BG504" s="51"/>
      <c r="BH504" s="94"/>
      <c r="BI504" s="94"/>
      <c r="BJ504" s="94"/>
      <c r="BK504" s="94"/>
      <c r="BL504" s="94"/>
      <c r="BM504" s="483"/>
      <c r="BN504" s="94"/>
      <c r="BO504" s="94"/>
      <c r="BP504" s="94"/>
      <c r="BQ504" s="94"/>
      <c r="BR504" s="94"/>
      <c r="BS504" s="94"/>
      <c r="BT504" s="94"/>
      <c r="BU504" s="94"/>
      <c r="BV504" s="94"/>
      <c r="BW504" s="688">
        <f t="shared" si="58"/>
        <v>0</v>
      </c>
      <c r="BX504" s="51"/>
      <c r="BY504" s="51"/>
      <c r="BZ504" s="51"/>
      <c r="CA504" s="51"/>
      <c r="CB504" s="51"/>
      <c r="CC504" s="51"/>
      <c r="CD504" s="97"/>
      <c r="CE504" s="479"/>
      <c r="CF504" s="51"/>
      <c r="CG504" s="51"/>
      <c r="CH504" s="62"/>
      <c r="CI504" s="62"/>
      <c r="CJ504" s="51"/>
      <c r="CK504" s="51"/>
      <c r="CL504" s="95"/>
      <c r="CM504" s="93"/>
      <c r="CN504" s="51"/>
      <c r="CO504" s="51"/>
      <c r="CP504" s="51"/>
      <c r="CQ504" s="51"/>
      <c r="CR504" s="51"/>
      <c r="CS504" s="51"/>
      <c r="CT504" s="51"/>
      <c r="CU504" s="95"/>
      <c r="CV504" s="93"/>
      <c r="CW504" s="51"/>
      <c r="CX504" s="51"/>
      <c r="CY504" s="51"/>
      <c r="CZ504" s="51"/>
      <c r="DA504" s="51"/>
      <c r="DB504" s="51"/>
      <c r="DC504" s="51"/>
      <c r="DD504" s="95"/>
      <c r="DE504" s="93"/>
      <c r="DF504" s="51"/>
      <c r="DG504" s="51"/>
      <c r="DH504" s="51"/>
      <c r="DI504" s="51"/>
      <c r="DJ504" s="51"/>
      <c r="DK504" s="51"/>
      <c r="DL504" s="95"/>
      <c r="DM504" s="478"/>
      <c r="DN504" s="682">
        <f t="shared" si="63"/>
        <v>0</v>
      </c>
      <c r="DO504" s="683"/>
    </row>
    <row r="505" spans="1:119" ht="25.5" customHeight="1" thickTop="1" thickBot="1" x14ac:dyDescent="0.2">
      <c r="A505" s="676">
        <f t="shared" si="59"/>
        <v>490</v>
      </c>
      <c r="B505" s="1054"/>
      <c r="C505" s="1055"/>
      <c r="D505" s="83"/>
      <c r="E505" s="954"/>
      <c r="F505" s="52"/>
      <c r="G505" s="103"/>
      <c r="H505" s="1058"/>
      <c r="I505" s="684" t="str">
        <f t="shared" si="56"/>
        <v/>
      </c>
      <c r="J505" s="685">
        <f t="shared" si="57"/>
        <v>0</v>
      </c>
      <c r="K505" s="1258"/>
      <c r="L505" s="1251"/>
      <c r="M505" s="1257"/>
      <c r="N505" s="719" t="str">
        <f t="shared" si="60"/>
        <v/>
      </c>
      <c r="O505" s="720" t="str">
        <f>IF('Set up ~ Config'!$G$32=6,IF(OR($N505=7,$N505=8,$N505=9),1,IF(OR($N505=10,$N505=11,$N505=12),2,IF(OR($N505=1,$N505=2,$N505=3),3,IF(OR($N505=4,$N505=5,$N505=6),4,"")))),IF(OR($N505=9,$N505=10,$N505=11),1,IF(OR($N505=12,$N505=1,$N505=2),2,IF(OR($N505=3,$N505=4,$N505=5),3,IF(OR($N505=6,$N505=7,$N505=8),4,"")))))</f>
        <v/>
      </c>
      <c r="P505" s="99"/>
      <c r="Q505" s="62"/>
      <c r="R505" s="62"/>
      <c r="S505" s="51"/>
      <c r="T505" s="51"/>
      <c r="U505" s="51"/>
      <c r="V505" s="51"/>
      <c r="W505" s="51"/>
      <c r="X505" s="51"/>
      <c r="Y505" s="51"/>
      <c r="Z505" s="51"/>
      <c r="AA505" s="51"/>
      <c r="AB505" s="51"/>
      <c r="AC505" s="51"/>
      <c r="AD505" s="51"/>
      <c r="AE505" s="51"/>
      <c r="AF505" s="51"/>
      <c r="AG505" s="51"/>
      <c r="AH505" s="94"/>
      <c r="AI505" s="94"/>
      <c r="AJ505" s="94"/>
      <c r="AK505" s="94"/>
      <c r="AL505" s="94"/>
      <c r="AM505" s="94"/>
      <c r="AN505" s="94"/>
      <c r="AO505" s="95"/>
      <c r="AP505" s="686">
        <f t="shared" si="61"/>
        <v>0</v>
      </c>
      <c r="AQ505" s="42"/>
      <c r="AR505" s="42"/>
      <c r="AS505" s="42"/>
      <c r="AT505" s="43"/>
      <c r="AU505" s="687">
        <f t="shared" si="62"/>
        <v>0</v>
      </c>
      <c r="AV505" s="42"/>
      <c r="AW505" s="42"/>
      <c r="AX505" s="42"/>
      <c r="AY505" s="43"/>
      <c r="AZ505" s="486"/>
      <c r="BA505" s="51"/>
      <c r="BB505" s="51"/>
      <c r="BC505" s="51"/>
      <c r="BD505" s="51"/>
      <c r="BE505" s="51"/>
      <c r="BF505" s="51"/>
      <c r="BG505" s="51"/>
      <c r="BH505" s="94"/>
      <c r="BI505" s="94"/>
      <c r="BJ505" s="94"/>
      <c r="BK505" s="94"/>
      <c r="BL505" s="94"/>
      <c r="BM505" s="483"/>
      <c r="BN505" s="94"/>
      <c r="BO505" s="94"/>
      <c r="BP505" s="94"/>
      <c r="BQ505" s="94"/>
      <c r="BR505" s="94"/>
      <c r="BS505" s="94"/>
      <c r="BT505" s="94"/>
      <c r="BU505" s="94"/>
      <c r="BV505" s="94"/>
      <c r="BW505" s="688">
        <f t="shared" si="58"/>
        <v>0</v>
      </c>
      <c r="BX505" s="51"/>
      <c r="BY505" s="51"/>
      <c r="BZ505" s="51"/>
      <c r="CA505" s="51"/>
      <c r="CB505" s="51"/>
      <c r="CC505" s="51"/>
      <c r="CD505" s="97"/>
      <c r="CE505" s="479"/>
      <c r="CF505" s="51"/>
      <c r="CG505" s="51"/>
      <c r="CH505" s="62"/>
      <c r="CI505" s="62"/>
      <c r="CJ505" s="51"/>
      <c r="CK505" s="51"/>
      <c r="CL505" s="95"/>
      <c r="CM505" s="93"/>
      <c r="CN505" s="51"/>
      <c r="CO505" s="51"/>
      <c r="CP505" s="51"/>
      <c r="CQ505" s="51"/>
      <c r="CR505" s="51"/>
      <c r="CS505" s="51"/>
      <c r="CT505" s="51"/>
      <c r="CU505" s="95"/>
      <c r="CV505" s="93"/>
      <c r="CW505" s="51"/>
      <c r="CX505" s="51"/>
      <c r="CY505" s="51"/>
      <c r="CZ505" s="51"/>
      <c r="DA505" s="51"/>
      <c r="DB505" s="51"/>
      <c r="DC505" s="51"/>
      <c r="DD505" s="95"/>
      <c r="DE505" s="93"/>
      <c r="DF505" s="51"/>
      <c r="DG505" s="51"/>
      <c r="DH505" s="51"/>
      <c r="DI505" s="51"/>
      <c r="DJ505" s="51"/>
      <c r="DK505" s="51"/>
      <c r="DL505" s="95"/>
      <c r="DM505" s="478"/>
      <c r="DN505" s="682">
        <f t="shared" si="63"/>
        <v>0</v>
      </c>
      <c r="DO505" s="683"/>
    </row>
    <row r="506" spans="1:119" ht="25.5" customHeight="1" thickTop="1" thickBot="1" x14ac:dyDescent="0.2">
      <c r="A506" s="676">
        <f t="shared" si="59"/>
        <v>491</v>
      </c>
      <c r="B506" s="1054"/>
      <c r="C506" s="1055"/>
      <c r="D506" s="83"/>
      <c r="E506" s="954"/>
      <c r="F506" s="52"/>
      <c r="G506" s="103"/>
      <c r="H506" s="1058"/>
      <c r="I506" s="684" t="str">
        <f t="shared" si="56"/>
        <v/>
      </c>
      <c r="J506" s="685">
        <f t="shared" si="57"/>
        <v>0</v>
      </c>
      <c r="K506" s="1258"/>
      <c r="L506" s="1251"/>
      <c r="M506" s="1257"/>
      <c r="N506" s="719" t="str">
        <f t="shared" si="60"/>
        <v/>
      </c>
      <c r="O506" s="720" t="str">
        <f>IF('Set up ~ Config'!$G$32=6,IF(OR($N506=7,$N506=8,$N506=9),1,IF(OR($N506=10,$N506=11,$N506=12),2,IF(OR($N506=1,$N506=2,$N506=3),3,IF(OR($N506=4,$N506=5,$N506=6),4,"")))),IF(OR($N506=9,$N506=10,$N506=11),1,IF(OR($N506=12,$N506=1,$N506=2),2,IF(OR($N506=3,$N506=4,$N506=5),3,IF(OR($N506=6,$N506=7,$N506=8),4,"")))))</f>
        <v/>
      </c>
      <c r="P506" s="99"/>
      <c r="Q506" s="62"/>
      <c r="R506" s="62"/>
      <c r="S506" s="51"/>
      <c r="T506" s="51"/>
      <c r="U506" s="51"/>
      <c r="V506" s="51"/>
      <c r="W506" s="51"/>
      <c r="X506" s="51"/>
      <c r="Y506" s="51"/>
      <c r="Z506" s="51"/>
      <c r="AA506" s="51"/>
      <c r="AB506" s="51"/>
      <c r="AC506" s="51"/>
      <c r="AD506" s="51"/>
      <c r="AE506" s="51"/>
      <c r="AF506" s="51"/>
      <c r="AG506" s="51"/>
      <c r="AH506" s="94"/>
      <c r="AI506" s="94"/>
      <c r="AJ506" s="94"/>
      <c r="AK506" s="94"/>
      <c r="AL506" s="94"/>
      <c r="AM506" s="94"/>
      <c r="AN506" s="94"/>
      <c r="AO506" s="95"/>
      <c r="AP506" s="686">
        <f t="shared" si="61"/>
        <v>0</v>
      </c>
      <c r="AQ506" s="42"/>
      <c r="AR506" s="42"/>
      <c r="AS506" s="42"/>
      <c r="AT506" s="43"/>
      <c r="AU506" s="687">
        <f t="shared" si="62"/>
        <v>0</v>
      </c>
      <c r="AV506" s="42"/>
      <c r="AW506" s="42"/>
      <c r="AX506" s="42"/>
      <c r="AY506" s="43"/>
      <c r="AZ506" s="486"/>
      <c r="BA506" s="51"/>
      <c r="BB506" s="51"/>
      <c r="BC506" s="51"/>
      <c r="BD506" s="51"/>
      <c r="BE506" s="51"/>
      <c r="BF506" s="51"/>
      <c r="BG506" s="51"/>
      <c r="BH506" s="94"/>
      <c r="BI506" s="94"/>
      <c r="BJ506" s="94"/>
      <c r="BK506" s="94"/>
      <c r="BL506" s="94"/>
      <c r="BM506" s="483"/>
      <c r="BN506" s="94"/>
      <c r="BO506" s="94"/>
      <c r="BP506" s="94"/>
      <c r="BQ506" s="94"/>
      <c r="BR506" s="94"/>
      <c r="BS506" s="94"/>
      <c r="BT506" s="94"/>
      <c r="BU506" s="94"/>
      <c r="BV506" s="94"/>
      <c r="BW506" s="688">
        <f t="shared" si="58"/>
        <v>0</v>
      </c>
      <c r="BX506" s="51"/>
      <c r="BY506" s="51"/>
      <c r="BZ506" s="51"/>
      <c r="CA506" s="51"/>
      <c r="CB506" s="51"/>
      <c r="CC506" s="51"/>
      <c r="CD506" s="97"/>
      <c r="CE506" s="479"/>
      <c r="CF506" s="51"/>
      <c r="CG506" s="51"/>
      <c r="CH506" s="62"/>
      <c r="CI506" s="62"/>
      <c r="CJ506" s="51"/>
      <c r="CK506" s="51"/>
      <c r="CL506" s="95"/>
      <c r="CM506" s="93"/>
      <c r="CN506" s="51"/>
      <c r="CO506" s="51"/>
      <c r="CP506" s="51"/>
      <c r="CQ506" s="51"/>
      <c r="CR506" s="51"/>
      <c r="CS506" s="51"/>
      <c r="CT506" s="51"/>
      <c r="CU506" s="95"/>
      <c r="CV506" s="93"/>
      <c r="CW506" s="51"/>
      <c r="CX506" s="51"/>
      <c r="CY506" s="51"/>
      <c r="CZ506" s="51"/>
      <c r="DA506" s="51"/>
      <c r="DB506" s="51"/>
      <c r="DC506" s="51"/>
      <c r="DD506" s="95"/>
      <c r="DE506" s="93"/>
      <c r="DF506" s="51"/>
      <c r="DG506" s="51"/>
      <c r="DH506" s="51"/>
      <c r="DI506" s="51"/>
      <c r="DJ506" s="51"/>
      <c r="DK506" s="51"/>
      <c r="DL506" s="95"/>
      <c r="DM506" s="478"/>
      <c r="DN506" s="682">
        <f t="shared" si="63"/>
        <v>0</v>
      </c>
      <c r="DO506" s="683"/>
    </row>
    <row r="507" spans="1:119" ht="25.5" customHeight="1" thickTop="1" thickBot="1" x14ac:dyDescent="0.2">
      <c r="A507" s="676">
        <f t="shared" si="59"/>
        <v>492</v>
      </c>
      <c r="B507" s="1054"/>
      <c r="C507" s="1055"/>
      <c r="D507" s="83"/>
      <c r="E507" s="954"/>
      <c r="F507" s="52"/>
      <c r="G507" s="103"/>
      <c r="H507" s="1058"/>
      <c r="I507" s="684" t="str">
        <f t="shared" si="56"/>
        <v/>
      </c>
      <c r="J507" s="685">
        <f t="shared" si="57"/>
        <v>0</v>
      </c>
      <c r="K507" s="1258"/>
      <c r="L507" s="1251"/>
      <c r="M507" s="1257"/>
      <c r="N507" s="719" t="str">
        <f t="shared" si="60"/>
        <v/>
      </c>
      <c r="O507" s="720" t="str">
        <f>IF('Set up ~ Config'!$G$32=6,IF(OR($N507=7,$N507=8,$N507=9),1,IF(OR($N507=10,$N507=11,$N507=12),2,IF(OR($N507=1,$N507=2,$N507=3),3,IF(OR($N507=4,$N507=5,$N507=6),4,"")))),IF(OR($N507=9,$N507=10,$N507=11),1,IF(OR($N507=12,$N507=1,$N507=2),2,IF(OR($N507=3,$N507=4,$N507=5),3,IF(OR($N507=6,$N507=7,$N507=8),4,"")))))</f>
        <v/>
      </c>
      <c r="P507" s="99"/>
      <c r="Q507" s="62"/>
      <c r="R507" s="62"/>
      <c r="S507" s="51"/>
      <c r="T507" s="51"/>
      <c r="U507" s="51"/>
      <c r="V507" s="51"/>
      <c r="W507" s="51"/>
      <c r="X507" s="51"/>
      <c r="Y507" s="51"/>
      <c r="Z507" s="51"/>
      <c r="AA507" s="51"/>
      <c r="AB507" s="51"/>
      <c r="AC507" s="51"/>
      <c r="AD507" s="51"/>
      <c r="AE507" s="51"/>
      <c r="AF507" s="51"/>
      <c r="AG507" s="51"/>
      <c r="AH507" s="94"/>
      <c r="AI507" s="94"/>
      <c r="AJ507" s="94"/>
      <c r="AK507" s="94"/>
      <c r="AL507" s="94"/>
      <c r="AM507" s="94"/>
      <c r="AN507" s="94"/>
      <c r="AO507" s="95"/>
      <c r="AP507" s="686">
        <f t="shared" si="61"/>
        <v>0</v>
      </c>
      <c r="AQ507" s="42"/>
      <c r="AR507" s="42"/>
      <c r="AS507" s="42"/>
      <c r="AT507" s="43"/>
      <c r="AU507" s="687">
        <f t="shared" si="62"/>
        <v>0</v>
      </c>
      <c r="AV507" s="42"/>
      <c r="AW507" s="42"/>
      <c r="AX507" s="42"/>
      <c r="AY507" s="43"/>
      <c r="AZ507" s="486"/>
      <c r="BA507" s="51"/>
      <c r="BB507" s="51"/>
      <c r="BC507" s="51"/>
      <c r="BD507" s="51"/>
      <c r="BE507" s="51"/>
      <c r="BF507" s="51"/>
      <c r="BG507" s="51"/>
      <c r="BH507" s="94"/>
      <c r="BI507" s="94"/>
      <c r="BJ507" s="94"/>
      <c r="BK507" s="94"/>
      <c r="BL507" s="94"/>
      <c r="BM507" s="483"/>
      <c r="BN507" s="94"/>
      <c r="BO507" s="94"/>
      <c r="BP507" s="94"/>
      <c r="BQ507" s="94"/>
      <c r="BR507" s="94"/>
      <c r="BS507" s="94"/>
      <c r="BT507" s="94"/>
      <c r="BU507" s="94"/>
      <c r="BV507" s="94"/>
      <c r="BW507" s="688">
        <f t="shared" si="58"/>
        <v>0</v>
      </c>
      <c r="BX507" s="51"/>
      <c r="BY507" s="51"/>
      <c r="BZ507" s="51"/>
      <c r="CA507" s="51"/>
      <c r="CB507" s="51"/>
      <c r="CC507" s="51"/>
      <c r="CD507" s="97"/>
      <c r="CE507" s="479"/>
      <c r="CF507" s="51"/>
      <c r="CG507" s="51"/>
      <c r="CH507" s="62"/>
      <c r="CI507" s="62"/>
      <c r="CJ507" s="51"/>
      <c r="CK507" s="51"/>
      <c r="CL507" s="95"/>
      <c r="CM507" s="93"/>
      <c r="CN507" s="51"/>
      <c r="CO507" s="51"/>
      <c r="CP507" s="51"/>
      <c r="CQ507" s="51"/>
      <c r="CR507" s="51"/>
      <c r="CS507" s="51"/>
      <c r="CT507" s="51"/>
      <c r="CU507" s="95"/>
      <c r="CV507" s="93"/>
      <c r="CW507" s="51"/>
      <c r="CX507" s="51"/>
      <c r="CY507" s="51"/>
      <c r="CZ507" s="51"/>
      <c r="DA507" s="51"/>
      <c r="DB507" s="51"/>
      <c r="DC507" s="51"/>
      <c r="DD507" s="95"/>
      <c r="DE507" s="93"/>
      <c r="DF507" s="51"/>
      <c r="DG507" s="51"/>
      <c r="DH507" s="51"/>
      <c r="DI507" s="51"/>
      <c r="DJ507" s="51"/>
      <c r="DK507" s="51"/>
      <c r="DL507" s="95"/>
      <c r="DM507" s="478"/>
      <c r="DN507" s="682">
        <f t="shared" si="63"/>
        <v>0</v>
      </c>
      <c r="DO507" s="683"/>
    </row>
    <row r="508" spans="1:119" ht="25.5" customHeight="1" thickTop="1" thickBot="1" x14ac:dyDescent="0.2">
      <c r="A508" s="676">
        <f t="shared" si="59"/>
        <v>493</v>
      </c>
      <c r="B508" s="1054"/>
      <c r="C508" s="1055"/>
      <c r="D508" s="83"/>
      <c r="E508" s="954"/>
      <c r="F508" s="52"/>
      <c r="G508" s="103"/>
      <c r="H508" s="1058"/>
      <c r="I508" s="684" t="str">
        <f t="shared" si="56"/>
        <v/>
      </c>
      <c r="J508" s="685">
        <f t="shared" si="57"/>
        <v>0</v>
      </c>
      <c r="K508" s="1258"/>
      <c r="L508" s="1251"/>
      <c r="M508" s="1257"/>
      <c r="N508" s="719" t="str">
        <f t="shared" si="60"/>
        <v/>
      </c>
      <c r="O508" s="720" t="str">
        <f>IF('Set up ~ Config'!$G$32=6,IF(OR($N508=7,$N508=8,$N508=9),1,IF(OR($N508=10,$N508=11,$N508=12),2,IF(OR($N508=1,$N508=2,$N508=3),3,IF(OR($N508=4,$N508=5,$N508=6),4,"")))),IF(OR($N508=9,$N508=10,$N508=11),1,IF(OR($N508=12,$N508=1,$N508=2),2,IF(OR($N508=3,$N508=4,$N508=5),3,IF(OR($N508=6,$N508=7,$N508=8),4,"")))))</f>
        <v/>
      </c>
      <c r="P508" s="99"/>
      <c r="Q508" s="62"/>
      <c r="R508" s="62"/>
      <c r="S508" s="51"/>
      <c r="T508" s="51"/>
      <c r="U508" s="51"/>
      <c r="V508" s="51"/>
      <c r="W508" s="51"/>
      <c r="X508" s="51"/>
      <c r="Y508" s="51"/>
      <c r="Z508" s="51"/>
      <c r="AA508" s="51"/>
      <c r="AB508" s="51"/>
      <c r="AC508" s="51"/>
      <c r="AD508" s="51"/>
      <c r="AE508" s="51"/>
      <c r="AF508" s="51"/>
      <c r="AG508" s="51"/>
      <c r="AH508" s="94"/>
      <c r="AI508" s="94"/>
      <c r="AJ508" s="94"/>
      <c r="AK508" s="94"/>
      <c r="AL508" s="94"/>
      <c r="AM508" s="94"/>
      <c r="AN508" s="94"/>
      <c r="AO508" s="95"/>
      <c r="AP508" s="686">
        <f t="shared" si="61"/>
        <v>0</v>
      </c>
      <c r="AQ508" s="42"/>
      <c r="AR508" s="42"/>
      <c r="AS508" s="42"/>
      <c r="AT508" s="43"/>
      <c r="AU508" s="687">
        <f t="shared" si="62"/>
        <v>0</v>
      </c>
      <c r="AV508" s="42"/>
      <c r="AW508" s="42"/>
      <c r="AX508" s="42"/>
      <c r="AY508" s="43"/>
      <c r="AZ508" s="486"/>
      <c r="BA508" s="51"/>
      <c r="BB508" s="51"/>
      <c r="BC508" s="51"/>
      <c r="BD508" s="51"/>
      <c r="BE508" s="51"/>
      <c r="BF508" s="51"/>
      <c r="BG508" s="51"/>
      <c r="BH508" s="94"/>
      <c r="BI508" s="94"/>
      <c r="BJ508" s="94"/>
      <c r="BK508" s="94"/>
      <c r="BL508" s="94"/>
      <c r="BM508" s="483"/>
      <c r="BN508" s="94"/>
      <c r="BO508" s="94"/>
      <c r="BP508" s="94"/>
      <c r="BQ508" s="94"/>
      <c r="BR508" s="94"/>
      <c r="BS508" s="94"/>
      <c r="BT508" s="94"/>
      <c r="BU508" s="94"/>
      <c r="BV508" s="94"/>
      <c r="BW508" s="688">
        <f t="shared" si="58"/>
        <v>0</v>
      </c>
      <c r="BX508" s="51"/>
      <c r="BY508" s="51"/>
      <c r="BZ508" s="51"/>
      <c r="CA508" s="51"/>
      <c r="CB508" s="51"/>
      <c r="CC508" s="51"/>
      <c r="CD508" s="97"/>
      <c r="CE508" s="479"/>
      <c r="CF508" s="51"/>
      <c r="CG508" s="51"/>
      <c r="CH508" s="62"/>
      <c r="CI508" s="62"/>
      <c r="CJ508" s="51"/>
      <c r="CK508" s="51"/>
      <c r="CL508" s="95"/>
      <c r="CM508" s="93"/>
      <c r="CN508" s="51"/>
      <c r="CO508" s="51"/>
      <c r="CP508" s="51"/>
      <c r="CQ508" s="51"/>
      <c r="CR508" s="51"/>
      <c r="CS508" s="51"/>
      <c r="CT508" s="51"/>
      <c r="CU508" s="95"/>
      <c r="CV508" s="93"/>
      <c r="CW508" s="51"/>
      <c r="CX508" s="51"/>
      <c r="CY508" s="51"/>
      <c r="CZ508" s="51"/>
      <c r="DA508" s="51"/>
      <c r="DB508" s="51"/>
      <c r="DC508" s="51"/>
      <c r="DD508" s="95"/>
      <c r="DE508" s="93"/>
      <c r="DF508" s="51"/>
      <c r="DG508" s="51"/>
      <c r="DH508" s="51"/>
      <c r="DI508" s="51"/>
      <c r="DJ508" s="51"/>
      <c r="DK508" s="51"/>
      <c r="DL508" s="95"/>
      <c r="DM508" s="478"/>
      <c r="DN508" s="682">
        <f t="shared" si="63"/>
        <v>0</v>
      </c>
      <c r="DO508" s="683"/>
    </row>
    <row r="509" spans="1:119" ht="25.5" customHeight="1" thickTop="1" thickBot="1" x14ac:dyDescent="0.2">
      <c r="A509" s="676">
        <f t="shared" si="59"/>
        <v>494</v>
      </c>
      <c r="B509" s="1054"/>
      <c r="C509" s="1055"/>
      <c r="D509" s="83"/>
      <c r="E509" s="954"/>
      <c r="F509" s="52"/>
      <c r="G509" s="103"/>
      <c r="H509" s="1058"/>
      <c r="I509" s="684" t="str">
        <f t="shared" si="56"/>
        <v/>
      </c>
      <c r="J509" s="685">
        <f t="shared" si="57"/>
        <v>0</v>
      </c>
      <c r="K509" s="1258"/>
      <c r="L509" s="1251"/>
      <c r="M509" s="1257"/>
      <c r="N509" s="719" t="str">
        <f t="shared" si="60"/>
        <v/>
      </c>
      <c r="O509" s="720" t="str">
        <f>IF('Set up ~ Config'!$G$32=6,IF(OR($N509=7,$N509=8,$N509=9),1,IF(OR($N509=10,$N509=11,$N509=12),2,IF(OR($N509=1,$N509=2,$N509=3),3,IF(OR($N509=4,$N509=5,$N509=6),4,"")))),IF(OR($N509=9,$N509=10,$N509=11),1,IF(OR($N509=12,$N509=1,$N509=2),2,IF(OR($N509=3,$N509=4,$N509=5),3,IF(OR($N509=6,$N509=7,$N509=8),4,"")))))</f>
        <v/>
      </c>
      <c r="P509" s="99"/>
      <c r="Q509" s="62"/>
      <c r="R509" s="62"/>
      <c r="S509" s="51"/>
      <c r="T509" s="51"/>
      <c r="U509" s="51"/>
      <c r="V509" s="51"/>
      <c r="W509" s="51"/>
      <c r="X509" s="51"/>
      <c r="Y509" s="51"/>
      <c r="Z509" s="51"/>
      <c r="AA509" s="51"/>
      <c r="AB509" s="51"/>
      <c r="AC509" s="51"/>
      <c r="AD509" s="51"/>
      <c r="AE509" s="51"/>
      <c r="AF509" s="51"/>
      <c r="AG509" s="51"/>
      <c r="AH509" s="94"/>
      <c r="AI509" s="94"/>
      <c r="AJ509" s="94"/>
      <c r="AK509" s="94"/>
      <c r="AL509" s="94"/>
      <c r="AM509" s="94"/>
      <c r="AN509" s="94"/>
      <c r="AO509" s="95"/>
      <c r="AP509" s="686">
        <f t="shared" si="61"/>
        <v>0</v>
      </c>
      <c r="AQ509" s="42"/>
      <c r="AR509" s="42"/>
      <c r="AS509" s="42"/>
      <c r="AT509" s="43"/>
      <c r="AU509" s="687">
        <f t="shared" si="62"/>
        <v>0</v>
      </c>
      <c r="AV509" s="42"/>
      <c r="AW509" s="42"/>
      <c r="AX509" s="42"/>
      <c r="AY509" s="43"/>
      <c r="AZ509" s="486"/>
      <c r="BA509" s="51"/>
      <c r="BB509" s="51"/>
      <c r="BC509" s="51"/>
      <c r="BD509" s="51"/>
      <c r="BE509" s="51"/>
      <c r="BF509" s="51"/>
      <c r="BG509" s="51"/>
      <c r="BH509" s="94"/>
      <c r="BI509" s="94"/>
      <c r="BJ509" s="94"/>
      <c r="BK509" s="94"/>
      <c r="BL509" s="94"/>
      <c r="BM509" s="483"/>
      <c r="BN509" s="94"/>
      <c r="BO509" s="94"/>
      <c r="BP509" s="94"/>
      <c r="BQ509" s="94"/>
      <c r="BR509" s="94"/>
      <c r="BS509" s="94"/>
      <c r="BT509" s="94"/>
      <c r="BU509" s="94"/>
      <c r="BV509" s="94"/>
      <c r="BW509" s="688">
        <f t="shared" si="58"/>
        <v>0</v>
      </c>
      <c r="BX509" s="51"/>
      <c r="BY509" s="51"/>
      <c r="BZ509" s="51"/>
      <c r="CA509" s="51"/>
      <c r="CB509" s="51"/>
      <c r="CC509" s="51"/>
      <c r="CD509" s="97"/>
      <c r="CE509" s="479"/>
      <c r="CF509" s="51"/>
      <c r="CG509" s="51"/>
      <c r="CH509" s="62"/>
      <c r="CI509" s="62"/>
      <c r="CJ509" s="51"/>
      <c r="CK509" s="51"/>
      <c r="CL509" s="95"/>
      <c r="CM509" s="93"/>
      <c r="CN509" s="51"/>
      <c r="CO509" s="51"/>
      <c r="CP509" s="51"/>
      <c r="CQ509" s="51"/>
      <c r="CR509" s="51"/>
      <c r="CS509" s="51"/>
      <c r="CT509" s="51"/>
      <c r="CU509" s="95"/>
      <c r="CV509" s="93"/>
      <c r="CW509" s="51"/>
      <c r="CX509" s="51"/>
      <c r="CY509" s="51"/>
      <c r="CZ509" s="51"/>
      <c r="DA509" s="51"/>
      <c r="DB509" s="51"/>
      <c r="DC509" s="51"/>
      <c r="DD509" s="95"/>
      <c r="DE509" s="93"/>
      <c r="DF509" s="51"/>
      <c r="DG509" s="51"/>
      <c r="DH509" s="51"/>
      <c r="DI509" s="51"/>
      <c r="DJ509" s="51"/>
      <c r="DK509" s="51"/>
      <c r="DL509" s="95"/>
      <c r="DM509" s="478"/>
      <c r="DN509" s="682">
        <f t="shared" si="63"/>
        <v>0</v>
      </c>
      <c r="DO509" s="683"/>
    </row>
    <row r="510" spans="1:119" ht="25.5" customHeight="1" thickTop="1" thickBot="1" x14ac:dyDescent="0.2">
      <c r="A510" s="676">
        <f t="shared" si="59"/>
        <v>495</v>
      </c>
      <c r="B510" s="1054"/>
      <c r="C510" s="1055"/>
      <c r="D510" s="83"/>
      <c r="E510" s="954"/>
      <c r="F510" s="52"/>
      <c r="G510" s="103"/>
      <c r="H510" s="1058"/>
      <c r="I510" s="684" t="str">
        <f t="shared" si="56"/>
        <v/>
      </c>
      <c r="J510" s="685">
        <f t="shared" si="57"/>
        <v>0</v>
      </c>
      <c r="K510" s="1258"/>
      <c r="L510" s="1251"/>
      <c r="M510" s="1257"/>
      <c r="N510" s="719" t="str">
        <f t="shared" si="60"/>
        <v/>
      </c>
      <c r="O510" s="720" t="str">
        <f>IF('Set up ~ Config'!$G$32=6,IF(OR($N510=7,$N510=8,$N510=9),1,IF(OR($N510=10,$N510=11,$N510=12),2,IF(OR($N510=1,$N510=2,$N510=3),3,IF(OR($N510=4,$N510=5,$N510=6),4,"")))),IF(OR($N510=9,$N510=10,$N510=11),1,IF(OR($N510=12,$N510=1,$N510=2),2,IF(OR($N510=3,$N510=4,$N510=5),3,IF(OR($N510=6,$N510=7,$N510=8),4,"")))))</f>
        <v/>
      </c>
      <c r="P510" s="99"/>
      <c r="Q510" s="62"/>
      <c r="R510" s="62"/>
      <c r="S510" s="51"/>
      <c r="T510" s="51"/>
      <c r="U510" s="51"/>
      <c r="V510" s="51"/>
      <c r="W510" s="51"/>
      <c r="X510" s="51"/>
      <c r="Y510" s="51"/>
      <c r="Z510" s="51"/>
      <c r="AA510" s="51"/>
      <c r="AB510" s="51"/>
      <c r="AC510" s="51"/>
      <c r="AD510" s="51"/>
      <c r="AE510" s="51"/>
      <c r="AF510" s="51"/>
      <c r="AG510" s="51"/>
      <c r="AH510" s="94"/>
      <c r="AI510" s="94"/>
      <c r="AJ510" s="94"/>
      <c r="AK510" s="94"/>
      <c r="AL510" s="94"/>
      <c r="AM510" s="94"/>
      <c r="AN510" s="94"/>
      <c r="AO510" s="95"/>
      <c r="AP510" s="686">
        <f t="shared" si="61"/>
        <v>0</v>
      </c>
      <c r="AQ510" s="42"/>
      <c r="AR510" s="42"/>
      <c r="AS510" s="42"/>
      <c r="AT510" s="43"/>
      <c r="AU510" s="687">
        <f t="shared" si="62"/>
        <v>0</v>
      </c>
      <c r="AV510" s="42"/>
      <c r="AW510" s="42"/>
      <c r="AX510" s="42"/>
      <c r="AY510" s="43"/>
      <c r="AZ510" s="486"/>
      <c r="BA510" s="51"/>
      <c r="BB510" s="51"/>
      <c r="BC510" s="51"/>
      <c r="BD510" s="51"/>
      <c r="BE510" s="51"/>
      <c r="BF510" s="51"/>
      <c r="BG510" s="51"/>
      <c r="BH510" s="94"/>
      <c r="BI510" s="94"/>
      <c r="BJ510" s="94"/>
      <c r="BK510" s="94"/>
      <c r="BL510" s="94"/>
      <c r="BM510" s="483"/>
      <c r="BN510" s="94"/>
      <c r="BO510" s="94"/>
      <c r="BP510" s="94"/>
      <c r="BQ510" s="94"/>
      <c r="BR510" s="94"/>
      <c r="BS510" s="94"/>
      <c r="BT510" s="94"/>
      <c r="BU510" s="94"/>
      <c r="BV510" s="94"/>
      <c r="BW510" s="688">
        <f t="shared" si="58"/>
        <v>0</v>
      </c>
      <c r="BX510" s="51"/>
      <c r="BY510" s="51"/>
      <c r="BZ510" s="51"/>
      <c r="CA510" s="51"/>
      <c r="CB510" s="51"/>
      <c r="CC510" s="51"/>
      <c r="CD510" s="97"/>
      <c r="CE510" s="479"/>
      <c r="CF510" s="51"/>
      <c r="CG510" s="51"/>
      <c r="CH510" s="62"/>
      <c r="CI510" s="62"/>
      <c r="CJ510" s="51"/>
      <c r="CK510" s="51"/>
      <c r="CL510" s="95"/>
      <c r="CM510" s="93"/>
      <c r="CN510" s="51"/>
      <c r="CO510" s="51"/>
      <c r="CP510" s="51"/>
      <c r="CQ510" s="51"/>
      <c r="CR510" s="51"/>
      <c r="CS510" s="51"/>
      <c r="CT510" s="51"/>
      <c r="CU510" s="95"/>
      <c r="CV510" s="93"/>
      <c r="CW510" s="51"/>
      <c r="CX510" s="51"/>
      <c r="CY510" s="51"/>
      <c r="CZ510" s="51"/>
      <c r="DA510" s="51"/>
      <c r="DB510" s="51"/>
      <c r="DC510" s="51"/>
      <c r="DD510" s="95"/>
      <c r="DE510" s="93"/>
      <c r="DF510" s="51"/>
      <c r="DG510" s="51"/>
      <c r="DH510" s="51"/>
      <c r="DI510" s="51"/>
      <c r="DJ510" s="51"/>
      <c r="DK510" s="51"/>
      <c r="DL510" s="95"/>
      <c r="DM510" s="478"/>
      <c r="DN510" s="682">
        <f t="shared" si="63"/>
        <v>0</v>
      </c>
      <c r="DO510" s="683"/>
    </row>
    <row r="511" spans="1:119" ht="25.5" customHeight="1" thickTop="1" thickBot="1" x14ac:dyDescent="0.2">
      <c r="A511" s="676">
        <f t="shared" si="59"/>
        <v>496</v>
      </c>
      <c r="B511" s="1054"/>
      <c r="C511" s="1055"/>
      <c r="D511" s="83"/>
      <c r="E511" s="954"/>
      <c r="F511" s="52"/>
      <c r="G511" s="103"/>
      <c r="H511" s="1058"/>
      <c r="I511" s="684" t="str">
        <f t="shared" si="56"/>
        <v/>
      </c>
      <c r="J511" s="685">
        <f t="shared" si="57"/>
        <v>0</v>
      </c>
      <c r="K511" s="1258"/>
      <c r="L511" s="1251"/>
      <c r="M511" s="1257"/>
      <c r="N511" s="719" t="str">
        <f t="shared" si="60"/>
        <v/>
      </c>
      <c r="O511" s="720" t="str">
        <f>IF('Set up ~ Config'!$G$32=6,IF(OR($N511=7,$N511=8,$N511=9),1,IF(OR($N511=10,$N511=11,$N511=12),2,IF(OR($N511=1,$N511=2,$N511=3),3,IF(OR($N511=4,$N511=5,$N511=6),4,"")))),IF(OR($N511=9,$N511=10,$N511=11),1,IF(OR($N511=12,$N511=1,$N511=2),2,IF(OR($N511=3,$N511=4,$N511=5),3,IF(OR($N511=6,$N511=7,$N511=8),4,"")))))</f>
        <v/>
      </c>
      <c r="P511" s="99"/>
      <c r="Q511" s="62"/>
      <c r="R511" s="62"/>
      <c r="S511" s="51"/>
      <c r="T511" s="51"/>
      <c r="U511" s="51"/>
      <c r="V511" s="51"/>
      <c r="W511" s="51"/>
      <c r="X511" s="51"/>
      <c r="Y511" s="51"/>
      <c r="Z511" s="51"/>
      <c r="AA511" s="51"/>
      <c r="AB511" s="51"/>
      <c r="AC511" s="51"/>
      <c r="AD511" s="51"/>
      <c r="AE511" s="51"/>
      <c r="AF511" s="51"/>
      <c r="AG511" s="51"/>
      <c r="AH511" s="94"/>
      <c r="AI511" s="94"/>
      <c r="AJ511" s="94"/>
      <c r="AK511" s="94"/>
      <c r="AL511" s="94"/>
      <c r="AM511" s="94"/>
      <c r="AN511" s="94"/>
      <c r="AO511" s="95"/>
      <c r="AP511" s="686">
        <f t="shared" si="61"/>
        <v>0</v>
      </c>
      <c r="AQ511" s="42"/>
      <c r="AR511" s="42"/>
      <c r="AS511" s="42"/>
      <c r="AT511" s="43"/>
      <c r="AU511" s="687">
        <f t="shared" si="62"/>
        <v>0</v>
      </c>
      <c r="AV511" s="42"/>
      <c r="AW511" s="42"/>
      <c r="AX511" s="42"/>
      <c r="AY511" s="43"/>
      <c r="AZ511" s="486"/>
      <c r="BA511" s="51"/>
      <c r="BB511" s="51"/>
      <c r="BC511" s="51"/>
      <c r="BD511" s="51"/>
      <c r="BE511" s="51"/>
      <c r="BF511" s="51"/>
      <c r="BG511" s="51"/>
      <c r="BH511" s="94"/>
      <c r="BI511" s="94"/>
      <c r="BJ511" s="94"/>
      <c r="BK511" s="94"/>
      <c r="BL511" s="94"/>
      <c r="BM511" s="483"/>
      <c r="BN511" s="94"/>
      <c r="BO511" s="94"/>
      <c r="BP511" s="94"/>
      <c r="BQ511" s="94"/>
      <c r="BR511" s="94"/>
      <c r="BS511" s="94"/>
      <c r="BT511" s="94"/>
      <c r="BU511" s="94"/>
      <c r="BV511" s="94"/>
      <c r="BW511" s="688">
        <f t="shared" si="58"/>
        <v>0</v>
      </c>
      <c r="BX511" s="51"/>
      <c r="BY511" s="51"/>
      <c r="BZ511" s="51"/>
      <c r="CA511" s="51"/>
      <c r="CB511" s="51"/>
      <c r="CC511" s="51"/>
      <c r="CD511" s="97"/>
      <c r="CE511" s="479"/>
      <c r="CF511" s="51"/>
      <c r="CG511" s="51"/>
      <c r="CH511" s="62"/>
      <c r="CI511" s="62"/>
      <c r="CJ511" s="51"/>
      <c r="CK511" s="51"/>
      <c r="CL511" s="95"/>
      <c r="CM511" s="93"/>
      <c r="CN511" s="51"/>
      <c r="CO511" s="51"/>
      <c r="CP511" s="51"/>
      <c r="CQ511" s="51"/>
      <c r="CR511" s="51"/>
      <c r="CS511" s="51"/>
      <c r="CT511" s="51"/>
      <c r="CU511" s="95"/>
      <c r="CV511" s="93"/>
      <c r="CW511" s="51"/>
      <c r="CX511" s="51"/>
      <c r="CY511" s="51"/>
      <c r="CZ511" s="51"/>
      <c r="DA511" s="51"/>
      <c r="DB511" s="51"/>
      <c r="DC511" s="51"/>
      <c r="DD511" s="95"/>
      <c r="DE511" s="93"/>
      <c r="DF511" s="51"/>
      <c r="DG511" s="51"/>
      <c r="DH511" s="51"/>
      <c r="DI511" s="51"/>
      <c r="DJ511" s="51"/>
      <c r="DK511" s="51"/>
      <c r="DL511" s="95"/>
      <c r="DM511" s="478"/>
      <c r="DN511" s="682">
        <f t="shared" si="63"/>
        <v>0</v>
      </c>
      <c r="DO511" s="683"/>
    </row>
    <row r="512" spans="1:119" ht="25.5" customHeight="1" thickTop="1" thickBot="1" x14ac:dyDescent="0.2">
      <c r="A512" s="676">
        <f t="shared" si="59"/>
        <v>497</v>
      </c>
      <c r="B512" s="1054"/>
      <c r="C512" s="1055"/>
      <c r="D512" s="83"/>
      <c r="E512" s="954"/>
      <c r="F512" s="52"/>
      <c r="G512" s="103"/>
      <c r="H512" s="1058"/>
      <c r="I512" s="684" t="str">
        <f t="shared" si="56"/>
        <v/>
      </c>
      <c r="J512" s="685">
        <f t="shared" si="57"/>
        <v>0</v>
      </c>
      <c r="K512" s="1258"/>
      <c r="L512" s="1251"/>
      <c r="M512" s="1257"/>
      <c r="N512" s="719" t="str">
        <f t="shared" si="60"/>
        <v/>
      </c>
      <c r="O512" s="720" t="str">
        <f>IF('Set up ~ Config'!$G$32=6,IF(OR($N512=7,$N512=8,$N512=9),1,IF(OR($N512=10,$N512=11,$N512=12),2,IF(OR($N512=1,$N512=2,$N512=3),3,IF(OR($N512=4,$N512=5,$N512=6),4,"")))),IF(OR($N512=9,$N512=10,$N512=11),1,IF(OR($N512=12,$N512=1,$N512=2),2,IF(OR($N512=3,$N512=4,$N512=5),3,IF(OR($N512=6,$N512=7,$N512=8),4,"")))))</f>
        <v/>
      </c>
      <c r="P512" s="99"/>
      <c r="Q512" s="62"/>
      <c r="R512" s="62"/>
      <c r="S512" s="51"/>
      <c r="T512" s="51"/>
      <c r="U512" s="51"/>
      <c r="V512" s="51"/>
      <c r="W512" s="51"/>
      <c r="X512" s="51"/>
      <c r="Y512" s="51"/>
      <c r="Z512" s="51"/>
      <c r="AA512" s="51"/>
      <c r="AB512" s="51"/>
      <c r="AC512" s="51"/>
      <c r="AD512" s="51"/>
      <c r="AE512" s="51"/>
      <c r="AF512" s="51"/>
      <c r="AG512" s="51"/>
      <c r="AH512" s="94"/>
      <c r="AI512" s="94"/>
      <c r="AJ512" s="94"/>
      <c r="AK512" s="94"/>
      <c r="AL512" s="94"/>
      <c r="AM512" s="94"/>
      <c r="AN512" s="94"/>
      <c r="AO512" s="95"/>
      <c r="AP512" s="686">
        <f t="shared" si="61"/>
        <v>0</v>
      </c>
      <c r="AQ512" s="42"/>
      <c r="AR512" s="42"/>
      <c r="AS512" s="42"/>
      <c r="AT512" s="43"/>
      <c r="AU512" s="687">
        <f t="shared" si="62"/>
        <v>0</v>
      </c>
      <c r="AV512" s="42"/>
      <c r="AW512" s="42"/>
      <c r="AX512" s="42"/>
      <c r="AY512" s="43"/>
      <c r="AZ512" s="486"/>
      <c r="BA512" s="51"/>
      <c r="BB512" s="51"/>
      <c r="BC512" s="51"/>
      <c r="BD512" s="51"/>
      <c r="BE512" s="51"/>
      <c r="BF512" s="51"/>
      <c r="BG512" s="51"/>
      <c r="BH512" s="94"/>
      <c r="BI512" s="94"/>
      <c r="BJ512" s="94"/>
      <c r="BK512" s="94"/>
      <c r="BL512" s="94"/>
      <c r="BM512" s="483"/>
      <c r="BN512" s="94"/>
      <c r="BO512" s="94"/>
      <c r="BP512" s="94"/>
      <c r="BQ512" s="94"/>
      <c r="BR512" s="94"/>
      <c r="BS512" s="94"/>
      <c r="BT512" s="94"/>
      <c r="BU512" s="94"/>
      <c r="BV512" s="94"/>
      <c r="BW512" s="688">
        <f t="shared" si="58"/>
        <v>0</v>
      </c>
      <c r="BX512" s="51"/>
      <c r="BY512" s="51"/>
      <c r="BZ512" s="51"/>
      <c r="CA512" s="51"/>
      <c r="CB512" s="51"/>
      <c r="CC512" s="51"/>
      <c r="CD512" s="97"/>
      <c r="CE512" s="479"/>
      <c r="CF512" s="51"/>
      <c r="CG512" s="51"/>
      <c r="CH512" s="62"/>
      <c r="CI512" s="62"/>
      <c r="CJ512" s="51"/>
      <c r="CK512" s="51"/>
      <c r="CL512" s="95"/>
      <c r="CM512" s="93"/>
      <c r="CN512" s="51"/>
      <c r="CO512" s="51"/>
      <c r="CP512" s="51"/>
      <c r="CQ512" s="51"/>
      <c r="CR512" s="51"/>
      <c r="CS512" s="51"/>
      <c r="CT512" s="51"/>
      <c r="CU512" s="95"/>
      <c r="CV512" s="93"/>
      <c r="CW512" s="51"/>
      <c r="CX512" s="51"/>
      <c r="CY512" s="51"/>
      <c r="CZ512" s="51"/>
      <c r="DA512" s="51"/>
      <c r="DB512" s="51"/>
      <c r="DC512" s="51"/>
      <c r="DD512" s="95"/>
      <c r="DE512" s="93"/>
      <c r="DF512" s="51"/>
      <c r="DG512" s="51"/>
      <c r="DH512" s="51"/>
      <c r="DI512" s="51"/>
      <c r="DJ512" s="51"/>
      <c r="DK512" s="51"/>
      <c r="DL512" s="95"/>
      <c r="DM512" s="478"/>
      <c r="DN512" s="682">
        <f t="shared" si="63"/>
        <v>0</v>
      </c>
      <c r="DO512" s="683"/>
    </row>
    <row r="513" spans="1:119" ht="25.5" customHeight="1" thickTop="1" thickBot="1" x14ac:dyDescent="0.2">
      <c r="A513" s="676">
        <f t="shared" si="59"/>
        <v>498</v>
      </c>
      <c r="B513" s="1054"/>
      <c r="C513" s="1055"/>
      <c r="D513" s="83"/>
      <c r="E513" s="954"/>
      <c r="F513" s="52"/>
      <c r="G513" s="103"/>
      <c r="H513" s="1058"/>
      <c r="I513" s="684" t="str">
        <f t="shared" si="56"/>
        <v/>
      </c>
      <c r="J513" s="685">
        <f t="shared" si="57"/>
        <v>0</v>
      </c>
      <c r="K513" s="1258"/>
      <c r="L513" s="1251"/>
      <c r="M513" s="1257"/>
      <c r="N513" s="719" t="str">
        <f t="shared" si="60"/>
        <v/>
      </c>
      <c r="O513" s="720" t="str">
        <f>IF('Set up ~ Config'!$G$32=6,IF(OR($N513=7,$N513=8,$N513=9),1,IF(OR($N513=10,$N513=11,$N513=12),2,IF(OR($N513=1,$N513=2,$N513=3),3,IF(OR($N513=4,$N513=5,$N513=6),4,"")))),IF(OR($N513=9,$N513=10,$N513=11),1,IF(OR($N513=12,$N513=1,$N513=2),2,IF(OR($N513=3,$N513=4,$N513=5),3,IF(OR($N513=6,$N513=7,$N513=8),4,"")))))</f>
        <v/>
      </c>
      <c r="P513" s="99"/>
      <c r="Q513" s="62"/>
      <c r="R513" s="62"/>
      <c r="S513" s="51"/>
      <c r="T513" s="51"/>
      <c r="U513" s="51"/>
      <c r="V513" s="51"/>
      <c r="W513" s="51"/>
      <c r="X513" s="51"/>
      <c r="Y513" s="51"/>
      <c r="Z513" s="51"/>
      <c r="AA513" s="51"/>
      <c r="AB513" s="51"/>
      <c r="AC513" s="51"/>
      <c r="AD513" s="51"/>
      <c r="AE513" s="51"/>
      <c r="AF513" s="51"/>
      <c r="AG513" s="51"/>
      <c r="AH513" s="94"/>
      <c r="AI513" s="94"/>
      <c r="AJ513" s="94"/>
      <c r="AK513" s="94"/>
      <c r="AL513" s="94"/>
      <c r="AM513" s="94"/>
      <c r="AN513" s="94"/>
      <c r="AO513" s="95"/>
      <c r="AP513" s="686">
        <f t="shared" si="61"/>
        <v>0</v>
      </c>
      <c r="AQ513" s="42"/>
      <c r="AR513" s="42"/>
      <c r="AS513" s="42"/>
      <c r="AT513" s="43"/>
      <c r="AU513" s="687">
        <f t="shared" si="62"/>
        <v>0</v>
      </c>
      <c r="AV513" s="42"/>
      <c r="AW513" s="42"/>
      <c r="AX513" s="42"/>
      <c r="AY513" s="43"/>
      <c r="AZ513" s="486"/>
      <c r="BA513" s="51"/>
      <c r="BB513" s="51"/>
      <c r="BC513" s="51"/>
      <c r="BD513" s="51"/>
      <c r="BE513" s="51"/>
      <c r="BF513" s="51"/>
      <c r="BG513" s="51"/>
      <c r="BH513" s="94"/>
      <c r="BI513" s="94"/>
      <c r="BJ513" s="94"/>
      <c r="BK513" s="94"/>
      <c r="BL513" s="94"/>
      <c r="BM513" s="483"/>
      <c r="BN513" s="94"/>
      <c r="BO513" s="94"/>
      <c r="BP513" s="94"/>
      <c r="BQ513" s="94"/>
      <c r="BR513" s="94"/>
      <c r="BS513" s="94"/>
      <c r="BT513" s="94"/>
      <c r="BU513" s="94"/>
      <c r="BV513" s="94"/>
      <c r="BW513" s="688">
        <f t="shared" si="58"/>
        <v>0</v>
      </c>
      <c r="BX513" s="51"/>
      <c r="BY513" s="51"/>
      <c r="BZ513" s="51"/>
      <c r="CA513" s="51"/>
      <c r="CB513" s="51"/>
      <c r="CC513" s="51"/>
      <c r="CD513" s="97"/>
      <c r="CE513" s="479"/>
      <c r="CF513" s="51"/>
      <c r="CG513" s="51"/>
      <c r="CH513" s="62"/>
      <c r="CI513" s="62"/>
      <c r="CJ513" s="51"/>
      <c r="CK513" s="51"/>
      <c r="CL513" s="95"/>
      <c r="CM513" s="93"/>
      <c r="CN513" s="51"/>
      <c r="CO513" s="51"/>
      <c r="CP513" s="51"/>
      <c r="CQ513" s="51"/>
      <c r="CR513" s="51"/>
      <c r="CS513" s="51"/>
      <c r="CT513" s="51"/>
      <c r="CU513" s="95"/>
      <c r="CV513" s="93"/>
      <c r="CW513" s="51"/>
      <c r="CX513" s="51"/>
      <c r="CY513" s="51"/>
      <c r="CZ513" s="51"/>
      <c r="DA513" s="51"/>
      <c r="DB513" s="51"/>
      <c r="DC513" s="51"/>
      <c r="DD513" s="95"/>
      <c r="DE513" s="93"/>
      <c r="DF513" s="51"/>
      <c r="DG513" s="51"/>
      <c r="DH513" s="51"/>
      <c r="DI513" s="51"/>
      <c r="DJ513" s="51"/>
      <c r="DK513" s="51"/>
      <c r="DL513" s="95"/>
      <c r="DM513" s="478"/>
      <c r="DN513" s="682">
        <f t="shared" si="63"/>
        <v>0</v>
      </c>
      <c r="DO513" s="683"/>
    </row>
    <row r="514" spans="1:119" ht="25.5" customHeight="1" thickTop="1" thickBot="1" x14ac:dyDescent="0.2">
      <c r="A514" s="676">
        <f t="shared" si="59"/>
        <v>499</v>
      </c>
      <c r="B514" s="1054"/>
      <c r="C514" s="1055"/>
      <c r="D514" s="83"/>
      <c r="E514" s="954"/>
      <c r="F514" s="52"/>
      <c r="G514" s="103"/>
      <c r="H514" s="1058"/>
      <c r="I514" s="684" t="str">
        <f t="shared" si="56"/>
        <v/>
      </c>
      <c r="J514" s="685">
        <f t="shared" si="57"/>
        <v>0</v>
      </c>
      <c r="K514" s="1258"/>
      <c r="L514" s="1251"/>
      <c r="M514" s="1257"/>
      <c r="N514" s="719" t="str">
        <f t="shared" si="60"/>
        <v/>
      </c>
      <c r="O514" s="720" t="str">
        <f>IF('Set up ~ Config'!$G$32=6,IF(OR($N514=7,$N514=8,$N514=9),1,IF(OR($N514=10,$N514=11,$N514=12),2,IF(OR($N514=1,$N514=2,$N514=3),3,IF(OR($N514=4,$N514=5,$N514=6),4,"")))),IF(OR($N514=9,$N514=10,$N514=11),1,IF(OR($N514=12,$N514=1,$N514=2),2,IF(OR($N514=3,$N514=4,$N514=5),3,IF(OR($N514=6,$N514=7,$N514=8),4,"")))))</f>
        <v/>
      </c>
      <c r="P514" s="99"/>
      <c r="Q514" s="62"/>
      <c r="R514" s="62"/>
      <c r="S514" s="51"/>
      <c r="T514" s="51"/>
      <c r="U514" s="51"/>
      <c r="V514" s="51"/>
      <c r="W514" s="51"/>
      <c r="X514" s="51"/>
      <c r="Y514" s="51"/>
      <c r="Z514" s="51"/>
      <c r="AA514" s="51"/>
      <c r="AB514" s="51"/>
      <c r="AC514" s="51"/>
      <c r="AD514" s="51"/>
      <c r="AE514" s="51"/>
      <c r="AF514" s="51"/>
      <c r="AG514" s="51"/>
      <c r="AH514" s="94"/>
      <c r="AI514" s="94"/>
      <c r="AJ514" s="94"/>
      <c r="AK514" s="94"/>
      <c r="AL514" s="94"/>
      <c r="AM514" s="94"/>
      <c r="AN514" s="94"/>
      <c r="AO514" s="95"/>
      <c r="AP514" s="686">
        <f t="shared" si="61"/>
        <v>0</v>
      </c>
      <c r="AQ514" s="42"/>
      <c r="AR514" s="42"/>
      <c r="AS514" s="42"/>
      <c r="AT514" s="43"/>
      <c r="AU514" s="687">
        <f t="shared" si="62"/>
        <v>0</v>
      </c>
      <c r="AV514" s="42"/>
      <c r="AW514" s="42"/>
      <c r="AX514" s="42"/>
      <c r="AY514" s="43"/>
      <c r="AZ514" s="486"/>
      <c r="BA514" s="51"/>
      <c r="BB514" s="51"/>
      <c r="BC514" s="51"/>
      <c r="BD514" s="51"/>
      <c r="BE514" s="51"/>
      <c r="BF514" s="51"/>
      <c r="BG514" s="51"/>
      <c r="BH514" s="94"/>
      <c r="BI514" s="94"/>
      <c r="BJ514" s="94"/>
      <c r="BK514" s="94"/>
      <c r="BL514" s="94"/>
      <c r="BM514" s="483"/>
      <c r="BN514" s="94"/>
      <c r="BO514" s="94"/>
      <c r="BP514" s="94"/>
      <c r="BQ514" s="94"/>
      <c r="BR514" s="94"/>
      <c r="BS514" s="94"/>
      <c r="BT514" s="94"/>
      <c r="BU514" s="94"/>
      <c r="BV514" s="94"/>
      <c r="BW514" s="688">
        <f t="shared" si="58"/>
        <v>0</v>
      </c>
      <c r="BX514" s="51"/>
      <c r="BY514" s="51"/>
      <c r="BZ514" s="51"/>
      <c r="CA514" s="51"/>
      <c r="CB514" s="51"/>
      <c r="CC514" s="51"/>
      <c r="CD514" s="97"/>
      <c r="CE514" s="479"/>
      <c r="CF514" s="51"/>
      <c r="CG514" s="51"/>
      <c r="CH514" s="62"/>
      <c r="CI514" s="62"/>
      <c r="CJ514" s="51"/>
      <c r="CK514" s="51"/>
      <c r="CL514" s="95"/>
      <c r="CM514" s="93"/>
      <c r="CN514" s="51"/>
      <c r="CO514" s="51"/>
      <c r="CP514" s="51"/>
      <c r="CQ514" s="51"/>
      <c r="CR514" s="51"/>
      <c r="CS514" s="51"/>
      <c r="CT514" s="51"/>
      <c r="CU514" s="95"/>
      <c r="CV514" s="93"/>
      <c r="CW514" s="51"/>
      <c r="CX514" s="51"/>
      <c r="CY514" s="51"/>
      <c r="CZ514" s="51"/>
      <c r="DA514" s="51"/>
      <c r="DB514" s="51"/>
      <c r="DC514" s="51"/>
      <c r="DD514" s="95"/>
      <c r="DE514" s="93"/>
      <c r="DF514" s="51"/>
      <c r="DG514" s="51"/>
      <c r="DH514" s="51"/>
      <c r="DI514" s="51"/>
      <c r="DJ514" s="51"/>
      <c r="DK514" s="51"/>
      <c r="DL514" s="95"/>
      <c r="DM514" s="478"/>
      <c r="DN514" s="682">
        <f t="shared" si="63"/>
        <v>0</v>
      </c>
      <c r="DO514" s="683"/>
    </row>
    <row r="515" spans="1:119" ht="25.5" customHeight="1" thickTop="1" thickBot="1" x14ac:dyDescent="0.2">
      <c r="A515" s="676">
        <f t="shared" si="59"/>
        <v>500</v>
      </c>
      <c r="B515" s="1054"/>
      <c r="C515" s="1055"/>
      <c r="D515" s="83"/>
      <c r="E515" s="954"/>
      <c r="F515" s="52"/>
      <c r="G515" s="103"/>
      <c r="H515" s="1058"/>
      <c r="I515" s="689" t="str">
        <f t="shared" si="56"/>
        <v/>
      </c>
      <c r="J515" s="685">
        <f t="shared" si="57"/>
        <v>0</v>
      </c>
      <c r="K515" s="1258"/>
      <c r="L515" s="1251"/>
      <c r="M515" s="1257"/>
      <c r="N515" s="719" t="str">
        <f t="shared" si="60"/>
        <v/>
      </c>
      <c r="O515" s="720" t="str">
        <f>IF('Set up ~ Config'!$G$32=6,IF(OR($N515=7,$N515=8,$N515=9),1,IF(OR($N515=10,$N515=11,$N515=12),2,IF(OR($N515=1,$N515=2,$N515=3),3,IF(OR($N515=4,$N515=5,$N515=6),4,"")))),IF(OR($N515=9,$N515=10,$N515=11),1,IF(OR($N515=12,$N515=1,$N515=2),2,IF(OR($N515=3,$N515=4,$N515=5),3,IF(OR($N515=6,$N515=7,$N515=8),4,"")))))</f>
        <v/>
      </c>
      <c r="P515" s="99"/>
      <c r="Q515" s="62"/>
      <c r="R515" s="62"/>
      <c r="S515" s="51"/>
      <c r="T515" s="51"/>
      <c r="U515" s="51"/>
      <c r="V515" s="51"/>
      <c r="W515" s="51"/>
      <c r="X515" s="51"/>
      <c r="Y515" s="51"/>
      <c r="Z515" s="51"/>
      <c r="AA515" s="51"/>
      <c r="AB515" s="51"/>
      <c r="AC515" s="51"/>
      <c r="AD515" s="51"/>
      <c r="AE515" s="51"/>
      <c r="AF515" s="51"/>
      <c r="AG515" s="51"/>
      <c r="AH515" s="94"/>
      <c r="AI515" s="94"/>
      <c r="AJ515" s="94"/>
      <c r="AK515" s="94"/>
      <c r="AL515" s="94"/>
      <c r="AM515" s="94"/>
      <c r="AN515" s="94"/>
      <c r="AO515" s="95"/>
      <c r="AP515" s="690">
        <f t="shared" si="61"/>
        <v>0</v>
      </c>
      <c r="AQ515" s="42"/>
      <c r="AR515" s="42"/>
      <c r="AS515" s="42"/>
      <c r="AT515" s="43"/>
      <c r="AU515" s="691">
        <f t="shared" si="62"/>
        <v>0</v>
      </c>
      <c r="AV515" s="42"/>
      <c r="AW515" s="42"/>
      <c r="AX515" s="42"/>
      <c r="AY515" s="43"/>
      <c r="AZ515" s="486"/>
      <c r="BA515" s="51"/>
      <c r="BB515" s="51"/>
      <c r="BC515" s="51"/>
      <c r="BD515" s="51"/>
      <c r="BE515" s="51"/>
      <c r="BF515" s="51"/>
      <c r="BG515" s="51"/>
      <c r="BH515" s="94"/>
      <c r="BI515" s="94"/>
      <c r="BJ515" s="94"/>
      <c r="BK515" s="94"/>
      <c r="BL515" s="94"/>
      <c r="BM515" s="483"/>
      <c r="BN515" s="94"/>
      <c r="BO515" s="94"/>
      <c r="BP515" s="94"/>
      <c r="BQ515" s="94"/>
      <c r="BR515" s="94"/>
      <c r="BS515" s="94"/>
      <c r="BT515" s="94"/>
      <c r="BU515" s="94"/>
      <c r="BV515" s="94"/>
      <c r="BW515" s="688">
        <f t="shared" si="58"/>
        <v>0</v>
      </c>
      <c r="BX515" s="51"/>
      <c r="BY515" s="51"/>
      <c r="BZ515" s="51"/>
      <c r="CA515" s="51"/>
      <c r="CB515" s="51"/>
      <c r="CC515" s="51"/>
      <c r="CD515" s="481"/>
      <c r="CE515" s="479"/>
      <c r="CF515" s="51"/>
      <c r="CG515" s="51"/>
      <c r="CH515" s="62"/>
      <c r="CI515" s="62"/>
      <c r="CJ515" s="51"/>
      <c r="CK515" s="51"/>
      <c r="CL515" s="104"/>
      <c r="CM515" s="105"/>
      <c r="CN515" s="106"/>
      <c r="CO515" s="106"/>
      <c r="CP515" s="106"/>
      <c r="CQ515" s="106"/>
      <c r="CR515" s="106"/>
      <c r="CS515" s="106"/>
      <c r="CT515" s="106"/>
      <c r="CU515" s="107"/>
      <c r="CV515" s="93"/>
      <c r="CW515" s="51"/>
      <c r="CX515" s="51"/>
      <c r="CY515" s="51"/>
      <c r="CZ515" s="51"/>
      <c r="DA515" s="51"/>
      <c r="DB515" s="51"/>
      <c r="DC515" s="51"/>
      <c r="DD515" s="95"/>
      <c r="DE515" s="93"/>
      <c r="DF515" s="51"/>
      <c r="DG515" s="51"/>
      <c r="DH515" s="51"/>
      <c r="DI515" s="51"/>
      <c r="DJ515" s="51"/>
      <c r="DK515" s="51"/>
      <c r="DL515" s="95"/>
      <c r="DM515" s="478"/>
      <c r="DN515" s="682">
        <f t="shared" si="63"/>
        <v>0</v>
      </c>
      <c r="DO515" s="605"/>
    </row>
    <row r="516" spans="1:119" ht="14" thickBot="1" x14ac:dyDescent="0.2">
      <c r="D516" s="1482" t="str">
        <f>IF(D4=2,"TOTAUX","TOTALS")</f>
        <v>TOTALS</v>
      </c>
      <c r="E516" s="1482"/>
      <c r="F516" s="1482"/>
      <c r="G516" s="692">
        <f>SUM(G16:G515)</f>
        <v>0</v>
      </c>
      <c r="H516" s="693"/>
      <c r="I516" s="694"/>
      <c r="J516" s="695">
        <f>+SUM(J16:J515)</f>
        <v>0</v>
      </c>
      <c r="K516" s="1259">
        <f>+SUM(K16:K515)</f>
        <v>0</v>
      </c>
      <c r="L516" s="1259">
        <f>+SUM(L16:L515)</f>
        <v>0</v>
      </c>
      <c r="M516" s="1260">
        <f>+SUM(M16:M515)</f>
        <v>0</v>
      </c>
      <c r="N516" s="696"/>
      <c r="O516" s="696"/>
      <c r="P516" s="697">
        <f t="shared" ref="P516:BD516" si="64">+SUM(P16:P515)</f>
        <v>0</v>
      </c>
      <c r="Q516" s="698">
        <f t="shared" si="64"/>
        <v>0</v>
      </c>
      <c r="R516" s="698">
        <f t="shared" si="64"/>
        <v>0</v>
      </c>
      <c r="S516" s="698">
        <f t="shared" si="64"/>
        <v>0</v>
      </c>
      <c r="T516" s="698">
        <f t="shared" si="64"/>
        <v>0</v>
      </c>
      <c r="U516" s="698">
        <f t="shared" si="64"/>
        <v>0</v>
      </c>
      <c r="V516" s="698">
        <f t="shared" si="64"/>
        <v>0</v>
      </c>
      <c r="W516" s="698">
        <f t="shared" si="64"/>
        <v>0</v>
      </c>
      <c r="X516" s="698">
        <f t="shared" si="64"/>
        <v>0</v>
      </c>
      <c r="Y516" s="698">
        <f t="shared" si="64"/>
        <v>0</v>
      </c>
      <c r="Z516" s="698">
        <f t="shared" si="64"/>
        <v>0</v>
      </c>
      <c r="AA516" s="698">
        <f t="shared" si="64"/>
        <v>0</v>
      </c>
      <c r="AB516" s="698">
        <f t="shared" si="64"/>
        <v>0</v>
      </c>
      <c r="AC516" s="698">
        <f t="shared" si="64"/>
        <v>0</v>
      </c>
      <c r="AD516" s="698">
        <f t="shared" si="64"/>
        <v>0</v>
      </c>
      <c r="AE516" s="698">
        <f t="shared" si="64"/>
        <v>0</v>
      </c>
      <c r="AF516" s="698">
        <f t="shared" si="64"/>
        <v>0</v>
      </c>
      <c r="AG516" s="698">
        <f t="shared" si="64"/>
        <v>0</v>
      </c>
      <c r="AH516" s="698">
        <f t="shared" si="64"/>
        <v>0</v>
      </c>
      <c r="AI516" s="698">
        <f t="shared" si="64"/>
        <v>0</v>
      </c>
      <c r="AJ516" s="698">
        <f t="shared" si="64"/>
        <v>0</v>
      </c>
      <c r="AK516" s="698">
        <f t="shared" si="64"/>
        <v>0</v>
      </c>
      <c r="AL516" s="698">
        <f t="shared" si="64"/>
        <v>0</v>
      </c>
      <c r="AM516" s="698">
        <f t="shared" si="64"/>
        <v>0</v>
      </c>
      <c r="AN516" s="698">
        <f t="shared" si="64"/>
        <v>0</v>
      </c>
      <c r="AO516" s="699">
        <f t="shared" si="64"/>
        <v>0</v>
      </c>
      <c r="AP516" s="700">
        <f t="shared" si="64"/>
        <v>0</v>
      </c>
      <c r="AQ516" s="701">
        <f t="shared" si="64"/>
        <v>0</v>
      </c>
      <c r="AR516" s="701">
        <f t="shared" si="64"/>
        <v>0</v>
      </c>
      <c r="AS516" s="701">
        <f t="shared" si="64"/>
        <v>0</v>
      </c>
      <c r="AT516" s="702">
        <f t="shared" si="64"/>
        <v>0</v>
      </c>
      <c r="AU516" s="703">
        <f t="shared" si="64"/>
        <v>0</v>
      </c>
      <c r="AV516" s="701">
        <f t="shared" si="64"/>
        <v>0</v>
      </c>
      <c r="AW516" s="701">
        <f t="shared" si="64"/>
        <v>0</v>
      </c>
      <c r="AX516" s="701">
        <f t="shared" si="64"/>
        <v>0</v>
      </c>
      <c r="AY516" s="702">
        <f t="shared" si="64"/>
        <v>0</v>
      </c>
      <c r="AZ516" s="704">
        <f t="shared" si="64"/>
        <v>0</v>
      </c>
      <c r="BA516" s="698">
        <f t="shared" si="64"/>
        <v>0</v>
      </c>
      <c r="BB516" s="698">
        <f t="shared" si="64"/>
        <v>0</v>
      </c>
      <c r="BC516" s="698">
        <f t="shared" si="64"/>
        <v>0</v>
      </c>
      <c r="BD516" s="698">
        <f t="shared" si="64"/>
        <v>0</v>
      </c>
      <c r="BE516" s="698">
        <f t="shared" ref="BE516:CX516" si="65">+SUM(BE16:BE515)</f>
        <v>0</v>
      </c>
      <c r="BF516" s="698">
        <f t="shared" si="65"/>
        <v>0</v>
      </c>
      <c r="BG516" s="698">
        <f t="shared" si="65"/>
        <v>0</v>
      </c>
      <c r="BH516" s="698">
        <f t="shared" si="65"/>
        <v>0</v>
      </c>
      <c r="BI516" s="698">
        <f t="shared" si="65"/>
        <v>0</v>
      </c>
      <c r="BJ516" s="698">
        <f t="shared" si="65"/>
        <v>0</v>
      </c>
      <c r="BK516" s="698">
        <f t="shared" si="65"/>
        <v>0</v>
      </c>
      <c r="BL516" s="698">
        <f t="shared" si="65"/>
        <v>0</v>
      </c>
      <c r="BM516" s="698">
        <f t="shared" si="65"/>
        <v>0</v>
      </c>
      <c r="BN516" s="698">
        <f t="shared" si="65"/>
        <v>0</v>
      </c>
      <c r="BO516" s="698">
        <f t="shared" si="65"/>
        <v>0</v>
      </c>
      <c r="BP516" s="698">
        <f t="shared" si="65"/>
        <v>0</v>
      </c>
      <c r="BQ516" s="698">
        <f t="shared" si="65"/>
        <v>0</v>
      </c>
      <c r="BR516" s="698">
        <f t="shared" si="65"/>
        <v>0</v>
      </c>
      <c r="BS516" s="698">
        <f t="shared" si="65"/>
        <v>0</v>
      </c>
      <c r="BT516" s="698">
        <f t="shared" si="65"/>
        <v>0</v>
      </c>
      <c r="BU516" s="698">
        <f t="shared" si="65"/>
        <v>0</v>
      </c>
      <c r="BV516" s="698">
        <f t="shared" si="65"/>
        <v>0</v>
      </c>
      <c r="BW516" s="705">
        <f t="shared" si="65"/>
        <v>0</v>
      </c>
      <c r="BX516" s="698">
        <f t="shared" si="65"/>
        <v>0</v>
      </c>
      <c r="BY516" s="698">
        <f t="shared" si="65"/>
        <v>0</v>
      </c>
      <c r="BZ516" s="698">
        <f t="shared" si="65"/>
        <v>0</v>
      </c>
      <c r="CA516" s="698">
        <f t="shared" si="65"/>
        <v>0</v>
      </c>
      <c r="CB516" s="698">
        <f t="shared" si="65"/>
        <v>0</v>
      </c>
      <c r="CC516" s="698">
        <f t="shared" si="65"/>
        <v>0</v>
      </c>
      <c r="CD516" s="706">
        <f t="shared" si="65"/>
        <v>0</v>
      </c>
      <c r="CE516" s="707">
        <f t="shared" si="65"/>
        <v>0</v>
      </c>
      <c r="CF516" s="698">
        <f t="shared" si="65"/>
        <v>0</v>
      </c>
      <c r="CG516" s="698">
        <f t="shared" si="65"/>
        <v>0</v>
      </c>
      <c r="CH516" s="698">
        <f t="shared" si="65"/>
        <v>0</v>
      </c>
      <c r="CI516" s="698">
        <f t="shared" si="65"/>
        <v>0</v>
      </c>
      <c r="CJ516" s="698">
        <f t="shared" si="65"/>
        <v>0</v>
      </c>
      <c r="CK516" s="698">
        <f t="shared" si="65"/>
        <v>0</v>
      </c>
      <c r="CL516" s="699">
        <f t="shared" si="65"/>
        <v>0</v>
      </c>
      <c r="CM516" s="697">
        <f t="shared" si="65"/>
        <v>0</v>
      </c>
      <c r="CN516" s="698">
        <f t="shared" si="65"/>
        <v>0</v>
      </c>
      <c r="CO516" s="698">
        <f t="shared" si="65"/>
        <v>0</v>
      </c>
      <c r="CP516" s="698">
        <f t="shared" si="65"/>
        <v>0</v>
      </c>
      <c r="CQ516" s="698">
        <f t="shared" si="65"/>
        <v>0</v>
      </c>
      <c r="CR516" s="698">
        <f t="shared" si="65"/>
        <v>0</v>
      </c>
      <c r="CS516" s="698">
        <f t="shared" si="65"/>
        <v>0</v>
      </c>
      <c r="CT516" s="698">
        <f t="shared" si="65"/>
        <v>0</v>
      </c>
      <c r="CU516" s="698">
        <f t="shared" si="65"/>
        <v>0</v>
      </c>
      <c r="CV516" s="697">
        <f t="shared" si="65"/>
        <v>0</v>
      </c>
      <c r="CW516" s="698">
        <f t="shared" si="65"/>
        <v>0</v>
      </c>
      <c r="CX516" s="698">
        <f t="shared" si="65"/>
        <v>0</v>
      </c>
      <c r="CY516" s="698">
        <f t="shared" ref="CY516:DM516" si="66">+SUM(CY16:CY515)</f>
        <v>0</v>
      </c>
      <c r="CZ516" s="698">
        <f t="shared" si="66"/>
        <v>0</v>
      </c>
      <c r="DA516" s="698">
        <f t="shared" si="66"/>
        <v>0</v>
      </c>
      <c r="DB516" s="698">
        <f t="shared" si="66"/>
        <v>0</v>
      </c>
      <c r="DC516" s="698">
        <f t="shared" si="66"/>
        <v>0</v>
      </c>
      <c r="DD516" s="698">
        <f t="shared" si="66"/>
        <v>0</v>
      </c>
      <c r="DE516" s="697">
        <f t="shared" si="66"/>
        <v>0</v>
      </c>
      <c r="DF516" s="698">
        <f t="shared" si="66"/>
        <v>0</v>
      </c>
      <c r="DG516" s="698">
        <f t="shared" si="66"/>
        <v>0</v>
      </c>
      <c r="DH516" s="698">
        <f t="shared" si="66"/>
        <v>0</v>
      </c>
      <c r="DI516" s="698">
        <f t="shared" si="66"/>
        <v>0</v>
      </c>
      <c r="DJ516" s="698">
        <f t="shared" si="66"/>
        <v>0</v>
      </c>
      <c r="DK516" s="698">
        <f t="shared" si="66"/>
        <v>0</v>
      </c>
      <c r="DL516" s="699">
        <f t="shared" si="66"/>
        <v>0</v>
      </c>
      <c r="DM516" s="708">
        <f t="shared" si="66"/>
        <v>0</v>
      </c>
      <c r="DN516" s="1"/>
      <c r="DO516" s="605"/>
    </row>
    <row r="517" spans="1:119" ht="14" thickTop="1" x14ac:dyDescent="0.15">
      <c r="D517" s="1483"/>
      <c r="E517" s="1483"/>
      <c r="F517" s="1483"/>
      <c r="G517" s="82"/>
      <c r="H517" s="18"/>
      <c r="I517" s="18"/>
      <c r="J517" s="18"/>
      <c r="K517" s="18"/>
      <c r="L517" s="18"/>
      <c r="M517" s="18"/>
      <c r="N517" s="18"/>
      <c r="O517" s="18"/>
      <c r="P517" s="79"/>
      <c r="BB517" s="1502"/>
      <c r="BC517" s="1502"/>
      <c r="BD517" s="1502"/>
      <c r="BE517" s="1502"/>
      <c r="BF517" s="1502"/>
      <c r="BG517" s="1502"/>
      <c r="BH517" s="1502"/>
      <c r="BI517" s="22"/>
      <c r="BJ517" s="22"/>
      <c r="BK517" s="22"/>
      <c r="BL517" s="22"/>
      <c r="BM517" s="22"/>
      <c r="BN517" s="22"/>
      <c r="BO517" s="22"/>
      <c r="BP517" s="22"/>
      <c r="BQ517" s="22"/>
      <c r="BR517" s="22"/>
      <c r="BS517" s="22"/>
      <c r="BT517" s="22"/>
      <c r="BU517" s="22"/>
      <c r="BV517" s="22"/>
      <c r="BX517" s="709"/>
      <c r="BY517" s="709"/>
      <c r="BZ517" s="709"/>
      <c r="CA517" s="709"/>
      <c r="CB517" s="709"/>
      <c r="CC517" s="709"/>
      <c r="CD517" s="709"/>
      <c r="CE517" s="709"/>
      <c r="CF517" s="709"/>
      <c r="CG517" s="709"/>
      <c r="CH517" s="709"/>
      <c r="CI517" s="709"/>
      <c r="CJ517" s="709"/>
      <c r="CK517" s="709"/>
      <c r="CL517" s="709"/>
      <c r="CM517" s="709"/>
      <c r="CN517" s="709"/>
      <c r="CO517" s="709"/>
      <c r="CP517" s="709"/>
      <c r="CQ517" s="709"/>
      <c r="CR517" s="709"/>
      <c r="CS517" s="709"/>
      <c r="CT517" s="709"/>
      <c r="CU517" s="709"/>
      <c r="CV517" s="709"/>
      <c r="DN517" s="710"/>
    </row>
    <row r="518" spans="1:119" ht="22.5" customHeight="1" x14ac:dyDescent="0.15">
      <c r="E518" s="1478" t="str">
        <f>IF(D4=2,"Montant total réconcilié","RECONCILED TOTAL")</f>
        <v>RECONCILED TOTAL</v>
      </c>
      <c r="F518" s="1478"/>
      <c r="G518" s="711">
        <f>SUMIF(B16:B515,B6,G16:G515)</f>
        <v>0</v>
      </c>
      <c r="H518" s="108"/>
    </row>
    <row r="519" spans="1:119" x14ac:dyDescent="0.15">
      <c r="E519" s="12"/>
      <c r="G519" s="712"/>
    </row>
    <row r="520" spans="1:119" ht="22.5" customHeight="1" x14ac:dyDescent="0.15">
      <c r="E520" s="1478" t="str">
        <f>IF(D4=2,"Montant total non réconcilié","UNRECONCILED TOTAL")</f>
        <v>UNRECONCILED TOTAL</v>
      </c>
      <c r="F520" s="1478"/>
      <c r="G520" s="711">
        <f>G516-G518</f>
        <v>0</v>
      </c>
      <c r="H520" s="108"/>
      <c r="M520" s="713"/>
      <c r="N520" s="1"/>
      <c r="O520" s="1"/>
      <c r="P520" s="1"/>
    </row>
    <row r="521" spans="1:119" ht="12.75" customHeight="1" x14ac:dyDescent="0.15">
      <c r="E521" s="12"/>
      <c r="G521" s="19"/>
      <c r="H521" s="1500" t="str">
        <f>IF(D4=2,"Montants non-réconciliés","Unreconciled Amounts")</f>
        <v>Unreconciled Amounts</v>
      </c>
      <c r="M521" s="713"/>
      <c r="N521" s="1"/>
      <c r="O521" s="1"/>
      <c r="P521" s="1"/>
    </row>
    <row r="522" spans="1:119" ht="12.75" customHeight="1" x14ac:dyDescent="0.15">
      <c r="E522" s="1501" t="str">
        <f>'Set up ~ Config'!F43</f>
        <v>Asset Accounts</v>
      </c>
      <c r="F522" s="1501"/>
      <c r="G522" s="714">
        <v>988</v>
      </c>
      <c r="H522" s="1500"/>
      <c r="N522" s="1"/>
      <c r="P522" s="1"/>
    </row>
    <row r="523" spans="1:119" ht="22.5" customHeight="1" x14ac:dyDescent="0.15">
      <c r="C523" s="12"/>
      <c r="E523" s="1471" t="str">
        <f>CONCATENATE('Set up ~ Config'!F45&amp;" "&amp;'Set up ~ Config'!G45)</f>
        <v>1010 - Other Cash in hand</v>
      </c>
      <c r="F523" s="1472"/>
      <c r="G523" s="715">
        <f>SUMIF($I$16:$I$515,$N523,$G$16:$G$515)</f>
        <v>0</v>
      </c>
      <c r="H523" s="716">
        <f>SUMIFS($G$16:$G$515,$B$16:$B$515,"",$I$16:$I$515,$N523)</f>
        <v>0</v>
      </c>
      <c r="K523" s="717"/>
      <c r="N523" s="865" t="str">
        <f>'Set up ~ Config'!$AG17</f>
        <v>1010</v>
      </c>
      <c r="O523" s="12" t="str">
        <f t="shared" ref="O523:O567" si="67">E523</f>
        <v>1010 - Other Cash in hand</v>
      </c>
    </row>
    <row r="524" spans="1:119" ht="22.5" customHeight="1" x14ac:dyDescent="0.15">
      <c r="C524" s="12"/>
      <c r="E524" s="1471" t="str">
        <f>CONCATENATE('Set up ~ Config'!F46&amp;" "&amp;'Set up ~ Config'!G46)</f>
        <v>1015 - Main Bank Account</v>
      </c>
      <c r="F524" s="1472"/>
      <c r="G524" s="715">
        <f t="shared" ref="G524:G567" si="68">SUMIF($I$16:$I$515,$N524,$G$16:$G$515)</f>
        <v>0</v>
      </c>
      <c r="H524" s="716">
        <f t="shared" ref="H524:H567" si="69">SUMIFS($G$16:$G$515,$B$16:$B$515,"",$I$16:$I$515,$N524)</f>
        <v>0</v>
      </c>
      <c r="K524" s="717"/>
      <c r="N524" s="865" t="str">
        <f>'Set up ~ Config'!$AG18</f>
        <v>1015</v>
      </c>
      <c r="O524" s="12" t="str">
        <f t="shared" si="67"/>
        <v>1015 - Main Bank Account</v>
      </c>
    </row>
    <row r="525" spans="1:119" ht="22.5" customHeight="1" x14ac:dyDescent="0.15">
      <c r="B525" s="18"/>
      <c r="C525" s="12"/>
      <c r="D525" s="718"/>
      <c r="E525" s="1471" t="str">
        <f>CONCATENATE('Set up ~ Config'!F47&amp;" "&amp;'Set up ~ Config'!G47)</f>
        <v>1020 - Canteen</v>
      </c>
      <c r="F525" s="1472"/>
      <c r="G525" s="715">
        <f t="shared" si="68"/>
        <v>0</v>
      </c>
      <c r="H525" s="716">
        <f t="shared" si="69"/>
        <v>0</v>
      </c>
      <c r="K525" s="717"/>
      <c r="N525" s="865" t="str">
        <f>'Set up ~ Config'!$AG19</f>
        <v>1020</v>
      </c>
      <c r="O525" s="12" t="str">
        <f t="shared" si="67"/>
        <v>1020 - Canteen</v>
      </c>
    </row>
    <row r="526" spans="1:119" ht="22.5" customHeight="1" x14ac:dyDescent="0.15">
      <c r="B526" s="18"/>
      <c r="C526" s="12"/>
      <c r="D526" s="718"/>
      <c r="E526" s="1471" t="str">
        <f>CONCATENATE('Set up ~ Config'!F48&amp;" "&amp;'Set up ~ Config'!G48)</f>
        <v>1025 - Petty Cash</v>
      </c>
      <c r="F526" s="1472"/>
      <c r="G526" s="715">
        <f t="shared" si="68"/>
        <v>0</v>
      </c>
      <c r="H526" s="716">
        <f t="shared" si="69"/>
        <v>0</v>
      </c>
      <c r="K526" s="717"/>
      <c r="N526" s="865" t="str">
        <f>'Set up ~ Config'!$AG20</f>
        <v>1025</v>
      </c>
      <c r="O526" s="12" t="str">
        <f t="shared" si="67"/>
        <v>1025 - Petty Cash</v>
      </c>
    </row>
    <row r="527" spans="1:119" ht="22.5" customHeight="1" x14ac:dyDescent="0.15">
      <c r="B527" s="18"/>
      <c r="C527" s="12"/>
      <c r="D527" s="718"/>
      <c r="E527" s="1471" t="str">
        <f>CONCATENATE('Set up ~ Config'!F49&amp;" "&amp;'Set up ~ Config'!G49)</f>
        <v>1030 - Receivables - Short Term</v>
      </c>
      <c r="F527" s="1472"/>
      <c r="G527" s="715">
        <f t="shared" si="68"/>
        <v>0</v>
      </c>
      <c r="H527" s="716">
        <f t="shared" si="69"/>
        <v>0</v>
      </c>
      <c r="K527" s="717"/>
      <c r="N527" s="865" t="str">
        <f>'Set up ~ Config'!$AG21</f>
        <v>1030</v>
      </c>
      <c r="O527" s="12" t="str">
        <f t="shared" si="67"/>
        <v>1030 - Receivables - Short Term</v>
      </c>
    </row>
    <row r="528" spans="1:119" ht="22.5" customHeight="1" x14ac:dyDescent="0.15">
      <c r="B528" s="18"/>
      <c r="C528" s="12"/>
      <c r="D528" s="718"/>
      <c r="E528" s="1471" t="str">
        <f>CONCATENATE('Set up ~ Config'!F50&amp;" "&amp;'Set up ~ Config'!G50)</f>
        <v>1035 - Disponible ~ Available</v>
      </c>
      <c r="F528" s="1472"/>
      <c r="G528" s="715">
        <f t="shared" si="68"/>
        <v>0</v>
      </c>
      <c r="H528" s="716">
        <f t="shared" si="69"/>
        <v>0</v>
      </c>
      <c r="K528" s="717"/>
      <c r="N528" s="865" t="str">
        <f>'Set up ~ Config'!$AG22</f>
        <v>1035</v>
      </c>
      <c r="O528" s="12" t="str">
        <f t="shared" si="67"/>
        <v>1035 - Disponible ~ Available</v>
      </c>
    </row>
    <row r="529" spans="2:15" ht="22.5" customHeight="1" x14ac:dyDescent="0.15">
      <c r="B529" s="18"/>
      <c r="C529" s="12"/>
      <c r="D529" s="718"/>
      <c r="E529" s="1471" t="str">
        <f>CONCATENATE('Set up ~ Config'!F51&amp;" "&amp;'Set up ~ Config'!G51)</f>
        <v>1040 - Disponible ~ Available</v>
      </c>
      <c r="F529" s="1472"/>
      <c r="G529" s="715">
        <f t="shared" si="68"/>
        <v>0</v>
      </c>
      <c r="H529" s="716">
        <f t="shared" si="69"/>
        <v>0</v>
      </c>
      <c r="K529" s="717"/>
      <c r="N529" s="865" t="str">
        <f>'Set up ~ Config'!$AG23</f>
        <v>1040</v>
      </c>
      <c r="O529" s="12" t="str">
        <f t="shared" si="67"/>
        <v>1040 - Disponible ~ Available</v>
      </c>
    </row>
    <row r="530" spans="2:15" ht="22.5" customHeight="1" x14ac:dyDescent="0.15">
      <c r="B530" s="18"/>
      <c r="C530" s="12"/>
      <c r="D530" s="718"/>
      <c r="E530" s="1471" t="str">
        <f>CONCATENATE('Set up ~ Config'!F52&amp;" "&amp;'Set up ~ Config'!G52)</f>
        <v>1045 - Disponible ~ Available</v>
      </c>
      <c r="F530" s="1472"/>
      <c r="G530" s="715">
        <f t="shared" si="68"/>
        <v>0</v>
      </c>
      <c r="H530" s="716">
        <f t="shared" si="69"/>
        <v>0</v>
      </c>
      <c r="K530" s="717"/>
      <c r="N530" s="865" t="str">
        <f>'Set up ~ Config'!$AG24</f>
        <v>1045</v>
      </c>
      <c r="O530" s="12" t="str">
        <f t="shared" si="67"/>
        <v>1045 - Disponible ~ Available</v>
      </c>
    </row>
    <row r="531" spans="2:15" ht="22.5" customHeight="1" x14ac:dyDescent="0.15">
      <c r="C531" s="12"/>
      <c r="D531" s="718"/>
      <c r="E531" s="1471" t="str">
        <f>CONCATENATE('Set up ~ Config'!F53&amp;" "&amp;'Set up ~ Config'!G53)</f>
        <v>1050 - Disponible ~ Available</v>
      </c>
      <c r="F531" s="1472"/>
      <c r="G531" s="715">
        <f t="shared" si="68"/>
        <v>0</v>
      </c>
      <c r="H531" s="716">
        <f t="shared" si="69"/>
        <v>0</v>
      </c>
      <c r="K531" s="717"/>
      <c r="N531" s="865" t="str">
        <f>'Set up ~ Config'!$AG25</f>
        <v>1050</v>
      </c>
      <c r="O531" s="12" t="str">
        <f t="shared" si="67"/>
        <v>1050 - Disponible ~ Available</v>
      </c>
    </row>
    <row r="532" spans="2:15" ht="22.5" customHeight="1" x14ac:dyDescent="0.15">
      <c r="C532" s="12"/>
      <c r="E532" s="1471" t="str">
        <f>CONCATENATE('Set up ~ Config'!F54&amp;" "&amp;'Set up ~ Config'!G54)</f>
        <v>1055 - Disponible ~ Available</v>
      </c>
      <c r="F532" s="1472"/>
      <c r="G532" s="715">
        <f t="shared" si="68"/>
        <v>0</v>
      </c>
      <c r="H532" s="716">
        <f t="shared" si="69"/>
        <v>0</v>
      </c>
      <c r="K532" s="717"/>
      <c r="L532" s="604"/>
      <c r="N532" s="865" t="str">
        <f>'Set up ~ Config'!$AG26</f>
        <v>1055</v>
      </c>
      <c r="O532" s="12" t="str">
        <f t="shared" si="67"/>
        <v>1055 - Disponible ~ Available</v>
      </c>
    </row>
    <row r="533" spans="2:15" ht="22.5" customHeight="1" x14ac:dyDescent="0.15">
      <c r="C533" s="12"/>
      <c r="E533" s="1471" t="str">
        <f>CONCATENATE('Set up ~ Config'!F55&amp;" "&amp;'Set up ~ Config'!G55)</f>
        <v>1060 - Disponible ~ Available</v>
      </c>
      <c r="F533" s="1472"/>
      <c r="G533" s="715">
        <f t="shared" si="68"/>
        <v>0</v>
      </c>
      <c r="H533" s="716">
        <f t="shared" si="69"/>
        <v>0</v>
      </c>
      <c r="K533" s="717"/>
      <c r="N533" s="865" t="str">
        <f>'Set up ~ Config'!$AG27</f>
        <v>1060</v>
      </c>
      <c r="O533" s="12" t="str">
        <f t="shared" si="67"/>
        <v>1060 - Disponible ~ Available</v>
      </c>
    </row>
    <row r="534" spans="2:15" ht="22.5" customHeight="1" x14ac:dyDescent="0.15">
      <c r="C534" s="12"/>
      <c r="E534" s="1471" t="str">
        <f>CONCATENATE('Set up ~ Config'!F56&amp;" "&amp;'Set up ~ Config'!G56)</f>
        <v>1065 - Disponible ~ Available</v>
      </c>
      <c r="F534" s="1472"/>
      <c r="G534" s="715">
        <f t="shared" si="68"/>
        <v>0</v>
      </c>
      <c r="H534" s="716">
        <f t="shared" si="69"/>
        <v>0</v>
      </c>
      <c r="K534" s="717"/>
      <c r="N534" s="865" t="str">
        <f>'Set up ~ Config'!$AG28</f>
        <v>1065</v>
      </c>
      <c r="O534" s="12" t="str">
        <f t="shared" si="67"/>
        <v>1065 - Disponible ~ Available</v>
      </c>
    </row>
    <row r="535" spans="2:15" ht="22.5" customHeight="1" x14ac:dyDescent="0.15">
      <c r="E535" s="1471" t="str">
        <f>CONCATENATE('Set up ~ Config'!F57&amp;" "&amp;'Set up ~ Config'!G57)</f>
        <v>1070 - Disponible ~ Available</v>
      </c>
      <c r="F535" s="1472"/>
      <c r="G535" s="715">
        <f t="shared" si="68"/>
        <v>0</v>
      </c>
      <c r="H535" s="716">
        <f t="shared" si="69"/>
        <v>0</v>
      </c>
      <c r="K535" s="717"/>
      <c r="N535" s="865" t="str">
        <f>'Set up ~ Config'!$AG29</f>
        <v>1070</v>
      </c>
      <c r="O535" s="12" t="str">
        <f t="shared" si="67"/>
        <v>1070 - Disponible ~ Available</v>
      </c>
    </row>
    <row r="536" spans="2:15" ht="22.5" customHeight="1" x14ac:dyDescent="0.15">
      <c r="E536" s="1471" t="str">
        <f>CONCATENATE('Set up ~ Config'!F58&amp;" "&amp;'Set up ~ Config'!G58)</f>
        <v>1075 - Disponible ~ Available</v>
      </c>
      <c r="F536" s="1472"/>
      <c r="G536" s="715">
        <f t="shared" si="68"/>
        <v>0</v>
      </c>
      <c r="H536" s="716">
        <f t="shared" si="69"/>
        <v>0</v>
      </c>
      <c r="K536" s="717"/>
      <c r="N536" s="865" t="str">
        <f>'Set up ~ Config'!$AG30</f>
        <v>1075</v>
      </c>
      <c r="O536" s="12" t="str">
        <f t="shared" si="67"/>
        <v>1075 - Disponible ~ Available</v>
      </c>
    </row>
    <row r="537" spans="2:15" ht="22.5" customHeight="1" x14ac:dyDescent="0.15">
      <c r="E537" s="1471" t="str">
        <f>CONCATENATE('Set up ~ Config'!F59&amp;" "&amp;'Set up ~ Config'!G59)</f>
        <v>1080 - Disponible ~ Available</v>
      </c>
      <c r="F537" s="1472"/>
      <c r="G537" s="715">
        <f t="shared" si="68"/>
        <v>0</v>
      </c>
      <c r="H537" s="716">
        <f t="shared" si="69"/>
        <v>0</v>
      </c>
      <c r="K537" s="717"/>
      <c r="N537" s="865" t="str">
        <f>'Set up ~ Config'!$AG31</f>
        <v>1080</v>
      </c>
      <c r="O537" s="12" t="str">
        <f t="shared" si="67"/>
        <v>1080 - Disponible ~ Available</v>
      </c>
    </row>
    <row r="538" spans="2:15" ht="22.5" customHeight="1" x14ac:dyDescent="0.15">
      <c r="E538" s="1471" t="str">
        <f>CONCATENATE('Set up ~ Config'!F60&amp;" "&amp;'Set up ~ Config'!G60)</f>
        <v>1085 - Disponible ~ Available</v>
      </c>
      <c r="F538" s="1472"/>
      <c r="G538" s="715">
        <f t="shared" si="68"/>
        <v>0</v>
      </c>
      <c r="H538" s="716">
        <f t="shared" si="69"/>
        <v>0</v>
      </c>
      <c r="K538" s="717"/>
      <c r="N538" s="865" t="str">
        <f>'Set up ~ Config'!$AG32</f>
        <v>1085</v>
      </c>
      <c r="O538" s="12" t="str">
        <f t="shared" si="67"/>
        <v>1085 - Disponible ~ Available</v>
      </c>
    </row>
    <row r="539" spans="2:15" ht="22.5" customHeight="1" x14ac:dyDescent="0.15">
      <c r="E539" s="1471" t="str">
        <f>CONCATENATE('Set up ~ Config'!F61&amp;" "&amp;'Set up ~ Config'!G61)</f>
        <v>1090 - Disponible ~ Available</v>
      </c>
      <c r="F539" s="1472"/>
      <c r="G539" s="715">
        <f t="shared" si="68"/>
        <v>0</v>
      </c>
      <c r="H539" s="716">
        <f t="shared" si="69"/>
        <v>0</v>
      </c>
      <c r="K539" s="717"/>
      <c r="N539" s="865" t="str">
        <f>'Set up ~ Config'!$AG33</f>
        <v>1090</v>
      </c>
      <c r="O539" s="12" t="str">
        <f t="shared" si="67"/>
        <v>1090 - Disponible ~ Available</v>
      </c>
    </row>
    <row r="540" spans="2:15" ht="22.5" customHeight="1" x14ac:dyDescent="0.15">
      <c r="E540" s="1471" t="str">
        <f>CONCATENATE('Set up ~ Config'!F62&amp;" "&amp;'Set up ~ Config'!G62)</f>
        <v>1095 - Disponible ~ Available</v>
      </c>
      <c r="F540" s="1472"/>
      <c r="G540" s="715">
        <f t="shared" si="68"/>
        <v>0</v>
      </c>
      <c r="H540" s="716">
        <f t="shared" si="69"/>
        <v>0</v>
      </c>
      <c r="K540" s="717"/>
      <c r="N540" s="865">
        <f>'Set up ~ Config'!$AG34</f>
        <v>0</v>
      </c>
      <c r="O540" s="12" t="str">
        <f t="shared" si="67"/>
        <v>1095 - Disponible ~ Available</v>
      </c>
    </row>
    <row r="541" spans="2:15" ht="22.5" customHeight="1" x14ac:dyDescent="0.15">
      <c r="E541" s="1471" t="str">
        <f>CONCATENATE('Set up ~ Config'!F64&amp;" "&amp;'Set up ~ Config'!G64)</f>
        <v>1210 - Investments GICs</v>
      </c>
      <c r="F541" s="1472"/>
      <c r="G541" s="715">
        <f t="shared" si="68"/>
        <v>0</v>
      </c>
      <c r="H541" s="716">
        <f t="shared" si="69"/>
        <v>0</v>
      </c>
      <c r="K541" s="717"/>
      <c r="N541" s="865" t="str">
        <f>'Set up ~ Config'!$AG35</f>
        <v>1210</v>
      </c>
      <c r="O541" s="12" t="str">
        <f t="shared" si="67"/>
        <v>1210 - Investments GICs</v>
      </c>
    </row>
    <row r="542" spans="2:15" ht="22.5" customHeight="1" x14ac:dyDescent="0.15">
      <c r="E542" s="1471" t="str">
        <f>CONCATENATE('Set up ~ Config'!F65&amp;" "&amp;'Set up ~ Config'!G65)</f>
        <v>1220 - Investments (Mutual Funds and such)</v>
      </c>
      <c r="F542" s="1472"/>
      <c r="G542" s="715">
        <f t="shared" si="68"/>
        <v>0</v>
      </c>
      <c r="H542" s="716">
        <f t="shared" si="69"/>
        <v>0</v>
      </c>
      <c r="K542" s="717"/>
      <c r="N542" s="865" t="str">
        <f>'Set up ~ Config'!$AG36</f>
        <v>1220</v>
      </c>
      <c r="O542" s="12" t="str">
        <f t="shared" si="67"/>
        <v>1220 - Investments (Mutual Funds and such)</v>
      </c>
    </row>
    <row r="543" spans="2:15" ht="22.5" customHeight="1" x14ac:dyDescent="0.15">
      <c r="E543" s="1471" t="str">
        <f>CONCATENATE('Set up ~ Config'!F66&amp;" "&amp;'Set up ~ Config'!G66)</f>
        <v>1230 - Disponible ~ Available</v>
      </c>
      <c r="F543" s="1472"/>
      <c r="G543" s="715">
        <f t="shared" si="68"/>
        <v>0</v>
      </c>
      <c r="H543" s="716">
        <f t="shared" si="69"/>
        <v>0</v>
      </c>
      <c r="K543" s="717"/>
      <c r="N543" s="865" t="str">
        <f>'Set up ~ Config'!$AG37</f>
        <v>1230</v>
      </c>
      <c r="O543" s="12" t="str">
        <f t="shared" si="67"/>
        <v>1230 - Disponible ~ Available</v>
      </c>
    </row>
    <row r="544" spans="2:15" ht="22.5" customHeight="1" x14ac:dyDescent="0.15">
      <c r="E544" s="1471" t="str">
        <f>CONCATENATE('Set up ~ Config'!F67&amp;" "&amp;'Set up ~ Config'!G67)</f>
        <v>1240 - Disponible ~ Available</v>
      </c>
      <c r="F544" s="1472"/>
      <c r="G544" s="715">
        <f t="shared" si="68"/>
        <v>0</v>
      </c>
      <c r="H544" s="716">
        <f t="shared" si="69"/>
        <v>0</v>
      </c>
      <c r="K544" s="717"/>
      <c r="N544" s="865" t="str">
        <f>'Set up ~ Config'!$AG38</f>
        <v>1240</v>
      </c>
      <c r="O544" s="12" t="str">
        <f t="shared" si="67"/>
        <v>1240 - Disponible ~ Available</v>
      </c>
    </row>
    <row r="545" spans="5:15" ht="22.5" customHeight="1" x14ac:dyDescent="0.15">
      <c r="E545" s="1471" t="str">
        <f>CONCATENATE('Set up ~ Config'!F68&amp;" "&amp;'Set up ~ Config'!G68)</f>
        <v>1250 - Disponible ~ Available</v>
      </c>
      <c r="F545" s="1472"/>
      <c r="G545" s="715">
        <f t="shared" si="68"/>
        <v>0</v>
      </c>
      <c r="H545" s="716">
        <f t="shared" si="69"/>
        <v>0</v>
      </c>
      <c r="K545" s="717"/>
      <c r="N545" s="865" t="str">
        <f>'Set up ~ Config'!$AG39</f>
        <v>1250</v>
      </c>
      <c r="O545" s="12" t="str">
        <f t="shared" si="67"/>
        <v>1250 - Disponible ~ Available</v>
      </c>
    </row>
    <row r="546" spans="5:15" ht="22.5" customHeight="1" x14ac:dyDescent="0.15">
      <c r="E546" s="1471" t="str">
        <f>CONCATENATE('Set up ~ Config'!F69&amp;" "&amp;'Set up ~ Config'!G69)</f>
        <v>1260 - Disponible ~ Available</v>
      </c>
      <c r="F546" s="1472"/>
      <c r="G546" s="715">
        <f t="shared" si="68"/>
        <v>0</v>
      </c>
      <c r="H546" s="716">
        <f t="shared" si="69"/>
        <v>0</v>
      </c>
      <c r="K546" s="717"/>
      <c r="N546" s="865" t="str">
        <f>'Set up ~ Config'!$AG40</f>
        <v>1260</v>
      </c>
      <c r="O546" s="12" t="str">
        <f t="shared" si="67"/>
        <v>1260 - Disponible ~ Available</v>
      </c>
    </row>
    <row r="547" spans="5:15" ht="22.5" customHeight="1" x14ac:dyDescent="0.15">
      <c r="E547" s="1471" t="str">
        <f>CONCATENATE('Set up ~ Config'!F70&amp;" "&amp;'Set up ~ Config'!G70)</f>
        <v>1270 - Disponible ~ Available</v>
      </c>
      <c r="F547" s="1472"/>
      <c r="G547" s="715">
        <f t="shared" si="68"/>
        <v>0</v>
      </c>
      <c r="H547" s="716">
        <f t="shared" si="69"/>
        <v>0</v>
      </c>
      <c r="K547" s="717"/>
      <c r="N547" s="865" t="str">
        <f>'Set up ~ Config'!$AG41</f>
        <v>1270</v>
      </c>
      <c r="O547" s="12" t="str">
        <f t="shared" si="67"/>
        <v>1270 - Disponible ~ Available</v>
      </c>
    </row>
    <row r="548" spans="5:15" ht="22.5" customHeight="1" x14ac:dyDescent="0.15">
      <c r="E548" s="1471" t="str">
        <f>CONCATENATE('Set up ~ Config'!F71&amp;" "&amp;'Set up ~ Config'!G71)</f>
        <v>1280 - Disponible ~ Available</v>
      </c>
      <c r="F548" s="1472"/>
      <c r="G548" s="715">
        <f t="shared" si="68"/>
        <v>0</v>
      </c>
      <c r="H548" s="716">
        <f t="shared" si="69"/>
        <v>0</v>
      </c>
      <c r="K548" s="717"/>
      <c r="N548" s="865" t="str">
        <f>'Set up ~ Config'!$AG42</f>
        <v>1280</v>
      </c>
      <c r="O548" s="12" t="str">
        <f t="shared" si="67"/>
        <v>1280 - Disponible ~ Available</v>
      </c>
    </row>
    <row r="549" spans="5:15" ht="22.5" customHeight="1" x14ac:dyDescent="0.15">
      <c r="E549" s="1471" t="str">
        <f>CONCATENATE('Set up ~ Config'!F72&amp;" "&amp;'Set up ~ Config'!G72)</f>
        <v>1290 - Disponible ~ Available</v>
      </c>
      <c r="F549" s="1472"/>
      <c r="G549" s="715">
        <f t="shared" si="68"/>
        <v>0</v>
      </c>
      <c r="H549" s="716">
        <f t="shared" si="69"/>
        <v>0</v>
      </c>
      <c r="K549" s="717"/>
      <c r="N549" s="865" t="str">
        <f>'Set up ~ Config'!$AG43</f>
        <v>1290</v>
      </c>
      <c r="O549" s="12" t="str">
        <f t="shared" si="67"/>
        <v>1290 - Disponible ~ Available</v>
      </c>
    </row>
    <row r="550" spans="5:15" ht="22.5" customHeight="1" x14ac:dyDescent="0.15">
      <c r="E550" s="1471" t="str">
        <f>CONCATENATE('Set up ~ Config'!F76&amp;" "&amp;'Set up ~ Config'!G76)</f>
        <v>2010 - Credit Card</v>
      </c>
      <c r="F550" s="1472"/>
      <c r="G550" s="715">
        <f t="shared" si="68"/>
        <v>0</v>
      </c>
      <c r="H550" s="716">
        <f t="shared" si="69"/>
        <v>0</v>
      </c>
      <c r="K550" s="717"/>
      <c r="N550" s="865" t="str">
        <f>'Set up ~ Config'!$AG44</f>
        <v>2010</v>
      </c>
      <c r="O550" s="12" t="str">
        <f t="shared" si="67"/>
        <v>2010 - Credit Card</v>
      </c>
    </row>
    <row r="551" spans="5:15" ht="22.5" customHeight="1" x14ac:dyDescent="0.15">
      <c r="E551" s="1471" t="str">
        <f>CONCATENATE('Set up ~ Config'!F77&amp;" "&amp;'Set up ~ Config'!G77)</f>
        <v>2020 - Payables - Short Terms</v>
      </c>
      <c r="F551" s="1472"/>
      <c r="G551" s="715">
        <f t="shared" si="68"/>
        <v>0</v>
      </c>
      <c r="H551" s="716">
        <f t="shared" si="69"/>
        <v>0</v>
      </c>
      <c r="K551" s="717"/>
      <c r="N551" s="865" t="str">
        <f>'Set up ~ Config'!$AG45</f>
        <v>2020</v>
      </c>
      <c r="O551" s="12" t="str">
        <f t="shared" si="67"/>
        <v>2020 - Payables - Short Terms</v>
      </c>
    </row>
    <row r="552" spans="5:15" ht="22.5" customHeight="1" x14ac:dyDescent="0.15">
      <c r="E552" s="1471" t="str">
        <f>CONCATENATE('Set up ~ Config'!F78&amp;" "&amp;'Set up ~ Config'!G78)</f>
        <v>2030 - Disponible ~ Available</v>
      </c>
      <c r="F552" s="1472"/>
      <c r="G552" s="715">
        <f t="shared" si="68"/>
        <v>0</v>
      </c>
      <c r="H552" s="716">
        <f t="shared" si="69"/>
        <v>0</v>
      </c>
      <c r="K552" s="717"/>
      <c r="N552" s="865" t="str">
        <f>'Set up ~ Config'!$AG46</f>
        <v>2030</v>
      </c>
      <c r="O552" s="12" t="str">
        <f t="shared" si="67"/>
        <v>2030 - Disponible ~ Available</v>
      </c>
    </row>
    <row r="553" spans="5:15" ht="22.5" customHeight="1" x14ac:dyDescent="0.15">
      <c r="E553" s="1471" t="str">
        <f>CONCATENATE('Set up ~ Config'!F79&amp;" "&amp;'Set up ~ Config'!G79)</f>
        <v>2040 - Disponible ~ Available</v>
      </c>
      <c r="F553" s="1472"/>
      <c r="G553" s="715">
        <f t="shared" si="68"/>
        <v>0</v>
      </c>
      <c r="H553" s="716">
        <f t="shared" si="69"/>
        <v>0</v>
      </c>
      <c r="K553" s="717"/>
      <c r="N553" s="865" t="str">
        <f>'Set up ~ Config'!$AG47</f>
        <v>2040</v>
      </c>
      <c r="O553" s="12" t="str">
        <f t="shared" si="67"/>
        <v>2040 - Disponible ~ Available</v>
      </c>
    </row>
    <row r="554" spans="5:15" ht="22.5" customHeight="1" x14ac:dyDescent="0.15">
      <c r="E554" s="1471" t="str">
        <f>CONCATENATE('Set up ~ Config'!F80&amp;" "&amp;'Set up ~ Config'!G80)</f>
        <v>2050 - Disponible ~ Available</v>
      </c>
      <c r="F554" s="1472"/>
      <c r="G554" s="715">
        <f t="shared" si="68"/>
        <v>0</v>
      </c>
      <c r="H554" s="716">
        <f t="shared" si="69"/>
        <v>0</v>
      </c>
      <c r="K554" s="717"/>
      <c r="N554" s="865" t="str">
        <f>'Set up ~ Config'!$AG48</f>
        <v>2050</v>
      </c>
      <c r="O554" s="12" t="str">
        <f t="shared" si="67"/>
        <v>2050 - Disponible ~ Available</v>
      </c>
    </row>
    <row r="555" spans="5:15" ht="22.5" customHeight="1" x14ac:dyDescent="0.15">
      <c r="E555" s="1471" t="str">
        <f>CONCATENATE('Set up ~ Config'!F81&amp;" "&amp;'Set up ~ Config'!G81)</f>
        <v>2060 - Disponible ~ Available</v>
      </c>
      <c r="F555" s="1472"/>
      <c r="G555" s="715">
        <f t="shared" si="68"/>
        <v>0</v>
      </c>
      <c r="H555" s="716">
        <f t="shared" si="69"/>
        <v>0</v>
      </c>
      <c r="K555" s="717"/>
      <c r="N555" s="865" t="str">
        <f>'Set up ~ Config'!$AG49</f>
        <v>2060</v>
      </c>
      <c r="O555" s="12" t="str">
        <f t="shared" si="67"/>
        <v>2060 - Disponible ~ Available</v>
      </c>
    </row>
    <row r="556" spans="5:15" ht="22.5" customHeight="1" x14ac:dyDescent="0.15">
      <c r="E556" s="1471" t="str">
        <f>CONCATENATE('Set up ~ Config'!F82&amp;" "&amp;'Set up ~ Config'!G82)</f>
        <v>2070 - Disponible ~ Available</v>
      </c>
      <c r="F556" s="1472"/>
      <c r="G556" s="715">
        <f t="shared" si="68"/>
        <v>0</v>
      </c>
      <c r="H556" s="716">
        <f t="shared" si="69"/>
        <v>0</v>
      </c>
      <c r="K556" s="717"/>
      <c r="N556" s="865" t="str">
        <f>'Set up ~ Config'!$AG50</f>
        <v>2070</v>
      </c>
      <c r="O556" s="12" t="str">
        <f t="shared" si="67"/>
        <v>2070 - Disponible ~ Available</v>
      </c>
    </row>
    <row r="557" spans="5:15" ht="22.5" customHeight="1" x14ac:dyDescent="0.15">
      <c r="E557" s="1471" t="str">
        <f>CONCATENATE('Set up ~ Config'!F83&amp;" "&amp;'Set up ~ Config'!G83)</f>
        <v>2080 - Disponible ~ Available</v>
      </c>
      <c r="F557" s="1472"/>
      <c r="G557" s="715">
        <f t="shared" si="68"/>
        <v>0</v>
      </c>
      <c r="H557" s="716">
        <f t="shared" si="69"/>
        <v>0</v>
      </c>
      <c r="K557" s="717"/>
      <c r="N557" s="865" t="str">
        <f>'Set up ~ Config'!$AG51</f>
        <v>2080</v>
      </c>
      <c r="O557" s="12" t="str">
        <f t="shared" si="67"/>
        <v>2080 - Disponible ~ Available</v>
      </c>
    </row>
    <row r="558" spans="5:15" ht="22.5" customHeight="1" x14ac:dyDescent="0.15">
      <c r="E558" s="1471" t="str">
        <f>CONCATENATE('Set up ~ Config'!F84&amp;" "&amp;'Set up ~ Config'!G84)</f>
        <v>2090 - Disponible ~ Available</v>
      </c>
      <c r="F558" s="1472"/>
      <c r="G558" s="715">
        <f t="shared" si="68"/>
        <v>0</v>
      </c>
      <c r="H558" s="716">
        <f t="shared" si="69"/>
        <v>0</v>
      </c>
      <c r="K558" s="717"/>
      <c r="N558" s="865" t="str">
        <f>'Set up ~ Config'!$AG52</f>
        <v>2090</v>
      </c>
      <c r="O558" s="12" t="str">
        <f t="shared" si="67"/>
        <v>2090 - Disponible ~ Available</v>
      </c>
    </row>
    <row r="559" spans="5:15" ht="22.5" customHeight="1" x14ac:dyDescent="0.15">
      <c r="E559" s="1471" t="str">
        <f>CONCATENATE('Set up ~ Config'!F86&amp;" "&amp;'Set up ~ Config'!G86)</f>
        <v>2210 - Mortgage</v>
      </c>
      <c r="F559" s="1472"/>
      <c r="G559" s="715">
        <f t="shared" si="68"/>
        <v>0</v>
      </c>
      <c r="H559" s="716">
        <f t="shared" si="69"/>
        <v>0</v>
      </c>
      <c r="K559" s="717"/>
      <c r="N559" s="865" t="str">
        <f>'Set up ~ Config'!$AG53</f>
        <v>2210</v>
      </c>
      <c r="O559" s="12" t="str">
        <f t="shared" si="67"/>
        <v>2210 - Mortgage</v>
      </c>
    </row>
    <row r="560" spans="5:15" ht="22.5" customHeight="1" x14ac:dyDescent="0.15">
      <c r="E560" s="1471" t="str">
        <f>CONCATENATE('Set up ~ Config'!F87&amp;" "&amp;'Set up ~ Config'!G87)</f>
        <v>2220 - Bank Loan</v>
      </c>
      <c r="F560" s="1472"/>
      <c r="G560" s="715">
        <f t="shared" si="68"/>
        <v>0</v>
      </c>
      <c r="H560" s="716">
        <f t="shared" si="69"/>
        <v>0</v>
      </c>
      <c r="K560" s="717"/>
      <c r="N560" s="865" t="str">
        <f>'Set up ~ Config'!$AG54</f>
        <v>2220</v>
      </c>
      <c r="O560" s="12" t="str">
        <f t="shared" si="67"/>
        <v>2220 - Bank Loan</v>
      </c>
    </row>
    <row r="561" spans="2:15" ht="22.5" customHeight="1" x14ac:dyDescent="0.15">
      <c r="E561" s="1471" t="str">
        <f>CONCATENATE('Set up ~ Config'!F88&amp;" "&amp;'Set up ~ Config'!G88)</f>
        <v>2230 - Disponible ~ Available</v>
      </c>
      <c r="F561" s="1472"/>
      <c r="G561" s="715">
        <f t="shared" si="68"/>
        <v>0</v>
      </c>
      <c r="H561" s="716">
        <f t="shared" si="69"/>
        <v>0</v>
      </c>
      <c r="K561" s="717"/>
      <c r="N561" s="865" t="str">
        <f>'Set up ~ Config'!$AG55</f>
        <v>2230</v>
      </c>
      <c r="O561" s="12" t="str">
        <f t="shared" si="67"/>
        <v>2230 - Disponible ~ Available</v>
      </c>
    </row>
    <row r="562" spans="2:15" ht="22.5" customHeight="1" x14ac:dyDescent="0.15">
      <c r="E562" s="1471" t="str">
        <f>CONCATENATE('Set up ~ Config'!F89&amp;" "&amp;'Set up ~ Config'!G89)</f>
        <v>2240 - Disponible ~ Available</v>
      </c>
      <c r="F562" s="1472"/>
      <c r="G562" s="715">
        <f t="shared" si="68"/>
        <v>0</v>
      </c>
      <c r="H562" s="716">
        <f t="shared" si="69"/>
        <v>0</v>
      </c>
      <c r="K562" s="717"/>
      <c r="N562" s="865" t="str">
        <f>'Set up ~ Config'!$AG56</f>
        <v>2240</v>
      </c>
      <c r="O562" s="12" t="str">
        <f t="shared" si="67"/>
        <v>2240 - Disponible ~ Available</v>
      </c>
    </row>
    <row r="563" spans="2:15" ht="22.5" customHeight="1" x14ac:dyDescent="0.15">
      <c r="E563" s="1471" t="str">
        <f>CONCATENATE('Set up ~ Config'!F90&amp;" "&amp;'Set up ~ Config'!G90)</f>
        <v>2250 - Disponible ~ Available</v>
      </c>
      <c r="F563" s="1472"/>
      <c r="G563" s="715">
        <f t="shared" si="68"/>
        <v>0</v>
      </c>
      <c r="H563" s="716">
        <f t="shared" si="69"/>
        <v>0</v>
      </c>
      <c r="K563" s="717"/>
      <c r="N563" s="865" t="str">
        <f>'Set up ~ Config'!$AG57</f>
        <v>2250</v>
      </c>
      <c r="O563" s="12" t="str">
        <f t="shared" si="67"/>
        <v>2250 - Disponible ~ Available</v>
      </c>
    </row>
    <row r="564" spans="2:15" ht="22.5" customHeight="1" x14ac:dyDescent="0.15">
      <c r="E564" s="1471" t="str">
        <f>CONCATENATE('Set up ~ Config'!F91&amp;" "&amp;'Set up ~ Config'!G91)</f>
        <v>2260 - Disponible ~ Available</v>
      </c>
      <c r="F564" s="1472"/>
      <c r="G564" s="715">
        <f t="shared" si="68"/>
        <v>0</v>
      </c>
      <c r="H564" s="716">
        <f t="shared" si="69"/>
        <v>0</v>
      </c>
      <c r="K564" s="717"/>
      <c r="N564" s="865" t="str">
        <f>'Set up ~ Config'!$AG58</f>
        <v>2260</v>
      </c>
      <c r="O564" s="12" t="str">
        <f t="shared" si="67"/>
        <v>2260 - Disponible ~ Available</v>
      </c>
    </row>
    <row r="565" spans="2:15" ht="22.5" customHeight="1" x14ac:dyDescent="0.15">
      <c r="E565" s="1471" t="str">
        <f>CONCATENATE('Set up ~ Config'!F92&amp;" "&amp;'Set up ~ Config'!G92)</f>
        <v>2270 - Disponible ~ Available</v>
      </c>
      <c r="F565" s="1472"/>
      <c r="G565" s="715">
        <f t="shared" si="68"/>
        <v>0</v>
      </c>
      <c r="H565" s="716">
        <f t="shared" si="69"/>
        <v>0</v>
      </c>
      <c r="K565" s="717"/>
      <c r="N565" s="865" t="str">
        <f>'Set up ~ Config'!$AG59</f>
        <v>2270</v>
      </c>
      <c r="O565" s="12" t="str">
        <f t="shared" si="67"/>
        <v>2270 - Disponible ~ Available</v>
      </c>
    </row>
    <row r="566" spans="2:15" ht="22.5" customHeight="1" x14ac:dyDescent="0.15">
      <c r="E566" s="1471" t="str">
        <f>CONCATENATE('Set up ~ Config'!F93&amp;" "&amp;'Set up ~ Config'!G93)</f>
        <v>2280 - Disponible ~ Available</v>
      </c>
      <c r="F566" s="1472"/>
      <c r="G566" s="715">
        <f t="shared" si="68"/>
        <v>0</v>
      </c>
      <c r="H566" s="716">
        <f t="shared" si="69"/>
        <v>0</v>
      </c>
      <c r="K566" s="717"/>
      <c r="N566" s="865" t="str">
        <f>'Set up ~ Config'!$AG60</f>
        <v>2280</v>
      </c>
      <c r="O566" s="12" t="str">
        <f t="shared" si="67"/>
        <v>2280 - Disponible ~ Available</v>
      </c>
    </row>
    <row r="567" spans="2:15" ht="22.5" customHeight="1" x14ac:dyDescent="0.15">
      <c r="E567" s="1471" t="str">
        <f>CONCATENATE('Set up ~ Config'!F94&amp;" "&amp;'Set up ~ Config'!G94)</f>
        <v>2290 - Disponible ~ Available</v>
      </c>
      <c r="F567" s="1472"/>
      <c r="G567" s="715">
        <f t="shared" si="68"/>
        <v>0</v>
      </c>
      <c r="H567" s="716">
        <f t="shared" si="69"/>
        <v>0</v>
      </c>
      <c r="K567" s="717"/>
      <c r="N567" s="865" t="str">
        <f>'Set up ~ Config'!$AG61</f>
        <v>2290</v>
      </c>
      <c r="O567" s="12" t="str">
        <f t="shared" si="67"/>
        <v>2290 - Disponible ~ Available</v>
      </c>
    </row>
    <row r="568" spans="2:15" ht="22.5" customHeight="1" thickBot="1" x14ac:dyDescent="0.2">
      <c r="E568" s="1475"/>
      <c r="F568" s="1475"/>
      <c r="G568" s="603"/>
      <c r="H568" s="739"/>
    </row>
    <row r="569" spans="2:15" ht="22.5" hidden="1" customHeight="1" x14ac:dyDescent="0.15">
      <c r="E569" s="1475"/>
      <c r="F569" s="1475"/>
      <c r="G569" s="603"/>
      <c r="H569" s="739"/>
    </row>
    <row r="570" spans="2:15" ht="22.5" hidden="1" customHeight="1" x14ac:dyDescent="0.15">
      <c r="E570" s="1475"/>
      <c r="F570" s="1475"/>
      <c r="G570" s="603"/>
      <c r="H570" s="739"/>
    </row>
    <row r="571" spans="2:15" ht="22.5" hidden="1" customHeight="1" x14ac:dyDescent="0.15">
      <c r="E571" s="1475"/>
      <c r="F571" s="1475"/>
      <c r="G571" s="603"/>
      <c r="H571" s="739"/>
    </row>
    <row r="572" spans="2:15" ht="22.5" hidden="1" customHeight="1" thickBot="1" x14ac:dyDescent="0.2">
      <c r="E572" s="1475"/>
      <c r="F572" s="1475"/>
      <c r="G572" s="603"/>
      <c r="H572" s="739"/>
    </row>
    <row r="573" spans="2:15" ht="16" x14ac:dyDescent="0.15">
      <c r="B573" s="770" t="s">
        <v>86</v>
      </c>
      <c r="C573" s="1476" t="s">
        <v>93</v>
      </c>
      <c r="D573" s="1476"/>
      <c r="E573" s="1477"/>
      <c r="F573" s="188"/>
    </row>
    <row r="574" spans="2:15" ht="16" x14ac:dyDescent="0.15">
      <c r="B574" s="771" t="s">
        <v>553</v>
      </c>
      <c r="C574" s="1474" t="s">
        <v>554</v>
      </c>
      <c r="D574" s="1474"/>
      <c r="E574" s="1474"/>
      <c r="F574" s="188"/>
    </row>
    <row r="575" spans="2:15" x14ac:dyDescent="0.15">
      <c r="B575" s="771" t="s">
        <v>87</v>
      </c>
      <c r="C575" s="1474" t="s">
        <v>552</v>
      </c>
      <c r="D575" s="1474"/>
      <c r="E575" s="1474"/>
    </row>
    <row r="576" spans="2:15" x14ac:dyDescent="0.15">
      <c r="B576" s="771" t="s">
        <v>88</v>
      </c>
      <c r="C576" s="1474" t="s">
        <v>95</v>
      </c>
      <c r="D576" s="1474"/>
      <c r="E576" s="1474"/>
    </row>
    <row r="577" spans="2:5" x14ac:dyDescent="0.15">
      <c r="B577" s="771" t="s">
        <v>550</v>
      </c>
      <c r="C577" s="1474" t="s">
        <v>551</v>
      </c>
      <c r="D577" s="1474"/>
      <c r="E577" s="1474"/>
    </row>
    <row r="578" spans="2:5" x14ac:dyDescent="0.15">
      <c r="B578" s="771" t="s">
        <v>91</v>
      </c>
      <c r="C578" s="1474" t="s">
        <v>98</v>
      </c>
      <c r="D578" s="1474"/>
      <c r="E578" s="1474"/>
    </row>
    <row r="579" spans="2:5" ht="14" thickBot="1" x14ac:dyDescent="0.2">
      <c r="B579" s="772" t="s">
        <v>129</v>
      </c>
      <c r="C579" s="1469" t="s">
        <v>523</v>
      </c>
      <c r="D579" s="1469"/>
      <c r="E579" s="1470"/>
    </row>
  </sheetData>
  <sheetProtection algorithmName="SHA-512" hashValue="n1jUx4YvbaVrYNyaCrP6/dXYmaTCCAHFDR0Y5iXOgtRRVQI7wlgMGyPqN40naN33oreOVjGrPxGvixBigPSdJA==" saltValue="t0SqFpvd0j14WZv5NYYpGA==" spinCount="100000" sheet="1" objects="1" scenarios="1" selectLockedCells="1"/>
  <mergeCells count="84">
    <mergeCell ref="B1:J1"/>
    <mergeCell ref="B2:J2"/>
    <mergeCell ref="B3:J3"/>
    <mergeCell ref="F4:F7"/>
    <mergeCell ref="G4:G7"/>
    <mergeCell ref="DE5:DL5"/>
    <mergeCell ref="BW5:CL5"/>
    <mergeCell ref="P4:AO4"/>
    <mergeCell ref="CM4:CU4"/>
    <mergeCell ref="CV4:DD4"/>
    <mergeCell ref="DE4:DL4"/>
    <mergeCell ref="AP4:BL4"/>
    <mergeCell ref="BM4:BV4"/>
    <mergeCell ref="BW4:CL4"/>
    <mergeCell ref="BB517:BH517"/>
    <mergeCell ref="E518:F518"/>
    <mergeCell ref="P5:AO5"/>
    <mergeCell ref="CM5:CU5"/>
    <mergeCell ref="CV5:DD5"/>
    <mergeCell ref="K5:M7"/>
    <mergeCell ref="E520:F520"/>
    <mergeCell ref="H521:H522"/>
    <mergeCell ref="E522:F522"/>
    <mergeCell ref="D516:F516"/>
    <mergeCell ref="D517:F517"/>
    <mergeCell ref="E525:F525"/>
    <mergeCell ref="E526:F526"/>
    <mergeCell ref="E527:F527"/>
    <mergeCell ref="E528:F528"/>
    <mergeCell ref="E529:F529"/>
    <mergeCell ref="E530:F530"/>
    <mergeCell ref="E531:F531"/>
    <mergeCell ref="E532:F532"/>
    <mergeCell ref="E533:F533"/>
    <mergeCell ref="E534:F534"/>
    <mergeCell ref="E549:F549"/>
    <mergeCell ref="E550:F550"/>
    <mergeCell ref="E535:F535"/>
    <mergeCell ref="E536:F536"/>
    <mergeCell ref="E537:F537"/>
    <mergeCell ref="E538:F538"/>
    <mergeCell ref="E539:F539"/>
    <mergeCell ref="E544:F544"/>
    <mergeCell ref="E545:F545"/>
    <mergeCell ref="E546:F546"/>
    <mergeCell ref="E547:F547"/>
    <mergeCell ref="E548:F548"/>
    <mergeCell ref="E556:F556"/>
    <mergeCell ref="E557:F557"/>
    <mergeCell ref="E558:F558"/>
    <mergeCell ref="AP5:BL5"/>
    <mergeCell ref="BM5:BV5"/>
    <mergeCell ref="E551:F551"/>
    <mergeCell ref="E552:F552"/>
    <mergeCell ref="E553:F553"/>
    <mergeCell ref="E554:F554"/>
    <mergeCell ref="E555:F555"/>
    <mergeCell ref="E523:F523"/>
    <mergeCell ref="E524:F524"/>
    <mergeCell ref="E540:F540"/>
    <mergeCell ref="E541:F541"/>
    <mergeCell ref="E542:F542"/>
    <mergeCell ref="E543:F543"/>
    <mergeCell ref="E559:F559"/>
    <mergeCell ref="E560:F560"/>
    <mergeCell ref="E561:F561"/>
    <mergeCell ref="E562:F562"/>
    <mergeCell ref="E563:F563"/>
    <mergeCell ref="C574:E574"/>
    <mergeCell ref="E564:F564"/>
    <mergeCell ref="E565:F565"/>
    <mergeCell ref="E566:F566"/>
    <mergeCell ref="E567:F567"/>
    <mergeCell ref="E568:F568"/>
    <mergeCell ref="E569:F569"/>
    <mergeCell ref="E570:F570"/>
    <mergeCell ref="E571:F571"/>
    <mergeCell ref="E572:F572"/>
    <mergeCell ref="C573:E573"/>
    <mergeCell ref="C575:E575"/>
    <mergeCell ref="C576:E576"/>
    <mergeCell ref="C577:E577"/>
    <mergeCell ref="C578:E578"/>
    <mergeCell ref="C579:E579"/>
  </mergeCells>
  <conditionalFormatting sqref="B16:H515">
    <cfRule type="expression" dxfId="149" priority="1">
      <formula>$F16="Chèque annulé"</formula>
    </cfRule>
    <cfRule type="expression" dxfId="148" priority="2" stopIfTrue="1">
      <formula>$F16="Void Cheque"</formula>
    </cfRule>
    <cfRule type="expression" dxfId="147" priority="6">
      <formula>$B16=$B$6</formula>
    </cfRule>
  </conditionalFormatting>
  <conditionalFormatting sqref="J16:J515">
    <cfRule type="cellIs" dxfId="146" priority="24" operator="notEqual">
      <formula>0</formula>
    </cfRule>
  </conditionalFormatting>
  <conditionalFormatting sqref="J516">
    <cfRule type="cellIs" dxfId="145" priority="7" operator="notEqual">
      <formula>0</formula>
    </cfRule>
  </conditionalFormatting>
  <conditionalFormatting sqref="W8:Z8">
    <cfRule type="expression" dxfId="142" priority="25">
      <formula>W$8="Disponible (Renommez)"</formula>
    </cfRule>
    <cfRule type="expression" dxfId="141" priority="26">
      <formula>W$8="Available (Rename)"</formula>
    </cfRule>
  </conditionalFormatting>
  <conditionalFormatting sqref="AG8:AO8 BH8:BL8 BR8:BV8 CI8:DD8 DK8">
    <cfRule type="expression" dxfId="140" priority="28">
      <formula>AG8="Disponible ~ Available"</formula>
    </cfRule>
  </conditionalFormatting>
  <conditionalFormatting sqref="AQ8:AT8 AV8:AY8 BX8:CD8">
    <cfRule type="expression" dxfId="139" priority="27">
      <formula>AQ8="Disponible ~ Available"</formula>
    </cfRule>
  </conditionalFormatting>
  <conditionalFormatting sqref="BH8:BL8">
    <cfRule type="expression" dxfId="138" priority="13">
      <formula>BH8="Disponible (Renommez)"</formula>
    </cfRule>
  </conditionalFormatting>
  <conditionalFormatting sqref="BM8:BQ8">
    <cfRule type="expression" dxfId="137" priority="20">
      <formula>BM8="Available (Rename)"</formula>
    </cfRule>
  </conditionalFormatting>
  <conditionalFormatting sqref="BR8:BV8">
    <cfRule type="expression" dxfId="136" priority="12">
      <formula>BR8="Disponible (Renommez)"</formula>
    </cfRule>
  </conditionalFormatting>
  <conditionalFormatting sqref="CE8:CH8 DE8:DI8">
    <cfRule type="expression" dxfId="135" priority="14">
      <formula>CE8="Available (Rename)"</formula>
    </cfRule>
  </conditionalFormatting>
  <conditionalFormatting sqref="CI8:DD8">
    <cfRule type="expression" dxfId="134" priority="9">
      <formula>CI8="Disponible (Renommez)"</formula>
    </cfRule>
  </conditionalFormatting>
  <conditionalFormatting sqref="DK8">
    <cfRule type="expression" dxfId="133" priority="8">
      <formula>DK8="Disponible (Renommez)"</formula>
    </cfRule>
  </conditionalFormatting>
  <dataValidations count="7">
    <dataValidation type="list" allowBlank="1" showInputMessage="1" showErrorMessage="1" sqref="R525" xr:uid="{00000000-0002-0000-0200-000000000000}">
      <formula1>#REF!</formula1>
      <formula2>0</formula2>
    </dataValidation>
    <dataValidation type="list" allowBlank="1" showInputMessage="1" showErrorMessage="1" sqref="B45:B515" xr:uid="{00000000-0002-0000-0200-000001000000}">
      <formula1>$B$5:$B$6</formula1>
      <formula2>0</formula2>
    </dataValidation>
    <dataValidation type="date" operator="greaterThan" allowBlank="1" showInputMessage="1" showErrorMessage="1" sqref="E45:E515" xr:uid="{00000000-0002-0000-0200-000003000000}">
      <formula1>42917</formula1>
      <formula2>0</formula2>
    </dataValidation>
    <dataValidation type="list" allowBlank="1" showInputMessage="1" showErrorMessage="1" sqref="C16:C515" xr:uid="{00000000-0002-0000-0200-000004000000}">
      <formula1>$B$573:$B$579</formula1>
    </dataValidation>
    <dataValidation type="list" allowBlank="1" showInputMessage="1" showErrorMessage="1" sqref="H16:H515" xr:uid="{00000000-0002-0000-0200-000002000000}">
      <formula1>$O$523:$O$567</formula1>
    </dataValidation>
    <dataValidation type="list" allowBlank="1" showInputMessage="1" showErrorMessage="1" sqref="B16:B44" xr:uid="{B4E5E8BA-72CC-4A09-BF14-DF32F706CD73}">
      <formula1>$B$5:$B$6</formula1>
    </dataValidation>
    <dataValidation type="date" operator="greaterThan" allowBlank="1" showInputMessage="1" showErrorMessage="1" sqref="E16:E44" xr:uid="{20626BDE-DD94-4E9B-AFAA-076D803328E2}">
      <formula1>42917</formula1>
    </dataValidation>
  </dataValidations>
  <printOptions horizontalCentered="1"/>
  <pageMargins left="0.78749999999999998" right="0.15763888888888899" top="1.0236111111111099" bottom="0.45972222222222198" header="0.8" footer="0.15763888888888899"/>
  <pageSetup paperSize="3" fitToWidth="0" orientation="landscape" horizontalDpi="300" verticalDpi="300" r:id="rId1"/>
  <headerFooter>
    <oddHeader>&amp;C&amp;16</oddHeader>
    <oddFooter>&amp;R&amp;D</oddFooter>
  </headerFooter>
  <colBreaks count="3" manualBreakCount="3">
    <brk id="42" max="1048575" man="1"/>
    <brk id="82" max="1048575" man="1"/>
    <brk id="109"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1" id="{5A683AA5-F56B-407C-8CBB-6C1144F9CE06}">
            <xm:f>'Set up ~ Config'!$K$47="N"</xm:f>
            <x14:dxf>
              <font>
                <color theme="1"/>
              </font>
              <fill>
                <patternFill>
                  <bgColor theme="0" tint="-0.14996795556505021"/>
                </patternFill>
              </fill>
            </x14:dxf>
          </x14:cfRule>
          <xm:sqref>K16:K516</xm:sqref>
        </x14:conditionalFormatting>
        <x14:conditionalFormatting xmlns:xm="http://schemas.microsoft.com/office/excel/2006/main">
          <x14:cfRule type="expression" priority="22" id="{06045F84-1767-4055-93D2-C66990BE9832}">
            <xm:f>'Set up ~ Config'!$K$47="Y"</xm:f>
            <x14:dxf>
              <font>
                <color theme="1"/>
              </font>
              <fill>
                <patternFill>
                  <bgColor theme="0" tint="-0.14996795556505021"/>
                </patternFill>
              </fill>
            </x14:dxf>
          </x14:cfRule>
          <xm:sqref>L16:M516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filterMode="1">
    <tabColor theme="9" tint="-0.249977111117893"/>
    <pageSetUpPr fitToPage="1"/>
  </sheetPr>
  <dimension ref="A1:Y1165"/>
  <sheetViews>
    <sheetView showGridLines="0" showZeros="0" zoomScale="85" zoomScaleNormal="85" workbookViewId="0">
      <pane ySplit="9" topLeftCell="A10" activePane="bottomLeft" state="frozen"/>
      <selection pane="bottomLeft" activeCell="E3" sqref="E3"/>
    </sheetView>
  </sheetViews>
  <sheetFormatPr baseColWidth="10" defaultColWidth="11.5" defaultRowHeight="13" x14ac:dyDescent="0.15"/>
  <cols>
    <col min="1" max="1" width="4.5" customWidth="1"/>
    <col min="2" max="2" width="7.6640625" hidden="1" customWidth="1"/>
    <col min="3" max="3" width="17" style="109" customWidth="1"/>
    <col min="4" max="4" width="15.5" style="109" customWidth="1"/>
    <col min="5" max="5" width="47.5" style="110" customWidth="1"/>
    <col min="6" max="6" width="6.83203125" style="110" customWidth="1"/>
    <col min="7" max="7" width="17.6640625" style="111" customWidth="1"/>
    <col min="8" max="8" width="30" style="111" customWidth="1"/>
    <col min="9" max="9" width="8.5" style="111" hidden="1" customWidth="1"/>
    <col min="10" max="10" width="10.5" style="111" hidden="1" customWidth="1"/>
    <col min="11" max="11" width="17.6640625" style="112" customWidth="1"/>
    <col min="12" max="12" width="17.6640625" style="109" customWidth="1"/>
    <col min="13" max="13" width="11.6640625" style="109" hidden="1" customWidth="1"/>
    <col min="14" max="14" width="7.6640625" hidden="1" customWidth="1"/>
    <col min="15" max="15" width="2.1640625" customWidth="1"/>
    <col min="16" max="16" width="13" customWidth="1"/>
    <col min="17" max="17" width="9.1640625" customWidth="1"/>
    <col min="18" max="18" width="17" customWidth="1"/>
    <col min="19" max="19" width="16.5" hidden="1" customWidth="1"/>
    <col min="20" max="20" width="13" hidden="1" customWidth="1"/>
    <col min="21" max="21" width="18.5" hidden="1" customWidth="1"/>
    <col min="22" max="25" width="9.1640625" hidden="1" customWidth="1"/>
    <col min="26" max="257" width="9.1640625" customWidth="1"/>
  </cols>
  <sheetData>
    <row r="1" spans="1:22" ht="33.75" customHeight="1" x14ac:dyDescent="0.25">
      <c r="B1" s="81"/>
      <c r="C1" s="1515" t="str">
        <f>IF(A3=2,"Liste des transactions","Transactions Listing")</f>
        <v>Transactions Listing</v>
      </c>
      <c r="D1" s="1515"/>
      <c r="E1" s="1515"/>
      <c r="F1" s="1515"/>
      <c r="G1" s="1515"/>
      <c r="H1" s="1515"/>
      <c r="I1" s="1516"/>
      <c r="J1" s="1516"/>
      <c r="K1" s="1515"/>
      <c r="L1" s="1515"/>
      <c r="M1" s="81"/>
      <c r="N1" s="81"/>
    </row>
    <row r="2" spans="1:22" ht="35.25" customHeight="1" x14ac:dyDescent="0.15">
      <c r="B2" s="113"/>
      <c r="C2" s="1517" t="str">
        <f>'Set up ~ Config'!B2</f>
        <v xml:space="preserve">SSC </v>
      </c>
      <c r="D2" s="1517"/>
      <c r="E2" s="1517"/>
      <c r="F2" s="1517"/>
      <c r="G2" s="1517"/>
      <c r="H2" s="1517"/>
      <c r="I2" s="1518"/>
      <c r="J2" s="1518"/>
      <c r="K2" s="1517"/>
      <c r="L2" s="1517"/>
      <c r="M2" s="114"/>
      <c r="N2" s="115"/>
    </row>
    <row r="3" spans="1:22" ht="27" customHeight="1" x14ac:dyDescent="0.15">
      <c r="A3" s="23">
        <f>'Set up ~ Config'!L10</f>
        <v>1</v>
      </c>
      <c r="C3" s="1519" t="str">
        <f>IF($A$3=2,"Pour la période du ","Period from ")</f>
        <v xml:space="preserve">Period from </v>
      </c>
      <c r="D3" s="1519"/>
      <c r="E3" s="963">
        <v>44743</v>
      </c>
      <c r="F3" s="116" t="str">
        <f>IF($A$3=2,"Au ","To ")</f>
        <v xml:space="preserve">To </v>
      </c>
      <c r="G3" s="1520">
        <v>45107</v>
      </c>
      <c r="H3" s="1520"/>
      <c r="I3" s="117"/>
      <c r="J3" s="117"/>
      <c r="K3" s="118"/>
      <c r="L3" s="118"/>
      <c r="M3" s="119"/>
      <c r="N3" s="119"/>
    </row>
    <row r="4" spans="1:22" ht="13.5" customHeight="1" thickTop="1" x14ac:dyDescent="0.15">
      <c r="A4" s="23"/>
      <c r="C4" s="120"/>
      <c r="D4" s="120"/>
      <c r="E4" s="950" t="str">
        <f>IF($A$3=2,"Insérez date de début de période (aaaa-mm-jj)","Insert Start Date Period (yyyy-mm-dd)")</f>
        <v>Insert Start Date Period (yyyy-mm-dd)</v>
      </c>
      <c r="F4" s="121"/>
      <c r="G4" s="1521" t="str">
        <f>IF($A$3=2,"Insérez date de fin de période (aaaa-mm-jj)","Insert End Date Period (yyyy-mm-dd))")</f>
        <v>Insert End Date Period (yyyy-mm-dd))</v>
      </c>
      <c r="H4" s="1521"/>
      <c r="I4" s="117"/>
      <c r="J4" s="117"/>
      <c r="K4" s="122"/>
      <c r="L4" s="122"/>
      <c r="M4" s="123"/>
      <c r="N4" s="123"/>
    </row>
    <row r="5" spans="1:22" ht="46.5" customHeight="1" x14ac:dyDescent="0.15">
      <c r="A5" s="23"/>
      <c r="C5" s="940"/>
      <c r="D5" s="940"/>
      <c r="E5" s="1507" t="str">
        <f>IF(A3=2,S7,S6)</f>
        <v>To activate or update the list, check and uncheck a filter item and press OK</v>
      </c>
      <c r="F5" s="1507"/>
      <c r="G5" s="1507"/>
      <c r="H5" s="1507"/>
      <c r="I5" s="117"/>
      <c r="J5" s="117"/>
      <c r="K5" s="118"/>
      <c r="L5" s="118"/>
      <c r="M5" s="123"/>
      <c r="N5" s="123"/>
    </row>
    <row r="6" spans="1:22" ht="13.5" customHeight="1" x14ac:dyDescent="0.15">
      <c r="A6" s="23"/>
      <c r="C6" s="124"/>
      <c r="D6" s="124"/>
      <c r="E6" s="125"/>
      <c r="F6" s="126"/>
      <c r="G6" s="125"/>
      <c r="H6" s="125"/>
      <c r="I6" s="117"/>
      <c r="J6" s="117"/>
      <c r="K6" s="127"/>
      <c r="L6" s="127"/>
      <c r="M6" s="123"/>
      <c r="N6" s="123"/>
      <c r="S6" s="861" t="s">
        <v>546</v>
      </c>
    </row>
    <row r="7" spans="1:22" ht="13.5" customHeight="1" x14ac:dyDescent="0.15">
      <c r="A7" s="23"/>
      <c r="C7" s="124"/>
      <c r="D7" s="124"/>
      <c r="E7" s="125"/>
      <c r="F7" s="126"/>
      <c r="G7" s="1522" t="str">
        <f>IF($A$3=2,"Filtrez la période et comptes visés","Filter the required Period and Accounts")</f>
        <v>Filter the required Period and Accounts</v>
      </c>
      <c r="H7" s="1522"/>
      <c r="I7" s="117"/>
      <c r="J7" s="117"/>
      <c r="K7" s="127"/>
      <c r="L7" s="127"/>
      <c r="M7" s="123"/>
      <c r="N7" s="123"/>
      <c r="S7" s="861" t="s">
        <v>545</v>
      </c>
    </row>
    <row r="8" spans="1:22" ht="33.75" customHeight="1" x14ac:dyDescent="0.15">
      <c r="B8" s="128" t="s">
        <v>130</v>
      </c>
      <c r="C8" s="129" t="str">
        <f>IF(A3=2,"Type TX","TX Type")</f>
        <v>TX Type</v>
      </c>
      <c r="D8" s="130" t="s">
        <v>131</v>
      </c>
      <c r="E8" s="130" t="str">
        <f>IF(A3=2,"Description","Description")</f>
        <v>Description</v>
      </c>
      <c r="F8" s="128"/>
      <c r="G8" s="130" t="s">
        <v>132</v>
      </c>
      <c r="H8" s="130" t="str">
        <f>IF(A3=2,"Compte","Account")</f>
        <v>Account</v>
      </c>
      <c r="I8" s="130"/>
      <c r="J8" s="130"/>
      <c r="K8" s="128" t="str">
        <f>IF(A3=2,"Revenus","Revenues")</f>
        <v>Revenues</v>
      </c>
      <c r="L8" s="131" t="str">
        <f>IF(A3=2,"Dépenses","Expenditures")</f>
        <v>Expenditures</v>
      </c>
      <c r="M8" s="131" t="str">
        <f>IF(A3="FR","Mois","Month")</f>
        <v>Month</v>
      </c>
      <c r="N8" s="131" t="str">
        <f>IF(A3="FR","Compte","Account")</f>
        <v>Account</v>
      </c>
    </row>
    <row r="9" spans="1:22" ht="11.25" customHeight="1" x14ac:dyDescent="0.15">
      <c r="B9" s="132">
        <v>1</v>
      </c>
      <c r="C9" s="129"/>
      <c r="D9" s="133"/>
      <c r="E9" s="134"/>
      <c r="F9" s="135"/>
      <c r="G9" s="134"/>
      <c r="H9" s="134"/>
      <c r="I9" s="136"/>
      <c r="J9" s="136"/>
      <c r="K9" s="133"/>
      <c r="L9" s="137"/>
      <c r="M9" s="137"/>
      <c r="N9" s="138"/>
    </row>
    <row r="10" spans="1:22" ht="30" customHeight="1" x14ac:dyDescent="0.2">
      <c r="B10" s="139">
        <v>1</v>
      </c>
      <c r="C10" s="140" t="s">
        <v>89</v>
      </c>
      <c r="D10" s="141" t="str">
        <f>IF(A3=2,"REVENUS","REVENUES")</f>
        <v>REVENUES</v>
      </c>
      <c r="E10" s="141"/>
      <c r="F10" s="142"/>
      <c r="G10" s="143"/>
      <c r="H10" s="143"/>
      <c r="I10" s="143"/>
      <c r="J10" s="143"/>
      <c r="K10" s="141"/>
      <c r="L10" s="141"/>
      <c r="M10" s="144"/>
      <c r="N10" s="145"/>
    </row>
    <row r="11" spans="1:22" s="1" customFormat="1" ht="30" hidden="1" customHeight="1" x14ac:dyDescent="0.15">
      <c r="B11" s="146">
        <f>IF(AND('Jrnl Rev'!G16&lt;&gt;"",'Jrnl Rev'!C16&lt;&gt;""),1,0)</f>
        <v>0</v>
      </c>
      <c r="C11" s="146">
        <f>'Jrnl Rev'!$C16</f>
        <v>0</v>
      </c>
      <c r="D11" s="147">
        <f>'Jrnl Rev'!$D16</f>
        <v>0</v>
      </c>
      <c r="E11" s="1510">
        <f>'Jrnl Rev'!$F16</f>
        <v>0</v>
      </c>
      <c r="F11" s="1510"/>
      <c r="G11" s="951" t="str">
        <f>IF('Jrnl Rev'!$E16="","",'Jrnl Rev'!$E16)</f>
        <v/>
      </c>
      <c r="H11" s="147">
        <f>'Jrnl Rev'!H16</f>
        <v>0</v>
      </c>
      <c r="I11" s="147" t="str">
        <f t="shared" ref="I11:I74" si="0">LEFT(H11,4)</f>
        <v>0</v>
      </c>
      <c r="J11" s="148" t="b">
        <f>IF($I11="1020",IF($G11&gt;=$E$3,IF($G11&lt;=$G$3,$K11,0)))</f>
        <v>0</v>
      </c>
      <c r="K11" s="149">
        <f>'Jrnl Rev'!$G16</f>
        <v>0</v>
      </c>
      <c r="L11" s="150"/>
      <c r="M11" s="151">
        <f>'Jrnl Rev'!E16</f>
        <v>0</v>
      </c>
      <c r="N11" s="152">
        <f>'Jrnl Rev'!$H16</f>
        <v>0</v>
      </c>
    </row>
    <row r="12" spans="1:22" s="1" customFormat="1" ht="30" hidden="1" customHeight="1" x14ac:dyDescent="0.15">
      <c r="B12" s="146">
        <f>IF(AND('Jrnl Rev'!G17&lt;&gt;"",'Jrnl Rev'!C17&lt;&gt;""),1,0)</f>
        <v>0</v>
      </c>
      <c r="C12" s="146">
        <f>'Jrnl Rev'!$C17</f>
        <v>0</v>
      </c>
      <c r="D12" s="147">
        <f>'Jrnl Rev'!$D17</f>
        <v>0</v>
      </c>
      <c r="E12" s="1510">
        <f>'Jrnl Rev'!$F17</f>
        <v>0</v>
      </c>
      <c r="F12" s="1510"/>
      <c r="G12" s="951" t="str">
        <f>IF('Jrnl Rev'!$E17="","",'Jrnl Rev'!$E17)</f>
        <v/>
      </c>
      <c r="H12" s="147">
        <f>'Jrnl Rev'!H17</f>
        <v>0</v>
      </c>
      <c r="I12" s="147" t="str">
        <f t="shared" si="0"/>
        <v>0</v>
      </c>
      <c r="J12" s="148" t="b">
        <f t="shared" ref="J12:J75" si="1">IF(I12="1020",IF(G12&gt;=$E$3,IF(G12&lt;=$G$3,K12,0)))</f>
        <v>0</v>
      </c>
      <c r="K12" s="149">
        <f>'Jrnl Rev'!$G17</f>
        <v>0</v>
      </c>
      <c r="L12" s="150"/>
      <c r="M12" s="151">
        <f>'Jrnl Rev'!E17</f>
        <v>0</v>
      </c>
      <c r="N12" s="152">
        <f>'Jrnl Rev'!$H17</f>
        <v>0</v>
      </c>
    </row>
    <row r="13" spans="1:22" s="1" customFormat="1" ht="30" hidden="1" customHeight="1" x14ac:dyDescent="0.15">
      <c r="B13" s="146">
        <f>IF(AND('Jrnl Rev'!G18&lt;&gt;"",'Jrnl Rev'!C18&lt;&gt;""),1,0)</f>
        <v>0</v>
      </c>
      <c r="C13" s="146">
        <f>'Jrnl Rev'!$C18</f>
        <v>0</v>
      </c>
      <c r="D13" s="147">
        <f>'Jrnl Rev'!$D18</f>
        <v>0</v>
      </c>
      <c r="E13" s="1510">
        <f>'Jrnl Rev'!$F18</f>
        <v>0</v>
      </c>
      <c r="F13" s="1510"/>
      <c r="G13" s="951" t="str">
        <f>IF('Jrnl Rev'!$E18="","",'Jrnl Rev'!$E18)</f>
        <v/>
      </c>
      <c r="H13" s="147">
        <f>'Jrnl Rev'!H18</f>
        <v>0</v>
      </c>
      <c r="I13" s="147" t="str">
        <f t="shared" si="0"/>
        <v>0</v>
      </c>
      <c r="J13" s="148" t="b">
        <f t="shared" si="1"/>
        <v>0</v>
      </c>
      <c r="K13" s="149">
        <f>'Jrnl Rev'!$G18</f>
        <v>0</v>
      </c>
      <c r="L13" s="150"/>
      <c r="M13" s="151">
        <f>'Jrnl Rev'!E18</f>
        <v>0</v>
      </c>
      <c r="N13" s="152">
        <f>'Jrnl Rev'!$H18</f>
        <v>0</v>
      </c>
      <c r="R13" s="37"/>
    </row>
    <row r="14" spans="1:22" s="1" customFormat="1" ht="30" hidden="1" customHeight="1" x14ac:dyDescent="0.15">
      <c r="B14" s="146">
        <f>IF(AND('Jrnl Rev'!G19&lt;&gt;"",'Jrnl Rev'!C19&lt;&gt;""),1,0)</f>
        <v>0</v>
      </c>
      <c r="C14" s="146">
        <f>'Jrnl Rev'!$C19</f>
        <v>0</v>
      </c>
      <c r="D14" s="147">
        <f>'Jrnl Rev'!$D19</f>
        <v>0</v>
      </c>
      <c r="E14" s="1510">
        <f>'Jrnl Rev'!$F19</f>
        <v>0</v>
      </c>
      <c r="F14" s="1510"/>
      <c r="G14" s="951" t="str">
        <f>IF('Jrnl Rev'!$E19="","",'Jrnl Rev'!$E19)</f>
        <v/>
      </c>
      <c r="H14" s="147">
        <f>'Jrnl Rev'!H19</f>
        <v>0</v>
      </c>
      <c r="I14" s="147" t="str">
        <f t="shared" si="0"/>
        <v>0</v>
      </c>
      <c r="J14" s="148" t="b">
        <f t="shared" si="1"/>
        <v>0</v>
      </c>
      <c r="K14" s="149">
        <f>'Jrnl Rev'!$G19</f>
        <v>0</v>
      </c>
      <c r="L14" s="150"/>
      <c r="M14" s="151">
        <f>'Jrnl Rev'!E19</f>
        <v>0</v>
      </c>
      <c r="N14" s="152">
        <f>'Jrnl Rev'!$H19</f>
        <v>0</v>
      </c>
    </row>
    <row r="15" spans="1:22" s="1" customFormat="1" ht="30" hidden="1" customHeight="1" x14ac:dyDescent="0.15">
      <c r="B15" s="146">
        <f>IF(AND('Jrnl Rev'!G20&lt;&gt;"",'Jrnl Rev'!C20&lt;&gt;""),1,0)</f>
        <v>0</v>
      </c>
      <c r="C15" s="146">
        <f>'Jrnl Rev'!$C20</f>
        <v>0</v>
      </c>
      <c r="D15" s="147">
        <f>'Jrnl Rev'!$D20</f>
        <v>0</v>
      </c>
      <c r="E15" s="1510">
        <f>'Jrnl Rev'!$F20</f>
        <v>0</v>
      </c>
      <c r="F15" s="1510"/>
      <c r="G15" s="951" t="str">
        <f>IF('Jrnl Rev'!$E20="","",'Jrnl Rev'!$E20)</f>
        <v/>
      </c>
      <c r="H15" s="147">
        <f>'Jrnl Rev'!H20</f>
        <v>0</v>
      </c>
      <c r="I15" s="147" t="str">
        <f t="shared" si="0"/>
        <v>0</v>
      </c>
      <c r="J15" s="148" t="b">
        <f t="shared" si="1"/>
        <v>0</v>
      </c>
      <c r="K15" s="149">
        <f>'Jrnl Rev'!$G20</f>
        <v>0</v>
      </c>
      <c r="L15" s="150"/>
      <c r="M15" s="151">
        <f>'Jrnl Rev'!E20</f>
        <v>0</v>
      </c>
      <c r="N15" s="152">
        <f>'Jrnl Rev'!$H20</f>
        <v>0</v>
      </c>
      <c r="R15" s="153"/>
      <c r="S15" s="154"/>
      <c r="T15" s="155"/>
      <c r="U15" s="155"/>
      <c r="V15" s="155"/>
    </row>
    <row r="16" spans="1:22" s="1" customFormat="1" ht="30" hidden="1" customHeight="1" x14ac:dyDescent="0.15">
      <c r="B16" s="146">
        <f>IF(AND('Jrnl Rev'!G21&lt;&gt;"",'Jrnl Rev'!C21&lt;&gt;""),1,0)</f>
        <v>0</v>
      </c>
      <c r="C16" s="146">
        <f>'Jrnl Rev'!$C21</f>
        <v>0</v>
      </c>
      <c r="D16" s="147">
        <f>'Jrnl Rev'!$D21</f>
        <v>0</v>
      </c>
      <c r="E16" s="1510">
        <f>'Jrnl Rev'!$F21</f>
        <v>0</v>
      </c>
      <c r="F16" s="1510"/>
      <c r="G16" s="951" t="str">
        <f>IF('Jrnl Rev'!$E21="","",'Jrnl Rev'!$E21)</f>
        <v/>
      </c>
      <c r="H16" s="147">
        <f>'Jrnl Rev'!H21</f>
        <v>0</v>
      </c>
      <c r="I16" s="147" t="str">
        <f t="shared" si="0"/>
        <v>0</v>
      </c>
      <c r="J16" s="148" t="b">
        <f t="shared" si="1"/>
        <v>0</v>
      </c>
      <c r="K16" s="149">
        <f>'Jrnl Rev'!$G21</f>
        <v>0</v>
      </c>
      <c r="L16" s="150"/>
      <c r="M16" s="151">
        <f>'Jrnl Rev'!E21</f>
        <v>0</v>
      </c>
      <c r="N16" s="152">
        <f>'Jrnl Rev'!$H21</f>
        <v>0</v>
      </c>
      <c r="R16" s="153"/>
      <c r="S16" s="154"/>
    </row>
    <row r="17" spans="2:14" s="1" customFormat="1" ht="30" hidden="1" customHeight="1" x14ac:dyDescent="0.15">
      <c r="B17" s="146">
        <f>IF(AND('Jrnl Rev'!G22&lt;&gt;"",'Jrnl Rev'!C22&lt;&gt;""),1,0)</f>
        <v>0</v>
      </c>
      <c r="C17" s="146">
        <f>'Jrnl Rev'!$C22</f>
        <v>0</v>
      </c>
      <c r="D17" s="147">
        <f>'Jrnl Rev'!$D22</f>
        <v>0</v>
      </c>
      <c r="E17" s="1510">
        <f>'Jrnl Rev'!$F22</f>
        <v>0</v>
      </c>
      <c r="F17" s="1510"/>
      <c r="G17" s="951" t="str">
        <f>IF('Jrnl Rev'!$E22="","",'Jrnl Rev'!$E22)</f>
        <v/>
      </c>
      <c r="H17" s="147">
        <f>'Jrnl Rev'!H22</f>
        <v>0</v>
      </c>
      <c r="I17" s="147" t="str">
        <f t="shared" si="0"/>
        <v>0</v>
      </c>
      <c r="J17" s="148" t="b">
        <f t="shared" si="1"/>
        <v>0</v>
      </c>
      <c r="K17" s="149">
        <f>'Jrnl Rev'!$G22</f>
        <v>0</v>
      </c>
      <c r="L17" s="150"/>
      <c r="M17" s="151">
        <f>'Jrnl Rev'!E22</f>
        <v>0</v>
      </c>
      <c r="N17" s="152">
        <f>'Jrnl Rev'!$H22</f>
        <v>0</v>
      </c>
    </row>
    <row r="18" spans="2:14" s="1" customFormat="1" ht="30" hidden="1" customHeight="1" x14ac:dyDescent="0.15">
      <c r="B18" s="146">
        <f>IF(AND('Jrnl Rev'!G23&lt;&gt;"",'Jrnl Rev'!C23&lt;&gt;""),1,0)</f>
        <v>0</v>
      </c>
      <c r="C18" s="146">
        <f>'Jrnl Rev'!$C23</f>
        <v>0</v>
      </c>
      <c r="D18" s="147">
        <f>'Jrnl Rev'!$D23</f>
        <v>0</v>
      </c>
      <c r="E18" s="1510">
        <f>'Jrnl Rev'!$F23</f>
        <v>0</v>
      </c>
      <c r="F18" s="1510"/>
      <c r="G18" s="951" t="str">
        <f>IF('Jrnl Rev'!$E23="","",'Jrnl Rev'!$E23)</f>
        <v/>
      </c>
      <c r="H18" s="147">
        <f>'Jrnl Rev'!H23</f>
        <v>0</v>
      </c>
      <c r="I18" s="147" t="str">
        <f t="shared" si="0"/>
        <v>0</v>
      </c>
      <c r="J18" s="148" t="b">
        <f t="shared" si="1"/>
        <v>0</v>
      </c>
      <c r="K18" s="149">
        <f>'Jrnl Rev'!$G23</f>
        <v>0</v>
      </c>
      <c r="L18" s="150"/>
      <c r="M18" s="151">
        <f>'Jrnl Rev'!E23</f>
        <v>0</v>
      </c>
      <c r="N18" s="152">
        <f>'Jrnl Rev'!$H23</f>
        <v>0</v>
      </c>
    </row>
    <row r="19" spans="2:14" s="1" customFormat="1" ht="30" hidden="1" customHeight="1" x14ac:dyDescent="0.15">
      <c r="B19" s="146">
        <f>IF(AND('Jrnl Rev'!G24&lt;&gt;"",'Jrnl Rev'!C24&lt;&gt;""),1,0)</f>
        <v>0</v>
      </c>
      <c r="C19" s="146">
        <f>'Jrnl Rev'!$C24</f>
        <v>0</v>
      </c>
      <c r="D19" s="147">
        <f>'Jrnl Rev'!$D24</f>
        <v>0</v>
      </c>
      <c r="E19" s="1510">
        <f>'Jrnl Rev'!$F24</f>
        <v>0</v>
      </c>
      <c r="F19" s="1510"/>
      <c r="G19" s="951" t="str">
        <f>IF('Jrnl Rev'!$E24="","",'Jrnl Rev'!$E24)</f>
        <v/>
      </c>
      <c r="H19" s="147">
        <f>'Jrnl Rev'!H24</f>
        <v>0</v>
      </c>
      <c r="I19" s="147" t="str">
        <f t="shared" si="0"/>
        <v>0</v>
      </c>
      <c r="J19" s="148" t="b">
        <f t="shared" si="1"/>
        <v>0</v>
      </c>
      <c r="K19" s="149">
        <f>'Jrnl Rev'!$G24</f>
        <v>0</v>
      </c>
      <c r="L19" s="150"/>
      <c r="M19" s="151">
        <f>'Jrnl Rev'!E24</f>
        <v>0</v>
      </c>
      <c r="N19" s="152">
        <f>'Jrnl Rev'!$H24</f>
        <v>0</v>
      </c>
    </row>
    <row r="20" spans="2:14" s="1" customFormat="1" ht="30" hidden="1" customHeight="1" x14ac:dyDescent="0.15">
      <c r="B20" s="146">
        <f>IF(AND('Jrnl Rev'!G25&lt;&gt;"",'Jrnl Rev'!C25&lt;&gt;""),1,0)</f>
        <v>0</v>
      </c>
      <c r="C20" s="146">
        <f>'Jrnl Rev'!$C25</f>
        <v>0</v>
      </c>
      <c r="D20" s="147">
        <f>'Jrnl Rev'!$D25</f>
        <v>0</v>
      </c>
      <c r="E20" s="1510">
        <f>'Jrnl Rev'!$F25</f>
        <v>0</v>
      </c>
      <c r="F20" s="1510"/>
      <c r="G20" s="951" t="str">
        <f>IF('Jrnl Rev'!$E25="","",'Jrnl Rev'!$E25)</f>
        <v/>
      </c>
      <c r="H20" s="147">
        <f>'Jrnl Rev'!H25</f>
        <v>0</v>
      </c>
      <c r="I20" s="147" t="str">
        <f t="shared" si="0"/>
        <v>0</v>
      </c>
      <c r="J20" s="148" t="b">
        <f t="shared" si="1"/>
        <v>0</v>
      </c>
      <c r="K20" s="149">
        <f>'Jrnl Rev'!$G25</f>
        <v>0</v>
      </c>
      <c r="L20" s="150"/>
      <c r="M20" s="151">
        <f>'Jrnl Rev'!E25</f>
        <v>0</v>
      </c>
      <c r="N20" s="152">
        <f>'Jrnl Rev'!$H25</f>
        <v>0</v>
      </c>
    </row>
    <row r="21" spans="2:14" s="1" customFormat="1" ht="30" hidden="1" customHeight="1" x14ac:dyDescent="0.15">
      <c r="B21" s="146">
        <f>IF(AND('Jrnl Rev'!G26&lt;&gt;"",'Jrnl Rev'!C26&lt;&gt;""),1,0)</f>
        <v>0</v>
      </c>
      <c r="C21" s="146">
        <f>'Jrnl Rev'!$C26</f>
        <v>0</v>
      </c>
      <c r="D21" s="147">
        <f>'Jrnl Rev'!$D26</f>
        <v>0</v>
      </c>
      <c r="E21" s="1510">
        <f>'Jrnl Rev'!$F26</f>
        <v>0</v>
      </c>
      <c r="F21" s="1510"/>
      <c r="G21" s="951" t="str">
        <f>IF('Jrnl Rev'!$E26="","",'Jrnl Rev'!$E26)</f>
        <v/>
      </c>
      <c r="H21" s="147">
        <f>'Jrnl Rev'!H26</f>
        <v>0</v>
      </c>
      <c r="I21" s="147" t="str">
        <f t="shared" si="0"/>
        <v>0</v>
      </c>
      <c r="J21" s="148" t="b">
        <f t="shared" si="1"/>
        <v>0</v>
      </c>
      <c r="K21" s="149">
        <f>'Jrnl Rev'!$G26</f>
        <v>0</v>
      </c>
      <c r="L21" s="150"/>
      <c r="M21" s="151">
        <f>'Jrnl Rev'!E26</f>
        <v>0</v>
      </c>
      <c r="N21" s="152">
        <f>'Jrnl Rev'!$H26</f>
        <v>0</v>
      </c>
    </row>
    <row r="22" spans="2:14" s="1" customFormat="1" ht="30" hidden="1" customHeight="1" x14ac:dyDescent="0.15">
      <c r="B22" s="146">
        <f>IF(AND('Jrnl Rev'!G27&lt;&gt;"",'Jrnl Rev'!C27&lt;&gt;""),1,0)</f>
        <v>0</v>
      </c>
      <c r="C22" s="146">
        <f>'Jrnl Rev'!$C27</f>
        <v>0</v>
      </c>
      <c r="D22" s="147">
        <f>'Jrnl Rev'!$D27</f>
        <v>0</v>
      </c>
      <c r="E22" s="1510">
        <f>'Jrnl Rev'!$F27</f>
        <v>0</v>
      </c>
      <c r="F22" s="1510"/>
      <c r="G22" s="951" t="str">
        <f>IF('Jrnl Rev'!$E27="","",'Jrnl Rev'!$E27)</f>
        <v/>
      </c>
      <c r="H22" s="147">
        <f>'Jrnl Rev'!H27</f>
        <v>0</v>
      </c>
      <c r="I22" s="147" t="str">
        <f t="shared" si="0"/>
        <v>0</v>
      </c>
      <c r="J22" s="148" t="b">
        <f t="shared" si="1"/>
        <v>0</v>
      </c>
      <c r="K22" s="149">
        <f>'Jrnl Rev'!$G27</f>
        <v>0</v>
      </c>
      <c r="L22" s="150"/>
      <c r="M22" s="151">
        <f>'Jrnl Rev'!E27</f>
        <v>0</v>
      </c>
      <c r="N22" s="152">
        <f>'Jrnl Rev'!$H27</f>
        <v>0</v>
      </c>
    </row>
    <row r="23" spans="2:14" s="1" customFormat="1" ht="30" hidden="1" customHeight="1" x14ac:dyDescent="0.15">
      <c r="B23" s="146">
        <f>IF(AND('Jrnl Rev'!G28&lt;&gt;"",'Jrnl Rev'!C28&lt;&gt;""),1,0)</f>
        <v>0</v>
      </c>
      <c r="C23" s="146">
        <f>'Jrnl Rev'!$C28</f>
        <v>0</v>
      </c>
      <c r="D23" s="147">
        <f>'Jrnl Rev'!$D28</f>
        <v>0</v>
      </c>
      <c r="E23" s="1510">
        <f>'Jrnl Rev'!$F28</f>
        <v>0</v>
      </c>
      <c r="F23" s="1510"/>
      <c r="G23" s="951" t="str">
        <f>IF('Jrnl Rev'!$E28="","",'Jrnl Rev'!$E28)</f>
        <v/>
      </c>
      <c r="H23" s="147">
        <f>'Jrnl Rev'!H28</f>
        <v>0</v>
      </c>
      <c r="I23" s="147" t="str">
        <f t="shared" si="0"/>
        <v>0</v>
      </c>
      <c r="J23" s="148" t="b">
        <f t="shared" si="1"/>
        <v>0</v>
      </c>
      <c r="K23" s="149">
        <f>'Jrnl Rev'!$G28</f>
        <v>0</v>
      </c>
      <c r="L23" s="150"/>
      <c r="M23" s="151">
        <f>'Jrnl Rev'!E28</f>
        <v>0</v>
      </c>
      <c r="N23" s="152">
        <f>'Jrnl Rev'!$H28</f>
        <v>0</v>
      </c>
    </row>
    <row r="24" spans="2:14" s="1" customFormat="1" ht="30" hidden="1" customHeight="1" x14ac:dyDescent="0.15">
      <c r="B24" s="146">
        <f>IF(AND('Jrnl Rev'!G29&lt;&gt;"",'Jrnl Rev'!C29&lt;&gt;""),1,0)</f>
        <v>0</v>
      </c>
      <c r="C24" s="146">
        <f>'Jrnl Rev'!$C29</f>
        <v>0</v>
      </c>
      <c r="D24" s="147">
        <f>'Jrnl Rev'!$D29</f>
        <v>0</v>
      </c>
      <c r="E24" s="1510">
        <f>'Jrnl Rev'!$F29</f>
        <v>0</v>
      </c>
      <c r="F24" s="1510"/>
      <c r="G24" s="951" t="str">
        <f>IF('Jrnl Rev'!$E29="","",'Jrnl Rev'!$E29)</f>
        <v/>
      </c>
      <c r="H24" s="147">
        <f>'Jrnl Rev'!H29</f>
        <v>0</v>
      </c>
      <c r="I24" s="147" t="str">
        <f t="shared" si="0"/>
        <v>0</v>
      </c>
      <c r="J24" s="148" t="b">
        <f t="shared" si="1"/>
        <v>0</v>
      </c>
      <c r="K24" s="149">
        <f>'Jrnl Rev'!$G29</f>
        <v>0</v>
      </c>
      <c r="L24" s="150"/>
      <c r="M24" s="151">
        <f>'Jrnl Rev'!E29</f>
        <v>0</v>
      </c>
      <c r="N24" s="152">
        <f>'Jrnl Rev'!$H29</f>
        <v>0</v>
      </c>
    </row>
    <row r="25" spans="2:14" s="1" customFormat="1" ht="30" hidden="1" customHeight="1" x14ac:dyDescent="0.15">
      <c r="B25" s="146">
        <f>IF(AND('Jrnl Rev'!G30&lt;&gt;"",'Jrnl Rev'!C30&lt;&gt;""),1,0)</f>
        <v>0</v>
      </c>
      <c r="C25" s="146">
        <f>'Jrnl Rev'!$C30</f>
        <v>0</v>
      </c>
      <c r="D25" s="147">
        <f>'Jrnl Rev'!$D30</f>
        <v>0</v>
      </c>
      <c r="E25" s="1510">
        <f>'Jrnl Rev'!$F30</f>
        <v>0</v>
      </c>
      <c r="F25" s="1510"/>
      <c r="G25" s="951" t="str">
        <f>IF('Jrnl Rev'!$E30="","",'Jrnl Rev'!$E30)</f>
        <v/>
      </c>
      <c r="H25" s="147">
        <f>'Jrnl Rev'!H30</f>
        <v>0</v>
      </c>
      <c r="I25" s="147" t="str">
        <f t="shared" si="0"/>
        <v>0</v>
      </c>
      <c r="J25" s="148" t="b">
        <f t="shared" si="1"/>
        <v>0</v>
      </c>
      <c r="K25" s="149">
        <f>'Jrnl Rev'!$G30</f>
        <v>0</v>
      </c>
      <c r="L25" s="150"/>
      <c r="M25" s="151">
        <f>'Jrnl Rev'!E30</f>
        <v>0</v>
      </c>
      <c r="N25" s="152">
        <f>'Jrnl Rev'!$H30</f>
        <v>0</v>
      </c>
    </row>
    <row r="26" spans="2:14" s="1" customFormat="1" ht="30" hidden="1" customHeight="1" x14ac:dyDescent="0.15">
      <c r="B26" s="146">
        <f>IF(AND('Jrnl Rev'!G31&lt;&gt;"",'Jrnl Rev'!C31&lt;&gt;""),1,0)</f>
        <v>0</v>
      </c>
      <c r="C26" s="146">
        <f>'Jrnl Rev'!$C31</f>
        <v>0</v>
      </c>
      <c r="D26" s="147">
        <f>'Jrnl Rev'!$D31</f>
        <v>0</v>
      </c>
      <c r="E26" s="1510">
        <f>'Jrnl Rev'!$F31</f>
        <v>0</v>
      </c>
      <c r="F26" s="1510"/>
      <c r="G26" s="951" t="str">
        <f>IF('Jrnl Rev'!$E31="","",'Jrnl Rev'!$E31)</f>
        <v/>
      </c>
      <c r="H26" s="147">
        <f>'Jrnl Rev'!H31</f>
        <v>0</v>
      </c>
      <c r="I26" s="147" t="str">
        <f t="shared" si="0"/>
        <v>0</v>
      </c>
      <c r="J26" s="148" t="b">
        <f t="shared" si="1"/>
        <v>0</v>
      </c>
      <c r="K26" s="149">
        <f>'Jrnl Rev'!$G31</f>
        <v>0</v>
      </c>
      <c r="L26" s="150"/>
      <c r="M26" s="151">
        <f>'Jrnl Rev'!E31</f>
        <v>0</v>
      </c>
      <c r="N26" s="152">
        <f>'Jrnl Rev'!$H31</f>
        <v>0</v>
      </c>
    </row>
    <row r="27" spans="2:14" s="1" customFormat="1" ht="30" hidden="1" customHeight="1" x14ac:dyDescent="0.15">
      <c r="B27" s="146">
        <f>IF(AND('Jrnl Rev'!G32&lt;&gt;"",'Jrnl Rev'!C32&lt;&gt;""),1,0)</f>
        <v>0</v>
      </c>
      <c r="C27" s="146">
        <f>'Jrnl Rev'!$C32</f>
        <v>0</v>
      </c>
      <c r="D27" s="147">
        <f>'Jrnl Rev'!$D32</f>
        <v>0</v>
      </c>
      <c r="E27" s="1510">
        <f>'Jrnl Rev'!$F32</f>
        <v>0</v>
      </c>
      <c r="F27" s="1510"/>
      <c r="G27" s="951" t="str">
        <f>IF('Jrnl Rev'!$E32="","",'Jrnl Rev'!$E32)</f>
        <v/>
      </c>
      <c r="H27" s="147">
        <f>'Jrnl Rev'!H32</f>
        <v>0</v>
      </c>
      <c r="I27" s="147" t="str">
        <f t="shared" si="0"/>
        <v>0</v>
      </c>
      <c r="J27" s="148" t="b">
        <f t="shared" si="1"/>
        <v>0</v>
      </c>
      <c r="K27" s="149">
        <f>'Jrnl Rev'!$G32</f>
        <v>0</v>
      </c>
      <c r="L27" s="150"/>
      <c r="M27" s="151">
        <f>'Jrnl Rev'!E32</f>
        <v>0</v>
      </c>
      <c r="N27" s="152">
        <f>'Jrnl Rev'!$H32</f>
        <v>0</v>
      </c>
    </row>
    <row r="28" spans="2:14" s="1" customFormat="1" ht="30" hidden="1" customHeight="1" x14ac:dyDescent="0.15">
      <c r="B28" s="146">
        <f>IF(AND('Jrnl Rev'!G33&lt;&gt;"",'Jrnl Rev'!C33&lt;&gt;""),1,0)</f>
        <v>0</v>
      </c>
      <c r="C28" s="146">
        <f>'Jrnl Rev'!$C33</f>
        <v>0</v>
      </c>
      <c r="D28" s="147">
        <f>'Jrnl Rev'!$D33</f>
        <v>0</v>
      </c>
      <c r="E28" s="1510">
        <f>'Jrnl Rev'!$F33</f>
        <v>0</v>
      </c>
      <c r="F28" s="1510"/>
      <c r="G28" s="951" t="str">
        <f>IF('Jrnl Rev'!$E33="","",'Jrnl Rev'!$E33)</f>
        <v/>
      </c>
      <c r="H28" s="147">
        <f>'Jrnl Rev'!H33</f>
        <v>0</v>
      </c>
      <c r="I28" s="147" t="str">
        <f t="shared" si="0"/>
        <v>0</v>
      </c>
      <c r="J28" s="148" t="b">
        <f t="shared" si="1"/>
        <v>0</v>
      </c>
      <c r="K28" s="149">
        <f>'Jrnl Rev'!$G33</f>
        <v>0</v>
      </c>
      <c r="L28" s="150"/>
      <c r="M28" s="151">
        <f>'Jrnl Rev'!E33</f>
        <v>0</v>
      </c>
      <c r="N28" s="152">
        <f>'Jrnl Rev'!$H33</f>
        <v>0</v>
      </c>
    </row>
    <row r="29" spans="2:14" s="1" customFormat="1" ht="30" hidden="1" customHeight="1" x14ac:dyDescent="0.15">
      <c r="B29" s="146">
        <f>IF(AND('Jrnl Rev'!G34&lt;&gt;"",'Jrnl Rev'!C34&lt;&gt;""),1,0)</f>
        <v>0</v>
      </c>
      <c r="C29" s="146">
        <f>'Jrnl Rev'!$C34</f>
        <v>0</v>
      </c>
      <c r="D29" s="147">
        <f>'Jrnl Rev'!$D34</f>
        <v>0</v>
      </c>
      <c r="E29" s="1510">
        <f>'Jrnl Rev'!$F34</f>
        <v>0</v>
      </c>
      <c r="F29" s="1510"/>
      <c r="G29" s="951" t="str">
        <f>IF('Jrnl Rev'!$E34="","",'Jrnl Rev'!$E34)</f>
        <v/>
      </c>
      <c r="H29" s="147">
        <f>'Jrnl Rev'!H34</f>
        <v>0</v>
      </c>
      <c r="I29" s="147" t="str">
        <f t="shared" si="0"/>
        <v>0</v>
      </c>
      <c r="J29" s="148" t="b">
        <f t="shared" si="1"/>
        <v>0</v>
      </c>
      <c r="K29" s="149">
        <f>'Jrnl Rev'!$G34</f>
        <v>0</v>
      </c>
      <c r="L29" s="150"/>
      <c r="M29" s="151">
        <f>'Jrnl Rev'!E34</f>
        <v>0</v>
      </c>
      <c r="N29" s="152">
        <f>'Jrnl Rev'!$H34</f>
        <v>0</v>
      </c>
    </row>
    <row r="30" spans="2:14" s="1" customFormat="1" ht="30" hidden="1" customHeight="1" x14ac:dyDescent="0.15">
      <c r="B30" s="146">
        <f>IF(AND('Jrnl Rev'!G35&lt;&gt;"",'Jrnl Rev'!C35&lt;&gt;""),1,0)</f>
        <v>0</v>
      </c>
      <c r="C30" s="146">
        <f>'Jrnl Rev'!$C35</f>
        <v>0</v>
      </c>
      <c r="D30" s="147">
        <f>'Jrnl Rev'!$D35</f>
        <v>0</v>
      </c>
      <c r="E30" s="1510">
        <f>'Jrnl Rev'!$F35</f>
        <v>0</v>
      </c>
      <c r="F30" s="1510"/>
      <c r="G30" s="951" t="str">
        <f>IF('Jrnl Rev'!$E35="","",'Jrnl Rev'!$E35)</f>
        <v/>
      </c>
      <c r="H30" s="147">
        <f>'Jrnl Rev'!H35</f>
        <v>0</v>
      </c>
      <c r="I30" s="147" t="str">
        <f t="shared" si="0"/>
        <v>0</v>
      </c>
      <c r="J30" s="148" t="b">
        <f t="shared" si="1"/>
        <v>0</v>
      </c>
      <c r="K30" s="149">
        <f>'Jrnl Rev'!$G35</f>
        <v>0</v>
      </c>
      <c r="L30" s="150"/>
      <c r="M30" s="151">
        <f>'Jrnl Rev'!E35</f>
        <v>0</v>
      </c>
      <c r="N30" s="152">
        <f>'Jrnl Rev'!$H35</f>
        <v>0</v>
      </c>
    </row>
    <row r="31" spans="2:14" s="1" customFormat="1" ht="30" hidden="1" customHeight="1" x14ac:dyDescent="0.15">
      <c r="B31" s="146">
        <f>IF(AND('Jrnl Rev'!G36&lt;&gt;"",'Jrnl Rev'!C36&lt;&gt;""),1,0)</f>
        <v>0</v>
      </c>
      <c r="C31" s="146">
        <f>'Jrnl Rev'!$C36</f>
        <v>0</v>
      </c>
      <c r="D31" s="147">
        <f>'Jrnl Rev'!$D36</f>
        <v>0</v>
      </c>
      <c r="E31" s="1510">
        <f>'Jrnl Rev'!$F36</f>
        <v>0</v>
      </c>
      <c r="F31" s="1510"/>
      <c r="G31" s="951" t="str">
        <f>IF('Jrnl Rev'!$E36="","",'Jrnl Rev'!$E36)</f>
        <v/>
      </c>
      <c r="H31" s="147">
        <f>'Jrnl Rev'!H36</f>
        <v>0</v>
      </c>
      <c r="I31" s="147" t="str">
        <f t="shared" si="0"/>
        <v>0</v>
      </c>
      <c r="J31" s="148" t="b">
        <f t="shared" si="1"/>
        <v>0</v>
      </c>
      <c r="K31" s="149">
        <f>'Jrnl Rev'!$G36</f>
        <v>0</v>
      </c>
      <c r="L31" s="150"/>
      <c r="M31" s="151">
        <f>'Jrnl Rev'!E36</f>
        <v>0</v>
      </c>
      <c r="N31" s="152">
        <f>'Jrnl Rev'!$H36</f>
        <v>0</v>
      </c>
    </row>
    <row r="32" spans="2:14" s="1" customFormat="1" ht="30" hidden="1" customHeight="1" x14ac:dyDescent="0.15">
      <c r="B32" s="146">
        <f>IF(AND('Jrnl Rev'!G37&lt;&gt;"",'Jrnl Rev'!C37&lt;&gt;""),1,0)</f>
        <v>0</v>
      </c>
      <c r="C32" s="146">
        <f>'Jrnl Rev'!$C37</f>
        <v>0</v>
      </c>
      <c r="D32" s="147">
        <f>'Jrnl Rev'!$D37</f>
        <v>0</v>
      </c>
      <c r="E32" s="1510">
        <f>'Jrnl Rev'!$F37</f>
        <v>0</v>
      </c>
      <c r="F32" s="1510"/>
      <c r="G32" s="951" t="str">
        <f>IF('Jrnl Rev'!$E37="","",'Jrnl Rev'!$E37)</f>
        <v/>
      </c>
      <c r="H32" s="147">
        <f>'Jrnl Rev'!H37</f>
        <v>0</v>
      </c>
      <c r="I32" s="147" t="str">
        <f t="shared" si="0"/>
        <v>0</v>
      </c>
      <c r="J32" s="148" t="b">
        <f t="shared" si="1"/>
        <v>0</v>
      </c>
      <c r="K32" s="149">
        <f>'Jrnl Rev'!$G37</f>
        <v>0</v>
      </c>
      <c r="L32" s="150"/>
      <c r="M32" s="151">
        <f>'Jrnl Rev'!E37</f>
        <v>0</v>
      </c>
      <c r="N32" s="152">
        <f>'Jrnl Rev'!$H37</f>
        <v>0</v>
      </c>
    </row>
    <row r="33" spans="2:14" s="1" customFormat="1" ht="30" hidden="1" customHeight="1" x14ac:dyDescent="0.15">
      <c r="B33" s="146">
        <f>IF(AND('Jrnl Rev'!G38&lt;&gt;"",'Jrnl Rev'!C38&lt;&gt;""),1,0)</f>
        <v>0</v>
      </c>
      <c r="C33" s="146">
        <f>'Jrnl Rev'!$C38</f>
        <v>0</v>
      </c>
      <c r="D33" s="147">
        <f>'Jrnl Rev'!$D38</f>
        <v>0</v>
      </c>
      <c r="E33" s="1510">
        <f>'Jrnl Rev'!$F38</f>
        <v>0</v>
      </c>
      <c r="F33" s="1510"/>
      <c r="G33" s="951" t="str">
        <f>IF('Jrnl Rev'!$E38="","",'Jrnl Rev'!$E38)</f>
        <v/>
      </c>
      <c r="H33" s="147">
        <f>'Jrnl Rev'!H38</f>
        <v>0</v>
      </c>
      <c r="I33" s="147" t="str">
        <f t="shared" si="0"/>
        <v>0</v>
      </c>
      <c r="J33" s="148" t="b">
        <f t="shared" si="1"/>
        <v>0</v>
      </c>
      <c r="K33" s="149">
        <f>'Jrnl Rev'!$G38</f>
        <v>0</v>
      </c>
      <c r="L33" s="150"/>
      <c r="M33" s="151">
        <f>'Jrnl Rev'!E38</f>
        <v>0</v>
      </c>
      <c r="N33" s="152">
        <f>'Jrnl Rev'!$H38</f>
        <v>0</v>
      </c>
    </row>
    <row r="34" spans="2:14" s="1" customFormat="1" ht="30" hidden="1" customHeight="1" x14ac:dyDescent="0.15">
      <c r="B34" s="146">
        <f>IF(AND('Jrnl Rev'!G39&lt;&gt;"",'Jrnl Rev'!C39&lt;&gt;""),1,0)</f>
        <v>0</v>
      </c>
      <c r="C34" s="146">
        <f>'Jrnl Rev'!$C39</f>
        <v>0</v>
      </c>
      <c r="D34" s="147">
        <f>'Jrnl Rev'!$D39</f>
        <v>0</v>
      </c>
      <c r="E34" s="1510">
        <f>'Jrnl Rev'!$F39</f>
        <v>0</v>
      </c>
      <c r="F34" s="1510"/>
      <c r="G34" s="951" t="str">
        <f>IF('Jrnl Rev'!$E39="","",'Jrnl Rev'!$E39)</f>
        <v/>
      </c>
      <c r="H34" s="147">
        <f>'Jrnl Rev'!H39</f>
        <v>0</v>
      </c>
      <c r="I34" s="147" t="str">
        <f t="shared" si="0"/>
        <v>0</v>
      </c>
      <c r="J34" s="148" t="b">
        <f t="shared" si="1"/>
        <v>0</v>
      </c>
      <c r="K34" s="149">
        <f>'Jrnl Rev'!$G39</f>
        <v>0</v>
      </c>
      <c r="L34" s="150"/>
      <c r="M34" s="151">
        <f>'Jrnl Rev'!E39</f>
        <v>0</v>
      </c>
      <c r="N34" s="152">
        <f>'Jrnl Rev'!$H39</f>
        <v>0</v>
      </c>
    </row>
    <row r="35" spans="2:14" s="1" customFormat="1" ht="30" hidden="1" customHeight="1" x14ac:dyDescent="0.15">
      <c r="B35" s="146">
        <f>IF(AND('Jrnl Rev'!G40&lt;&gt;"",'Jrnl Rev'!C40&lt;&gt;""),1,0)</f>
        <v>0</v>
      </c>
      <c r="C35" s="146">
        <f>'Jrnl Rev'!$C40</f>
        <v>0</v>
      </c>
      <c r="D35" s="147">
        <f>'Jrnl Rev'!$D40</f>
        <v>0</v>
      </c>
      <c r="E35" s="1510">
        <f>'Jrnl Rev'!$F40</f>
        <v>0</v>
      </c>
      <c r="F35" s="1510"/>
      <c r="G35" s="951" t="str">
        <f>IF('Jrnl Rev'!$E40="","",'Jrnl Rev'!$E40)</f>
        <v/>
      </c>
      <c r="H35" s="147">
        <f>'Jrnl Rev'!H40</f>
        <v>0</v>
      </c>
      <c r="I35" s="147" t="str">
        <f t="shared" si="0"/>
        <v>0</v>
      </c>
      <c r="J35" s="148" t="b">
        <f t="shared" si="1"/>
        <v>0</v>
      </c>
      <c r="K35" s="149">
        <f>'Jrnl Rev'!$G40</f>
        <v>0</v>
      </c>
      <c r="L35" s="150"/>
      <c r="M35" s="151">
        <f>'Jrnl Rev'!E40</f>
        <v>0</v>
      </c>
      <c r="N35" s="152">
        <f>'Jrnl Rev'!$H40</f>
        <v>0</v>
      </c>
    </row>
    <row r="36" spans="2:14" s="1" customFormat="1" ht="30" hidden="1" customHeight="1" x14ac:dyDescent="0.15">
      <c r="B36" s="146">
        <f>IF(AND('Jrnl Rev'!G41&lt;&gt;"",'Jrnl Rev'!C41&lt;&gt;""),1,0)</f>
        <v>0</v>
      </c>
      <c r="C36" s="146">
        <f>'Jrnl Rev'!$C41</f>
        <v>0</v>
      </c>
      <c r="D36" s="147">
        <f>'Jrnl Rev'!$D41</f>
        <v>0</v>
      </c>
      <c r="E36" s="1510">
        <f>'Jrnl Rev'!$F41</f>
        <v>0</v>
      </c>
      <c r="F36" s="1510"/>
      <c r="G36" s="951" t="str">
        <f>IF('Jrnl Rev'!$E41="","",'Jrnl Rev'!$E41)</f>
        <v/>
      </c>
      <c r="H36" s="147">
        <f>'Jrnl Rev'!H41</f>
        <v>0</v>
      </c>
      <c r="I36" s="147" t="str">
        <f t="shared" si="0"/>
        <v>0</v>
      </c>
      <c r="J36" s="148" t="b">
        <f t="shared" si="1"/>
        <v>0</v>
      </c>
      <c r="K36" s="149">
        <f>'Jrnl Rev'!$G41</f>
        <v>0</v>
      </c>
      <c r="L36" s="150"/>
      <c r="M36" s="151">
        <f>'Jrnl Rev'!E41</f>
        <v>0</v>
      </c>
      <c r="N36" s="152">
        <f>'Jrnl Rev'!$H41</f>
        <v>0</v>
      </c>
    </row>
    <row r="37" spans="2:14" s="1" customFormat="1" ht="30" hidden="1" customHeight="1" x14ac:dyDescent="0.15">
      <c r="B37" s="146">
        <f>IF(AND('Jrnl Rev'!G42&lt;&gt;"",'Jrnl Rev'!C42&lt;&gt;""),1,0)</f>
        <v>0</v>
      </c>
      <c r="C37" s="146">
        <f>'Jrnl Rev'!$C42</f>
        <v>0</v>
      </c>
      <c r="D37" s="147">
        <f>'Jrnl Rev'!$D42</f>
        <v>0</v>
      </c>
      <c r="E37" s="1510">
        <f>'Jrnl Rev'!$F42</f>
        <v>0</v>
      </c>
      <c r="F37" s="1510"/>
      <c r="G37" s="951" t="str">
        <f>IF('Jrnl Rev'!$E42="","",'Jrnl Rev'!$E42)</f>
        <v/>
      </c>
      <c r="H37" s="147">
        <f>'Jrnl Rev'!H42</f>
        <v>0</v>
      </c>
      <c r="I37" s="147" t="str">
        <f t="shared" si="0"/>
        <v>0</v>
      </c>
      <c r="J37" s="148" t="b">
        <f t="shared" si="1"/>
        <v>0</v>
      </c>
      <c r="K37" s="149">
        <f>'Jrnl Rev'!$G42</f>
        <v>0</v>
      </c>
      <c r="L37" s="150"/>
      <c r="M37" s="151">
        <f>'Jrnl Rev'!E42</f>
        <v>0</v>
      </c>
      <c r="N37" s="152">
        <f>'Jrnl Rev'!$H42</f>
        <v>0</v>
      </c>
    </row>
    <row r="38" spans="2:14" s="1" customFormat="1" ht="30" hidden="1" customHeight="1" x14ac:dyDescent="0.15">
      <c r="B38" s="146">
        <f>IF(AND('Jrnl Rev'!G43&lt;&gt;"",'Jrnl Rev'!C43&lt;&gt;""),1,0)</f>
        <v>0</v>
      </c>
      <c r="C38" s="146">
        <f>'Jrnl Rev'!$C43</f>
        <v>0</v>
      </c>
      <c r="D38" s="147">
        <f>'Jrnl Rev'!$D43</f>
        <v>0</v>
      </c>
      <c r="E38" s="1510">
        <f>'Jrnl Rev'!$F43</f>
        <v>0</v>
      </c>
      <c r="F38" s="1510"/>
      <c r="G38" s="951" t="str">
        <f>IF('Jrnl Rev'!$E43="","",'Jrnl Rev'!$E43)</f>
        <v/>
      </c>
      <c r="H38" s="147">
        <f>'Jrnl Rev'!H43</f>
        <v>0</v>
      </c>
      <c r="I38" s="147" t="str">
        <f t="shared" si="0"/>
        <v>0</v>
      </c>
      <c r="J38" s="148" t="b">
        <f t="shared" si="1"/>
        <v>0</v>
      </c>
      <c r="K38" s="149">
        <f>'Jrnl Rev'!$G43</f>
        <v>0</v>
      </c>
      <c r="L38" s="150"/>
      <c r="M38" s="151">
        <f>'Jrnl Rev'!E43</f>
        <v>0</v>
      </c>
      <c r="N38" s="152">
        <f>'Jrnl Rev'!$H43</f>
        <v>0</v>
      </c>
    </row>
    <row r="39" spans="2:14" s="1" customFormat="1" ht="30" hidden="1" customHeight="1" x14ac:dyDescent="0.15">
      <c r="B39" s="146">
        <f>IF(AND('Jrnl Rev'!G44&lt;&gt;"",'Jrnl Rev'!C44&lt;&gt;""),1,0)</f>
        <v>0</v>
      </c>
      <c r="C39" s="146">
        <f>'Jrnl Rev'!$C44</f>
        <v>0</v>
      </c>
      <c r="D39" s="147">
        <f>'Jrnl Rev'!$D44</f>
        <v>0</v>
      </c>
      <c r="E39" s="1510">
        <f>'Jrnl Rev'!$F44</f>
        <v>0</v>
      </c>
      <c r="F39" s="1510"/>
      <c r="G39" s="951" t="str">
        <f>IF('Jrnl Rev'!$E44="","",'Jrnl Rev'!$E44)</f>
        <v/>
      </c>
      <c r="H39" s="147">
        <f>'Jrnl Rev'!H44</f>
        <v>0</v>
      </c>
      <c r="I39" s="147" t="str">
        <f t="shared" si="0"/>
        <v>0</v>
      </c>
      <c r="J39" s="148" t="b">
        <f t="shared" si="1"/>
        <v>0</v>
      </c>
      <c r="K39" s="149">
        <f>'Jrnl Rev'!$G44</f>
        <v>0</v>
      </c>
      <c r="L39" s="150"/>
      <c r="M39" s="151">
        <f>'Jrnl Rev'!E44</f>
        <v>0</v>
      </c>
      <c r="N39" s="152">
        <f>'Jrnl Rev'!$H44</f>
        <v>0</v>
      </c>
    </row>
    <row r="40" spans="2:14" s="1" customFormat="1" ht="30" hidden="1" customHeight="1" x14ac:dyDescent="0.15">
      <c r="B40" s="146">
        <f>IF(AND('Jrnl Rev'!G45&lt;&gt;"",'Jrnl Rev'!C45&lt;&gt;""),1,0)</f>
        <v>0</v>
      </c>
      <c r="C40" s="146">
        <f>'Jrnl Rev'!$C45</f>
        <v>0</v>
      </c>
      <c r="D40" s="147">
        <f>'Jrnl Rev'!$D45</f>
        <v>0</v>
      </c>
      <c r="E40" s="1510">
        <f>'Jrnl Rev'!$F45</f>
        <v>0</v>
      </c>
      <c r="F40" s="1510"/>
      <c r="G40" s="951" t="str">
        <f>IF('Jrnl Rev'!$E45="","",'Jrnl Rev'!$E45)</f>
        <v/>
      </c>
      <c r="H40" s="147">
        <f>'Jrnl Rev'!H45</f>
        <v>0</v>
      </c>
      <c r="I40" s="147" t="str">
        <f t="shared" si="0"/>
        <v>0</v>
      </c>
      <c r="J40" s="148" t="b">
        <f t="shared" si="1"/>
        <v>0</v>
      </c>
      <c r="K40" s="149">
        <f>'Jrnl Rev'!$G45</f>
        <v>0</v>
      </c>
      <c r="L40" s="150"/>
      <c r="M40" s="151">
        <f>'Jrnl Rev'!E45</f>
        <v>0</v>
      </c>
      <c r="N40" s="152">
        <f>'Jrnl Rev'!$H45</f>
        <v>0</v>
      </c>
    </row>
    <row r="41" spans="2:14" s="1" customFormat="1" ht="30" hidden="1" customHeight="1" x14ac:dyDescent="0.15">
      <c r="B41" s="146">
        <f>IF(AND('Jrnl Rev'!G46&lt;&gt;"",'Jrnl Rev'!C46&lt;&gt;""),1,0)</f>
        <v>0</v>
      </c>
      <c r="C41" s="146">
        <f>'Jrnl Rev'!$C46</f>
        <v>0</v>
      </c>
      <c r="D41" s="147">
        <f>'Jrnl Rev'!$D46</f>
        <v>0</v>
      </c>
      <c r="E41" s="1510">
        <f>'Jrnl Rev'!$F46</f>
        <v>0</v>
      </c>
      <c r="F41" s="1510"/>
      <c r="G41" s="951" t="str">
        <f>IF('Jrnl Rev'!$E46="","",'Jrnl Rev'!$E46)</f>
        <v/>
      </c>
      <c r="H41" s="147">
        <f>'Jrnl Rev'!H46</f>
        <v>0</v>
      </c>
      <c r="I41" s="147" t="str">
        <f t="shared" si="0"/>
        <v>0</v>
      </c>
      <c r="J41" s="148" t="b">
        <f t="shared" si="1"/>
        <v>0</v>
      </c>
      <c r="K41" s="149">
        <f>'Jrnl Rev'!$G46</f>
        <v>0</v>
      </c>
      <c r="L41" s="150"/>
      <c r="M41" s="151">
        <f>'Jrnl Rev'!E46</f>
        <v>0</v>
      </c>
      <c r="N41" s="152">
        <f>'Jrnl Rev'!$H46</f>
        <v>0</v>
      </c>
    </row>
    <row r="42" spans="2:14" s="1" customFormat="1" ht="30" hidden="1" customHeight="1" x14ac:dyDescent="0.15">
      <c r="B42" s="146">
        <f>IF(AND('Jrnl Rev'!G47&lt;&gt;"",'Jrnl Rev'!C47&lt;&gt;""),1,0)</f>
        <v>0</v>
      </c>
      <c r="C42" s="146">
        <f>'Jrnl Rev'!$C47</f>
        <v>0</v>
      </c>
      <c r="D42" s="147">
        <f>'Jrnl Rev'!$D47</f>
        <v>0</v>
      </c>
      <c r="E42" s="1510">
        <f>'Jrnl Rev'!$F47</f>
        <v>0</v>
      </c>
      <c r="F42" s="1510"/>
      <c r="G42" s="951" t="str">
        <f>IF('Jrnl Rev'!$E47="","",'Jrnl Rev'!$E47)</f>
        <v/>
      </c>
      <c r="H42" s="147">
        <f>'Jrnl Rev'!H47</f>
        <v>0</v>
      </c>
      <c r="I42" s="147" t="str">
        <f t="shared" si="0"/>
        <v>0</v>
      </c>
      <c r="J42" s="148" t="b">
        <f t="shared" si="1"/>
        <v>0</v>
      </c>
      <c r="K42" s="149">
        <f>'Jrnl Rev'!$G47</f>
        <v>0</v>
      </c>
      <c r="L42" s="150"/>
      <c r="M42" s="151">
        <f>'Jrnl Rev'!E47</f>
        <v>0</v>
      </c>
      <c r="N42" s="152">
        <f>'Jrnl Rev'!$H47</f>
        <v>0</v>
      </c>
    </row>
    <row r="43" spans="2:14" s="1" customFormat="1" ht="30" hidden="1" customHeight="1" x14ac:dyDescent="0.15">
      <c r="B43" s="146">
        <f>IF(AND('Jrnl Rev'!G48&lt;&gt;"",'Jrnl Rev'!C48&lt;&gt;""),1,0)</f>
        <v>0</v>
      </c>
      <c r="C43" s="146">
        <f>'Jrnl Rev'!$C48</f>
        <v>0</v>
      </c>
      <c r="D43" s="147">
        <f>'Jrnl Rev'!$D48</f>
        <v>0</v>
      </c>
      <c r="E43" s="1510">
        <f>'Jrnl Rev'!$F48</f>
        <v>0</v>
      </c>
      <c r="F43" s="1510"/>
      <c r="G43" s="951" t="str">
        <f>IF('Jrnl Rev'!$E48="","",'Jrnl Rev'!$E48)</f>
        <v/>
      </c>
      <c r="H43" s="147">
        <f>'Jrnl Rev'!H48</f>
        <v>0</v>
      </c>
      <c r="I43" s="147" t="str">
        <f t="shared" si="0"/>
        <v>0</v>
      </c>
      <c r="J43" s="148" t="b">
        <f t="shared" si="1"/>
        <v>0</v>
      </c>
      <c r="K43" s="149">
        <f>'Jrnl Rev'!$G48</f>
        <v>0</v>
      </c>
      <c r="L43" s="150"/>
      <c r="M43" s="151">
        <f>'Jrnl Rev'!E48</f>
        <v>0</v>
      </c>
      <c r="N43" s="152">
        <f>'Jrnl Rev'!$H48</f>
        <v>0</v>
      </c>
    </row>
    <row r="44" spans="2:14" s="1" customFormat="1" ht="30" hidden="1" customHeight="1" x14ac:dyDescent="0.15">
      <c r="B44" s="146">
        <f>IF(AND('Jrnl Rev'!G49&lt;&gt;"",'Jrnl Rev'!C49&lt;&gt;""),1,0)</f>
        <v>0</v>
      </c>
      <c r="C44" s="146">
        <f>'Jrnl Rev'!$C49</f>
        <v>0</v>
      </c>
      <c r="D44" s="147">
        <f>'Jrnl Rev'!$D49</f>
        <v>0</v>
      </c>
      <c r="E44" s="1510">
        <f>'Jrnl Rev'!$F49</f>
        <v>0</v>
      </c>
      <c r="F44" s="1510"/>
      <c r="G44" s="951" t="str">
        <f>IF('Jrnl Rev'!$E49="","",'Jrnl Rev'!$E49)</f>
        <v/>
      </c>
      <c r="H44" s="147">
        <f>'Jrnl Rev'!H49</f>
        <v>0</v>
      </c>
      <c r="I44" s="147" t="str">
        <f t="shared" si="0"/>
        <v>0</v>
      </c>
      <c r="J44" s="148" t="b">
        <f t="shared" si="1"/>
        <v>0</v>
      </c>
      <c r="K44" s="149">
        <f>'Jrnl Rev'!$G49</f>
        <v>0</v>
      </c>
      <c r="L44" s="150"/>
      <c r="M44" s="151">
        <f>'Jrnl Rev'!E49</f>
        <v>0</v>
      </c>
      <c r="N44" s="152">
        <f>'Jrnl Rev'!$H49</f>
        <v>0</v>
      </c>
    </row>
    <row r="45" spans="2:14" s="1" customFormat="1" ht="30" hidden="1" customHeight="1" x14ac:dyDescent="0.15">
      <c r="B45" s="146">
        <f>IF(AND('Jrnl Rev'!G50&lt;&gt;"",'Jrnl Rev'!C50&lt;&gt;""),1,0)</f>
        <v>0</v>
      </c>
      <c r="C45" s="146">
        <f>'Jrnl Rev'!$C50</f>
        <v>0</v>
      </c>
      <c r="D45" s="147">
        <f>'Jrnl Rev'!$D50</f>
        <v>0</v>
      </c>
      <c r="E45" s="1510">
        <f>'Jrnl Rev'!$F50</f>
        <v>0</v>
      </c>
      <c r="F45" s="1510"/>
      <c r="G45" s="951" t="str">
        <f>IF('Jrnl Rev'!$E50="","",'Jrnl Rev'!$E50)</f>
        <v/>
      </c>
      <c r="H45" s="147">
        <f>'Jrnl Rev'!H50</f>
        <v>0</v>
      </c>
      <c r="I45" s="147" t="str">
        <f t="shared" si="0"/>
        <v>0</v>
      </c>
      <c r="J45" s="148" t="b">
        <f t="shared" si="1"/>
        <v>0</v>
      </c>
      <c r="K45" s="149">
        <f>'Jrnl Rev'!$G50</f>
        <v>0</v>
      </c>
      <c r="L45" s="150"/>
      <c r="M45" s="151">
        <f>'Jrnl Rev'!E50</f>
        <v>0</v>
      </c>
      <c r="N45" s="152">
        <f>'Jrnl Rev'!$H50</f>
        <v>0</v>
      </c>
    </row>
    <row r="46" spans="2:14" s="1" customFormat="1" ht="30" hidden="1" customHeight="1" x14ac:dyDescent="0.15">
      <c r="B46" s="146">
        <f>IF(AND('Jrnl Rev'!G51&lt;&gt;"",'Jrnl Rev'!C51&lt;&gt;""),1,0)</f>
        <v>0</v>
      </c>
      <c r="C46" s="146">
        <f>'Jrnl Rev'!$C51</f>
        <v>0</v>
      </c>
      <c r="D46" s="147">
        <f>'Jrnl Rev'!$D51</f>
        <v>0</v>
      </c>
      <c r="E46" s="1510">
        <f>'Jrnl Rev'!$F51</f>
        <v>0</v>
      </c>
      <c r="F46" s="1510"/>
      <c r="G46" s="951" t="str">
        <f>IF('Jrnl Rev'!$E51="","",'Jrnl Rev'!$E51)</f>
        <v/>
      </c>
      <c r="H46" s="147">
        <f>'Jrnl Rev'!H51</f>
        <v>0</v>
      </c>
      <c r="I46" s="147" t="str">
        <f t="shared" si="0"/>
        <v>0</v>
      </c>
      <c r="J46" s="148" t="b">
        <f t="shared" si="1"/>
        <v>0</v>
      </c>
      <c r="K46" s="149">
        <f>'Jrnl Rev'!$G51</f>
        <v>0</v>
      </c>
      <c r="L46" s="150"/>
      <c r="M46" s="151">
        <f>'Jrnl Rev'!E51</f>
        <v>0</v>
      </c>
      <c r="N46" s="152">
        <f>'Jrnl Rev'!$H51</f>
        <v>0</v>
      </c>
    </row>
    <row r="47" spans="2:14" s="1" customFormat="1" ht="30" hidden="1" customHeight="1" x14ac:dyDescent="0.15">
      <c r="B47" s="146">
        <f>IF(AND('Jrnl Rev'!G52&lt;&gt;"",'Jrnl Rev'!C52&lt;&gt;""),1,0)</f>
        <v>0</v>
      </c>
      <c r="C47" s="146">
        <f>'Jrnl Rev'!$C52</f>
        <v>0</v>
      </c>
      <c r="D47" s="147">
        <f>'Jrnl Rev'!$D52</f>
        <v>0</v>
      </c>
      <c r="E47" s="1510">
        <f>'Jrnl Rev'!$F52</f>
        <v>0</v>
      </c>
      <c r="F47" s="1510"/>
      <c r="G47" s="951" t="str">
        <f>IF('Jrnl Rev'!$E52="","",'Jrnl Rev'!$E52)</f>
        <v/>
      </c>
      <c r="H47" s="147">
        <f>'Jrnl Rev'!H52</f>
        <v>0</v>
      </c>
      <c r="I47" s="147" t="str">
        <f t="shared" si="0"/>
        <v>0</v>
      </c>
      <c r="J47" s="148" t="b">
        <f t="shared" si="1"/>
        <v>0</v>
      </c>
      <c r="K47" s="149">
        <f>'Jrnl Rev'!$G52</f>
        <v>0</v>
      </c>
      <c r="L47" s="150"/>
      <c r="M47" s="151">
        <f>'Jrnl Rev'!E52</f>
        <v>0</v>
      </c>
      <c r="N47" s="152">
        <f>'Jrnl Rev'!$H52</f>
        <v>0</v>
      </c>
    </row>
    <row r="48" spans="2:14" s="1" customFormat="1" ht="30" hidden="1" customHeight="1" x14ac:dyDescent="0.15">
      <c r="B48" s="146">
        <f>IF(AND('Jrnl Rev'!G53&lt;&gt;"",'Jrnl Rev'!C53&lt;&gt;""),1,0)</f>
        <v>0</v>
      </c>
      <c r="C48" s="146">
        <f>'Jrnl Rev'!$C53</f>
        <v>0</v>
      </c>
      <c r="D48" s="147">
        <f>'Jrnl Rev'!$D53</f>
        <v>0</v>
      </c>
      <c r="E48" s="1510">
        <f>'Jrnl Rev'!$F53</f>
        <v>0</v>
      </c>
      <c r="F48" s="1510"/>
      <c r="G48" s="951" t="str">
        <f>IF('Jrnl Rev'!$E53="","",'Jrnl Rev'!$E53)</f>
        <v/>
      </c>
      <c r="H48" s="147">
        <f>'Jrnl Rev'!H53</f>
        <v>0</v>
      </c>
      <c r="I48" s="147" t="str">
        <f t="shared" si="0"/>
        <v>0</v>
      </c>
      <c r="J48" s="148" t="b">
        <f t="shared" si="1"/>
        <v>0</v>
      </c>
      <c r="K48" s="149">
        <f>'Jrnl Rev'!$G53</f>
        <v>0</v>
      </c>
      <c r="L48" s="150"/>
      <c r="M48" s="151">
        <f>'Jrnl Rev'!E53</f>
        <v>0</v>
      </c>
      <c r="N48" s="152">
        <f>'Jrnl Rev'!$H53</f>
        <v>0</v>
      </c>
    </row>
    <row r="49" spans="2:14" s="1" customFormat="1" ht="30" hidden="1" customHeight="1" x14ac:dyDescent="0.15">
      <c r="B49" s="146">
        <f>IF(AND('Jrnl Rev'!G54&lt;&gt;"",'Jrnl Rev'!C54&lt;&gt;""),1,0)</f>
        <v>0</v>
      </c>
      <c r="C49" s="146">
        <f>'Jrnl Rev'!$C54</f>
        <v>0</v>
      </c>
      <c r="D49" s="147">
        <f>'Jrnl Rev'!$D54</f>
        <v>0</v>
      </c>
      <c r="E49" s="1510">
        <f>'Jrnl Rev'!$F54</f>
        <v>0</v>
      </c>
      <c r="F49" s="1510"/>
      <c r="G49" s="951" t="str">
        <f>IF('Jrnl Rev'!$E54="","",'Jrnl Rev'!$E54)</f>
        <v/>
      </c>
      <c r="H49" s="147">
        <f>'Jrnl Rev'!H54</f>
        <v>0</v>
      </c>
      <c r="I49" s="147" t="str">
        <f t="shared" si="0"/>
        <v>0</v>
      </c>
      <c r="J49" s="148" t="b">
        <f t="shared" si="1"/>
        <v>0</v>
      </c>
      <c r="K49" s="149">
        <f>'Jrnl Rev'!$G54</f>
        <v>0</v>
      </c>
      <c r="L49" s="150"/>
      <c r="M49" s="151">
        <f>'Jrnl Rev'!E54</f>
        <v>0</v>
      </c>
      <c r="N49" s="152">
        <f>'Jrnl Rev'!$H54</f>
        <v>0</v>
      </c>
    </row>
    <row r="50" spans="2:14" s="1" customFormat="1" ht="30" hidden="1" customHeight="1" x14ac:dyDescent="0.15">
      <c r="B50" s="146">
        <f>IF(AND('Jrnl Rev'!G55&lt;&gt;"",'Jrnl Rev'!C55&lt;&gt;""),1,0)</f>
        <v>0</v>
      </c>
      <c r="C50" s="146">
        <f>'Jrnl Rev'!$C55</f>
        <v>0</v>
      </c>
      <c r="D50" s="147">
        <f>'Jrnl Rev'!$D55</f>
        <v>0</v>
      </c>
      <c r="E50" s="1510">
        <f>'Jrnl Rev'!$F55</f>
        <v>0</v>
      </c>
      <c r="F50" s="1510"/>
      <c r="G50" s="951" t="str">
        <f>IF('Jrnl Rev'!$E55="","",'Jrnl Rev'!$E55)</f>
        <v/>
      </c>
      <c r="H50" s="147">
        <f>'Jrnl Rev'!H55</f>
        <v>0</v>
      </c>
      <c r="I50" s="147" t="str">
        <f t="shared" si="0"/>
        <v>0</v>
      </c>
      <c r="J50" s="148" t="b">
        <f t="shared" si="1"/>
        <v>0</v>
      </c>
      <c r="K50" s="149">
        <f>'Jrnl Rev'!$G55</f>
        <v>0</v>
      </c>
      <c r="L50" s="150"/>
      <c r="M50" s="151">
        <f>'Jrnl Rev'!E55</f>
        <v>0</v>
      </c>
      <c r="N50" s="152">
        <f>'Jrnl Rev'!$H55</f>
        <v>0</v>
      </c>
    </row>
    <row r="51" spans="2:14" s="1" customFormat="1" ht="30" hidden="1" customHeight="1" x14ac:dyDescent="0.15">
      <c r="B51" s="146">
        <f>IF(AND('Jrnl Rev'!G56&lt;&gt;"",'Jrnl Rev'!C56&lt;&gt;""),1,0)</f>
        <v>0</v>
      </c>
      <c r="C51" s="146">
        <f>'Jrnl Rev'!$C56</f>
        <v>0</v>
      </c>
      <c r="D51" s="147">
        <f>'Jrnl Rev'!$D56</f>
        <v>0</v>
      </c>
      <c r="E51" s="1510">
        <f>'Jrnl Rev'!$F56</f>
        <v>0</v>
      </c>
      <c r="F51" s="1510"/>
      <c r="G51" s="951" t="str">
        <f>IF('Jrnl Rev'!$E56="","",'Jrnl Rev'!$E56)</f>
        <v/>
      </c>
      <c r="H51" s="147">
        <f>'Jrnl Rev'!H56</f>
        <v>0</v>
      </c>
      <c r="I51" s="147" t="str">
        <f t="shared" si="0"/>
        <v>0</v>
      </c>
      <c r="J51" s="148" t="b">
        <f t="shared" si="1"/>
        <v>0</v>
      </c>
      <c r="K51" s="149">
        <f>'Jrnl Rev'!$G56</f>
        <v>0</v>
      </c>
      <c r="L51" s="150"/>
      <c r="M51" s="151">
        <f>'Jrnl Rev'!E56</f>
        <v>0</v>
      </c>
      <c r="N51" s="152">
        <f>'Jrnl Rev'!$H56</f>
        <v>0</v>
      </c>
    </row>
    <row r="52" spans="2:14" s="1" customFormat="1" ht="30" hidden="1" customHeight="1" x14ac:dyDescent="0.15">
      <c r="B52" s="146">
        <f>IF(AND('Jrnl Rev'!G57&lt;&gt;"",'Jrnl Rev'!C57&lt;&gt;""),1,0)</f>
        <v>0</v>
      </c>
      <c r="C52" s="146">
        <f>'Jrnl Rev'!$C57</f>
        <v>0</v>
      </c>
      <c r="D52" s="147">
        <f>'Jrnl Rev'!$D57</f>
        <v>0</v>
      </c>
      <c r="E52" s="1510">
        <f>'Jrnl Rev'!$F57</f>
        <v>0</v>
      </c>
      <c r="F52" s="1510"/>
      <c r="G52" s="951" t="str">
        <f>IF('Jrnl Rev'!$E57="","",'Jrnl Rev'!$E57)</f>
        <v/>
      </c>
      <c r="H52" s="147">
        <f>'Jrnl Rev'!H57</f>
        <v>0</v>
      </c>
      <c r="I52" s="147" t="str">
        <f t="shared" si="0"/>
        <v>0</v>
      </c>
      <c r="J52" s="148" t="b">
        <f t="shared" si="1"/>
        <v>0</v>
      </c>
      <c r="K52" s="149">
        <f>'Jrnl Rev'!$G57</f>
        <v>0</v>
      </c>
      <c r="L52" s="150"/>
      <c r="M52" s="151">
        <f>'Jrnl Rev'!E57</f>
        <v>0</v>
      </c>
      <c r="N52" s="152">
        <f>'Jrnl Rev'!$H57</f>
        <v>0</v>
      </c>
    </row>
    <row r="53" spans="2:14" s="1" customFormat="1" ht="30" hidden="1" customHeight="1" x14ac:dyDescent="0.15">
      <c r="B53" s="146">
        <f>IF(AND('Jrnl Rev'!G58&lt;&gt;"",'Jrnl Rev'!C58&lt;&gt;""),1,0)</f>
        <v>0</v>
      </c>
      <c r="C53" s="146">
        <f>'Jrnl Rev'!$C58</f>
        <v>0</v>
      </c>
      <c r="D53" s="147">
        <f>'Jrnl Rev'!$D58</f>
        <v>0</v>
      </c>
      <c r="E53" s="1510">
        <f>'Jrnl Rev'!$F58</f>
        <v>0</v>
      </c>
      <c r="F53" s="1510"/>
      <c r="G53" s="951" t="str">
        <f>IF('Jrnl Rev'!$E58="","",'Jrnl Rev'!$E58)</f>
        <v/>
      </c>
      <c r="H53" s="147">
        <f>'Jrnl Rev'!H58</f>
        <v>0</v>
      </c>
      <c r="I53" s="147" t="str">
        <f t="shared" si="0"/>
        <v>0</v>
      </c>
      <c r="J53" s="148" t="b">
        <f t="shared" si="1"/>
        <v>0</v>
      </c>
      <c r="K53" s="149">
        <f>'Jrnl Rev'!$G58</f>
        <v>0</v>
      </c>
      <c r="L53" s="150"/>
      <c r="M53" s="151">
        <f>'Jrnl Rev'!E58</f>
        <v>0</v>
      </c>
      <c r="N53" s="152">
        <f>'Jrnl Rev'!$H58</f>
        <v>0</v>
      </c>
    </row>
    <row r="54" spans="2:14" s="1" customFormat="1" ht="30" hidden="1" customHeight="1" x14ac:dyDescent="0.15">
      <c r="B54" s="146">
        <f>IF(AND('Jrnl Rev'!G59&lt;&gt;"",'Jrnl Rev'!C59&lt;&gt;""),1,0)</f>
        <v>0</v>
      </c>
      <c r="C54" s="146">
        <f>'Jrnl Rev'!$C59</f>
        <v>0</v>
      </c>
      <c r="D54" s="147">
        <f>'Jrnl Rev'!$D59</f>
        <v>0</v>
      </c>
      <c r="E54" s="1510">
        <f>'Jrnl Rev'!$F59</f>
        <v>0</v>
      </c>
      <c r="F54" s="1510"/>
      <c r="G54" s="951" t="str">
        <f>IF('Jrnl Rev'!$E59="","",'Jrnl Rev'!$E59)</f>
        <v/>
      </c>
      <c r="H54" s="147">
        <f>'Jrnl Rev'!H59</f>
        <v>0</v>
      </c>
      <c r="I54" s="147" t="str">
        <f t="shared" si="0"/>
        <v>0</v>
      </c>
      <c r="J54" s="148" t="b">
        <f t="shared" si="1"/>
        <v>0</v>
      </c>
      <c r="K54" s="149">
        <f>'Jrnl Rev'!$G59</f>
        <v>0</v>
      </c>
      <c r="L54" s="150"/>
      <c r="M54" s="151">
        <f>'Jrnl Rev'!E59</f>
        <v>0</v>
      </c>
      <c r="N54" s="152">
        <f>'Jrnl Rev'!$H59</f>
        <v>0</v>
      </c>
    </row>
    <row r="55" spans="2:14" s="1" customFormat="1" ht="30" hidden="1" customHeight="1" x14ac:dyDescent="0.15">
      <c r="B55" s="146">
        <f>IF(AND('Jrnl Rev'!G60&lt;&gt;"",'Jrnl Rev'!C60&lt;&gt;""),1,0)</f>
        <v>0</v>
      </c>
      <c r="C55" s="146">
        <f>'Jrnl Rev'!$C60</f>
        <v>0</v>
      </c>
      <c r="D55" s="147">
        <f>'Jrnl Rev'!$D60</f>
        <v>0</v>
      </c>
      <c r="E55" s="1510">
        <f>'Jrnl Rev'!$F60</f>
        <v>0</v>
      </c>
      <c r="F55" s="1510"/>
      <c r="G55" s="951" t="str">
        <f>IF('Jrnl Rev'!$E60="","",'Jrnl Rev'!$E60)</f>
        <v/>
      </c>
      <c r="H55" s="147">
        <f>'Jrnl Rev'!H60</f>
        <v>0</v>
      </c>
      <c r="I55" s="147" t="str">
        <f t="shared" si="0"/>
        <v>0</v>
      </c>
      <c r="J55" s="148" t="b">
        <f t="shared" si="1"/>
        <v>0</v>
      </c>
      <c r="K55" s="149">
        <f>'Jrnl Rev'!$G60</f>
        <v>0</v>
      </c>
      <c r="L55" s="150"/>
      <c r="M55" s="151">
        <f>'Jrnl Rev'!E60</f>
        <v>0</v>
      </c>
      <c r="N55" s="152">
        <f>'Jrnl Rev'!$H60</f>
        <v>0</v>
      </c>
    </row>
    <row r="56" spans="2:14" s="1" customFormat="1" ht="30" hidden="1" customHeight="1" x14ac:dyDescent="0.15">
      <c r="B56" s="146">
        <f>IF(AND('Jrnl Rev'!G61&lt;&gt;"",'Jrnl Rev'!C61&lt;&gt;""),1,0)</f>
        <v>0</v>
      </c>
      <c r="C56" s="146">
        <f>'Jrnl Rev'!$C61</f>
        <v>0</v>
      </c>
      <c r="D56" s="147">
        <f>'Jrnl Rev'!$D61</f>
        <v>0</v>
      </c>
      <c r="E56" s="1510">
        <f>'Jrnl Rev'!$F61</f>
        <v>0</v>
      </c>
      <c r="F56" s="1510"/>
      <c r="G56" s="951" t="str">
        <f>IF('Jrnl Rev'!$E61="","",'Jrnl Rev'!$E61)</f>
        <v/>
      </c>
      <c r="H56" s="147">
        <f>'Jrnl Rev'!H61</f>
        <v>0</v>
      </c>
      <c r="I56" s="147" t="str">
        <f t="shared" si="0"/>
        <v>0</v>
      </c>
      <c r="J56" s="148" t="b">
        <f t="shared" si="1"/>
        <v>0</v>
      </c>
      <c r="K56" s="149">
        <f>'Jrnl Rev'!$G61</f>
        <v>0</v>
      </c>
      <c r="L56" s="150"/>
      <c r="M56" s="151">
        <f>'Jrnl Rev'!E61</f>
        <v>0</v>
      </c>
      <c r="N56" s="152">
        <f>'Jrnl Rev'!$H61</f>
        <v>0</v>
      </c>
    </row>
    <row r="57" spans="2:14" s="1" customFormat="1" ht="30" hidden="1" customHeight="1" x14ac:dyDescent="0.15">
      <c r="B57" s="146">
        <f>IF(AND('Jrnl Rev'!G62&lt;&gt;"",'Jrnl Rev'!C62&lt;&gt;""),1,0)</f>
        <v>0</v>
      </c>
      <c r="C57" s="146">
        <f>'Jrnl Rev'!$C62</f>
        <v>0</v>
      </c>
      <c r="D57" s="147">
        <f>'Jrnl Rev'!$D62</f>
        <v>0</v>
      </c>
      <c r="E57" s="1510">
        <f>'Jrnl Rev'!$F62</f>
        <v>0</v>
      </c>
      <c r="F57" s="1510"/>
      <c r="G57" s="951" t="str">
        <f>IF('Jrnl Rev'!$E62="","",'Jrnl Rev'!$E62)</f>
        <v/>
      </c>
      <c r="H57" s="147">
        <f>'Jrnl Rev'!H62</f>
        <v>0</v>
      </c>
      <c r="I57" s="147" t="str">
        <f t="shared" si="0"/>
        <v>0</v>
      </c>
      <c r="J57" s="148" t="b">
        <f t="shared" si="1"/>
        <v>0</v>
      </c>
      <c r="K57" s="149">
        <f>'Jrnl Rev'!$G62</f>
        <v>0</v>
      </c>
      <c r="L57" s="150"/>
      <c r="M57" s="151">
        <f>'Jrnl Rev'!E62</f>
        <v>0</v>
      </c>
      <c r="N57" s="152">
        <f>'Jrnl Rev'!$H62</f>
        <v>0</v>
      </c>
    </row>
    <row r="58" spans="2:14" s="1" customFormat="1" ht="30" hidden="1" customHeight="1" x14ac:dyDescent="0.15">
      <c r="B58" s="146">
        <f>IF(AND('Jrnl Rev'!G63&lt;&gt;"",'Jrnl Rev'!C63&lt;&gt;""),1,0)</f>
        <v>0</v>
      </c>
      <c r="C58" s="146">
        <f>'Jrnl Rev'!$C63</f>
        <v>0</v>
      </c>
      <c r="D58" s="147">
        <f>'Jrnl Rev'!$D63</f>
        <v>0</v>
      </c>
      <c r="E58" s="1510">
        <f>'Jrnl Rev'!$F63</f>
        <v>0</v>
      </c>
      <c r="F58" s="1510"/>
      <c r="G58" s="951" t="str">
        <f>IF('Jrnl Rev'!$E63="","",'Jrnl Rev'!$E63)</f>
        <v/>
      </c>
      <c r="H58" s="147">
        <f>'Jrnl Rev'!H63</f>
        <v>0</v>
      </c>
      <c r="I58" s="147" t="str">
        <f t="shared" si="0"/>
        <v>0</v>
      </c>
      <c r="J58" s="148" t="b">
        <f t="shared" si="1"/>
        <v>0</v>
      </c>
      <c r="K58" s="149">
        <f>'Jrnl Rev'!$G63</f>
        <v>0</v>
      </c>
      <c r="L58" s="150"/>
      <c r="M58" s="151">
        <f>'Jrnl Rev'!E63</f>
        <v>0</v>
      </c>
      <c r="N58" s="152">
        <f>'Jrnl Rev'!$H63</f>
        <v>0</v>
      </c>
    </row>
    <row r="59" spans="2:14" s="1" customFormat="1" ht="30" hidden="1" customHeight="1" x14ac:dyDescent="0.15">
      <c r="B59" s="146">
        <f>IF(AND('Jrnl Rev'!G64&lt;&gt;"",'Jrnl Rev'!C64&lt;&gt;""),1,0)</f>
        <v>0</v>
      </c>
      <c r="C59" s="146">
        <f>'Jrnl Rev'!$C64</f>
        <v>0</v>
      </c>
      <c r="D59" s="147">
        <f>'Jrnl Rev'!$D64</f>
        <v>0</v>
      </c>
      <c r="E59" s="1510">
        <f>'Jrnl Rev'!$F64</f>
        <v>0</v>
      </c>
      <c r="F59" s="1510"/>
      <c r="G59" s="951" t="str">
        <f>IF('Jrnl Rev'!$E64="","",'Jrnl Rev'!$E64)</f>
        <v/>
      </c>
      <c r="H59" s="147">
        <f>'Jrnl Rev'!H64</f>
        <v>0</v>
      </c>
      <c r="I59" s="147" t="str">
        <f t="shared" si="0"/>
        <v>0</v>
      </c>
      <c r="J59" s="148" t="b">
        <f t="shared" si="1"/>
        <v>0</v>
      </c>
      <c r="K59" s="149">
        <f>'Jrnl Rev'!$G64</f>
        <v>0</v>
      </c>
      <c r="L59" s="150"/>
      <c r="M59" s="151">
        <f>'Jrnl Rev'!E64</f>
        <v>0</v>
      </c>
      <c r="N59" s="152">
        <f>'Jrnl Rev'!$H64</f>
        <v>0</v>
      </c>
    </row>
    <row r="60" spans="2:14" s="1" customFormat="1" ht="30" hidden="1" customHeight="1" x14ac:dyDescent="0.15">
      <c r="B60" s="146">
        <f>IF(AND('Jrnl Rev'!G65&lt;&gt;"",'Jrnl Rev'!C65&lt;&gt;""),1,0)</f>
        <v>0</v>
      </c>
      <c r="C60" s="146">
        <f>'Jrnl Rev'!$C65</f>
        <v>0</v>
      </c>
      <c r="D60" s="147">
        <f>'Jrnl Rev'!$D65</f>
        <v>0</v>
      </c>
      <c r="E60" s="1510">
        <f>'Jrnl Rev'!$F65</f>
        <v>0</v>
      </c>
      <c r="F60" s="1510"/>
      <c r="G60" s="951" t="str">
        <f>IF('Jrnl Rev'!$E65="","",'Jrnl Rev'!$E65)</f>
        <v/>
      </c>
      <c r="H60" s="147">
        <f>'Jrnl Rev'!H65</f>
        <v>0</v>
      </c>
      <c r="I60" s="147" t="str">
        <f t="shared" si="0"/>
        <v>0</v>
      </c>
      <c r="J60" s="148" t="b">
        <f t="shared" si="1"/>
        <v>0</v>
      </c>
      <c r="K60" s="149">
        <f>'Jrnl Rev'!$G65</f>
        <v>0</v>
      </c>
      <c r="L60" s="150"/>
      <c r="M60" s="151">
        <f>'Jrnl Rev'!E65</f>
        <v>0</v>
      </c>
      <c r="N60" s="152">
        <f>'Jrnl Rev'!$H65</f>
        <v>0</v>
      </c>
    </row>
    <row r="61" spans="2:14" s="1" customFormat="1" ht="30" hidden="1" customHeight="1" x14ac:dyDescent="0.15">
      <c r="B61" s="146">
        <f>IF(AND('Jrnl Rev'!G66&lt;&gt;"",'Jrnl Rev'!C66&lt;&gt;""),1,0)</f>
        <v>0</v>
      </c>
      <c r="C61" s="146">
        <f>'Jrnl Rev'!$C66</f>
        <v>0</v>
      </c>
      <c r="D61" s="147">
        <f>'Jrnl Rev'!$D66</f>
        <v>0</v>
      </c>
      <c r="E61" s="1510">
        <f>'Jrnl Rev'!$F66</f>
        <v>0</v>
      </c>
      <c r="F61" s="1510"/>
      <c r="G61" s="951" t="str">
        <f>IF('Jrnl Rev'!$E66="","",'Jrnl Rev'!$E66)</f>
        <v/>
      </c>
      <c r="H61" s="147">
        <f>'Jrnl Rev'!H66</f>
        <v>0</v>
      </c>
      <c r="I61" s="147" t="str">
        <f t="shared" si="0"/>
        <v>0</v>
      </c>
      <c r="J61" s="148" t="b">
        <f t="shared" si="1"/>
        <v>0</v>
      </c>
      <c r="K61" s="149">
        <f>'Jrnl Rev'!$G66</f>
        <v>0</v>
      </c>
      <c r="L61" s="150"/>
      <c r="M61" s="151">
        <f>'Jrnl Rev'!E66</f>
        <v>0</v>
      </c>
      <c r="N61" s="152">
        <f>'Jrnl Rev'!$H66</f>
        <v>0</v>
      </c>
    </row>
    <row r="62" spans="2:14" s="1" customFormat="1" ht="30" hidden="1" customHeight="1" x14ac:dyDescent="0.15">
      <c r="B62" s="146">
        <f>IF(AND('Jrnl Rev'!G67&lt;&gt;"",'Jrnl Rev'!C67&lt;&gt;""),1,0)</f>
        <v>0</v>
      </c>
      <c r="C62" s="146">
        <f>'Jrnl Rev'!$C67</f>
        <v>0</v>
      </c>
      <c r="D62" s="147">
        <f>'Jrnl Rev'!$D67</f>
        <v>0</v>
      </c>
      <c r="E62" s="1510">
        <f>'Jrnl Rev'!$F67</f>
        <v>0</v>
      </c>
      <c r="F62" s="1510"/>
      <c r="G62" s="951" t="str">
        <f>IF('Jrnl Rev'!$E67="","",'Jrnl Rev'!$E67)</f>
        <v/>
      </c>
      <c r="H62" s="147">
        <f>'Jrnl Rev'!H67</f>
        <v>0</v>
      </c>
      <c r="I62" s="147" t="str">
        <f t="shared" si="0"/>
        <v>0</v>
      </c>
      <c r="J62" s="148" t="b">
        <f t="shared" si="1"/>
        <v>0</v>
      </c>
      <c r="K62" s="149">
        <f>'Jrnl Rev'!$G67</f>
        <v>0</v>
      </c>
      <c r="L62" s="150"/>
      <c r="M62" s="151">
        <f>'Jrnl Rev'!E67</f>
        <v>0</v>
      </c>
      <c r="N62" s="152">
        <f>'Jrnl Rev'!$H67</f>
        <v>0</v>
      </c>
    </row>
    <row r="63" spans="2:14" s="1" customFormat="1" ht="30" hidden="1" customHeight="1" x14ac:dyDescent="0.15">
      <c r="B63" s="146">
        <f>IF(AND('Jrnl Rev'!G68&lt;&gt;"",'Jrnl Rev'!C68&lt;&gt;""),1,0)</f>
        <v>0</v>
      </c>
      <c r="C63" s="146">
        <f>'Jrnl Rev'!$C68</f>
        <v>0</v>
      </c>
      <c r="D63" s="147">
        <f>'Jrnl Rev'!$D68</f>
        <v>0</v>
      </c>
      <c r="E63" s="1510">
        <f>'Jrnl Rev'!$F68</f>
        <v>0</v>
      </c>
      <c r="F63" s="1510"/>
      <c r="G63" s="951" t="str">
        <f>IF('Jrnl Rev'!$E68="","",'Jrnl Rev'!$E68)</f>
        <v/>
      </c>
      <c r="H63" s="147">
        <f>'Jrnl Rev'!H68</f>
        <v>0</v>
      </c>
      <c r="I63" s="147" t="str">
        <f t="shared" si="0"/>
        <v>0</v>
      </c>
      <c r="J63" s="148" t="b">
        <f t="shared" si="1"/>
        <v>0</v>
      </c>
      <c r="K63" s="149">
        <f>'Jrnl Rev'!$G68</f>
        <v>0</v>
      </c>
      <c r="L63" s="150"/>
      <c r="M63" s="151">
        <f>'Jrnl Rev'!E68</f>
        <v>0</v>
      </c>
      <c r="N63" s="152">
        <f>'Jrnl Rev'!$H68</f>
        <v>0</v>
      </c>
    </row>
    <row r="64" spans="2:14" s="1" customFormat="1" ht="30" hidden="1" customHeight="1" x14ac:dyDescent="0.15">
      <c r="B64" s="146">
        <f>IF(AND('Jrnl Rev'!G69&lt;&gt;"",'Jrnl Rev'!C69&lt;&gt;""),1,0)</f>
        <v>0</v>
      </c>
      <c r="C64" s="146">
        <f>'Jrnl Rev'!$C69</f>
        <v>0</v>
      </c>
      <c r="D64" s="147">
        <f>'Jrnl Rev'!$D69</f>
        <v>0</v>
      </c>
      <c r="E64" s="1510">
        <f>'Jrnl Rev'!$F69</f>
        <v>0</v>
      </c>
      <c r="F64" s="1510"/>
      <c r="G64" s="951" t="str">
        <f>IF('Jrnl Rev'!$E69="","",'Jrnl Rev'!$E69)</f>
        <v/>
      </c>
      <c r="H64" s="147">
        <f>'Jrnl Rev'!H69</f>
        <v>0</v>
      </c>
      <c r="I64" s="147" t="str">
        <f t="shared" si="0"/>
        <v>0</v>
      </c>
      <c r="J64" s="148" t="b">
        <f t="shared" si="1"/>
        <v>0</v>
      </c>
      <c r="K64" s="149">
        <f>'Jrnl Rev'!$G69</f>
        <v>0</v>
      </c>
      <c r="L64" s="150"/>
      <c r="M64" s="151">
        <f>'Jrnl Rev'!E69</f>
        <v>0</v>
      </c>
      <c r="N64" s="152">
        <f>'Jrnl Rev'!$H69</f>
        <v>0</v>
      </c>
    </row>
    <row r="65" spans="2:14" s="1" customFormat="1" ht="30" hidden="1" customHeight="1" x14ac:dyDescent="0.15">
      <c r="B65" s="146">
        <f>IF(AND('Jrnl Rev'!G70&lt;&gt;"",'Jrnl Rev'!C70&lt;&gt;""),1,0)</f>
        <v>0</v>
      </c>
      <c r="C65" s="146">
        <f>'Jrnl Rev'!$C70</f>
        <v>0</v>
      </c>
      <c r="D65" s="147">
        <f>'Jrnl Rev'!$D70</f>
        <v>0</v>
      </c>
      <c r="E65" s="1510">
        <f>'Jrnl Rev'!$F70</f>
        <v>0</v>
      </c>
      <c r="F65" s="1510"/>
      <c r="G65" s="951" t="str">
        <f>IF('Jrnl Rev'!$E70="","",'Jrnl Rev'!$E70)</f>
        <v/>
      </c>
      <c r="H65" s="147">
        <f>'Jrnl Rev'!H70</f>
        <v>0</v>
      </c>
      <c r="I65" s="147" t="str">
        <f t="shared" si="0"/>
        <v>0</v>
      </c>
      <c r="J65" s="148" t="b">
        <f t="shared" si="1"/>
        <v>0</v>
      </c>
      <c r="K65" s="149">
        <f>'Jrnl Rev'!$G70</f>
        <v>0</v>
      </c>
      <c r="L65" s="150"/>
      <c r="M65" s="151">
        <f>'Jrnl Rev'!E70</f>
        <v>0</v>
      </c>
      <c r="N65" s="152">
        <f>'Jrnl Rev'!$H70</f>
        <v>0</v>
      </c>
    </row>
    <row r="66" spans="2:14" s="1" customFormat="1" ht="30" hidden="1" customHeight="1" x14ac:dyDescent="0.15">
      <c r="B66" s="146">
        <f>IF(AND('Jrnl Rev'!G71&lt;&gt;"",'Jrnl Rev'!C71&lt;&gt;""),1,0)</f>
        <v>0</v>
      </c>
      <c r="C66" s="146">
        <f>'Jrnl Rev'!$C71</f>
        <v>0</v>
      </c>
      <c r="D66" s="147">
        <f>'Jrnl Rev'!$D71</f>
        <v>0</v>
      </c>
      <c r="E66" s="1510">
        <f>'Jrnl Rev'!$F71</f>
        <v>0</v>
      </c>
      <c r="F66" s="1510"/>
      <c r="G66" s="951" t="str">
        <f>IF('Jrnl Rev'!$E71="","",'Jrnl Rev'!$E71)</f>
        <v/>
      </c>
      <c r="H66" s="147">
        <f>'Jrnl Rev'!H71</f>
        <v>0</v>
      </c>
      <c r="I66" s="147" t="str">
        <f t="shared" si="0"/>
        <v>0</v>
      </c>
      <c r="J66" s="148" t="b">
        <f t="shared" si="1"/>
        <v>0</v>
      </c>
      <c r="K66" s="149">
        <f>'Jrnl Rev'!$G71</f>
        <v>0</v>
      </c>
      <c r="L66" s="150"/>
      <c r="M66" s="151">
        <f>'Jrnl Rev'!E71</f>
        <v>0</v>
      </c>
      <c r="N66" s="152">
        <f>'Jrnl Rev'!$H71</f>
        <v>0</v>
      </c>
    </row>
    <row r="67" spans="2:14" s="1" customFormat="1" ht="30" hidden="1" customHeight="1" x14ac:dyDescent="0.15">
      <c r="B67" s="146">
        <f>IF(AND('Jrnl Rev'!G72&lt;&gt;"",'Jrnl Rev'!C72&lt;&gt;""),1,0)</f>
        <v>0</v>
      </c>
      <c r="C67" s="146">
        <f>'Jrnl Rev'!$C72</f>
        <v>0</v>
      </c>
      <c r="D67" s="147">
        <f>'Jrnl Rev'!$D72</f>
        <v>0</v>
      </c>
      <c r="E67" s="1510">
        <f>'Jrnl Rev'!$F72</f>
        <v>0</v>
      </c>
      <c r="F67" s="1510"/>
      <c r="G67" s="951" t="str">
        <f>IF('Jrnl Rev'!$E72="","",'Jrnl Rev'!$E72)</f>
        <v/>
      </c>
      <c r="H67" s="147">
        <f>'Jrnl Rev'!H72</f>
        <v>0</v>
      </c>
      <c r="I67" s="147" t="str">
        <f t="shared" si="0"/>
        <v>0</v>
      </c>
      <c r="J67" s="148" t="b">
        <f t="shared" si="1"/>
        <v>0</v>
      </c>
      <c r="K67" s="149">
        <f>'Jrnl Rev'!$G72</f>
        <v>0</v>
      </c>
      <c r="L67" s="150"/>
      <c r="M67" s="151">
        <f>'Jrnl Rev'!E72</f>
        <v>0</v>
      </c>
      <c r="N67" s="152">
        <f>'Jrnl Rev'!$H72</f>
        <v>0</v>
      </c>
    </row>
    <row r="68" spans="2:14" s="1" customFormat="1" ht="30" hidden="1" customHeight="1" x14ac:dyDescent="0.15">
      <c r="B68" s="146">
        <f>IF(AND('Jrnl Rev'!G73&lt;&gt;"",'Jrnl Rev'!C73&lt;&gt;""),1,0)</f>
        <v>0</v>
      </c>
      <c r="C68" s="146">
        <f>'Jrnl Rev'!$C73</f>
        <v>0</v>
      </c>
      <c r="D68" s="147">
        <f>'Jrnl Rev'!$D73</f>
        <v>0</v>
      </c>
      <c r="E68" s="1510">
        <f>'Jrnl Rev'!$F73</f>
        <v>0</v>
      </c>
      <c r="F68" s="1510"/>
      <c r="G68" s="951" t="str">
        <f>IF('Jrnl Rev'!$E73="","",'Jrnl Rev'!$E73)</f>
        <v/>
      </c>
      <c r="H68" s="147">
        <f>'Jrnl Rev'!H73</f>
        <v>0</v>
      </c>
      <c r="I68" s="147" t="str">
        <f t="shared" si="0"/>
        <v>0</v>
      </c>
      <c r="J68" s="148" t="b">
        <f t="shared" si="1"/>
        <v>0</v>
      </c>
      <c r="K68" s="149">
        <f>'Jrnl Rev'!$G73</f>
        <v>0</v>
      </c>
      <c r="L68" s="150"/>
      <c r="M68" s="151">
        <f>'Jrnl Rev'!E73</f>
        <v>0</v>
      </c>
      <c r="N68" s="152">
        <f>'Jrnl Rev'!$H73</f>
        <v>0</v>
      </c>
    </row>
    <row r="69" spans="2:14" s="1" customFormat="1" ht="30" hidden="1" customHeight="1" x14ac:dyDescent="0.15">
      <c r="B69" s="146">
        <f>IF(AND('Jrnl Rev'!G74&lt;&gt;"",'Jrnl Rev'!C74&lt;&gt;""),1,0)</f>
        <v>0</v>
      </c>
      <c r="C69" s="146">
        <f>'Jrnl Rev'!$C74</f>
        <v>0</v>
      </c>
      <c r="D69" s="147">
        <f>'Jrnl Rev'!$D74</f>
        <v>0</v>
      </c>
      <c r="E69" s="1510">
        <f>'Jrnl Rev'!$F74</f>
        <v>0</v>
      </c>
      <c r="F69" s="1510"/>
      <c r="G69" s="951" t="str">
        <f>IF('Jrnl Rev'!$E74="","",'Jrnl Rev'!$E74)</f>
        <v/>
      </c>
      <c r="H69" s="147">
        <f>'Jrnl Rev'!H74</f>
        <v>0</v>
      </c>
      <c r="I69" s="147" t="str">
        <f t="shared" si="0"/>
        <v>0</v>
      </c>
      <c r="J69" s="148" t="b">
        <f t="shared" si="1"/>
        <v>0</v>
      </c>
      <c r="K69" s="149">
        <f>'Jrnl Rev'!$G74</f>
        <v>0</v>
      </c>
      <c r="L69" s="150"/>
      <c r="M69" s="151">
        <f>'Jrnl Rev'!E74</f>
        <v>0</v>
      </c>
      <c r="N69" s="152">
        <f>'Jrnl Rev'!$H74</f>
        <v>0</v>
      </c>
    </row>
    <row r="70" spans="2:14" s="1" customFormat="1" ht="30" hidden="1" customHeight="1" x14ac:dyDescent="0.15">
      <c r="B70" s="146">
        <f>IF(AND('Jrnl Rev'!G75&lt;&gt;"",'Jrnl Rev'!C75&lt;&gt;""),1,0)</f>
        <v>0</v>
      </c>
      <c r="C70" s="146">
        <f>'Jrnl Rev'!$C75</f>
        <v>0</v>
      </c>
      <c r="D70" s="147">
        <f>'Jrnl Rev'!$D75</f>
        <v>0</v>
      </c>
      <c r="E70" s="1510">
        <f>'Jrnl Rev'!$F75</f>
        <v>0</v>
      </c>
      <c r="F70" s="1510"/>
      <c r="G70" s="951" t="str">
        <f>IF('Jrnl Rev'!$E75="","",'Jrnl Rev'!$E75)</f>
        <v/>
      </c>
      <c r="H70" s="147">
        <f>'Jrnl Rev'!H75</f>
        <v>0</v>
      </c>
      <c r="I70" s="147" t="str">
        <f t="shared" si="0"/>
        <v>0</v>
      </c>
      <c r="J70" s="148" t="b">
        <f t="shared" si="1"/>
        <v>0</v>
      </c>
      <c r="K70" s="149">
        <f>'Jrnl Rev'!$G75</f>
        <v>0</v>
      </c>
      <c r="L70" s="150"/>
      <c r="M70" s="151">
        <f>'Jrnl Rev'!E75</f>
        <v>0</v>
      </c>
      <c r="N70" s="152">
        <f>'Jrnl Rev'!$H75</f>
        <v>0</v>
      </c>
    </row>
    <row r="71" spans="2:14" s="1" customFormat="1" ht="30" hidden="1" customHeight="1" x14ac:dyDescent="0.15">
      <c r="B71" s="146">
        <f>IF(AND('Jrnl Rev'!G76&lt;&gt;"",'Jrnl Rev'!C76&lt;&gt;""),1,0)</f>
        <v>0</v>
      </c>
      <c r="C71" s="146">
        <f>'Jrnl Rev'!$C76</f>
        <v>0</v>
      </c>
      <c r="D71" s="147">
        <f>'Jrnl Rev'!$D76</f>
        <v>0</v>
      </c>
      <c r="E71" s="1510">
        <f>'Jrnl Rev'!$F76</f>
        <v>0</v>
      </c>
      <c r="F71" s="1510"/>
      <c r="G71" s="951" t="str">
        <f>IF('Jrnl Rev'!$E76="","",'Jrnl Rev'!$E76)</f>
        <v/>
      </c>
      <c r="H71" s="147">
        <f>'Jrnl Rev'!H76</f>
        <v>0</v>
      </c>
      <c r="I71" s="147" t="str">
        <f t="shared" si="0"/>
        <v>0</v>
      </c>
      <c r="J71" s="148" t="b">
        <f t="shared" si="1"/>
        <v>0</v>
      </c>
      <c r="K71" s="149">
        <f>'Jrnl Rev'!$G76</f>
        <v>0</v>
      </c>
      <c r="L71" s="150"/>
      <c r="M71" s="151">
        <f>'Jrnl Rev'!E76</f>
        <v>0</v>
      </c>
      <c r="N71" s="152">
        <f>'Jrnl Rev'!$H76</f>
        <v>0</v>
      </c>
    </row>
    <row r="72" spans="2:14" s="1" customFormat="1" ht="30" hidden="1" customHeight="1" x14ac:dyDescent="0.15">
      <c r="B72" s="146">
        <f>IF(AND('Jrnl Rev'!G77&lt;&gt;"",'Jrnl Rev'!C77&lt;&gt;""),1,0)</f>
        <v>0</v>
      </c>
      <c r="C72" s="146">
        <f>'Jrnl Rev'!$C77</f>
        <v>0</v>
      </c>
      <c r="D72" s="147">
        <f>'Jrnl Rev'!$D77</f>
        <v>0</v>
      </c>
      <c r="E72" s="1510">
        <f>'Jrnl Rev'!$F77</f>
        <v>0</v>
      </c>
      <c r="F72" s="1510"/>
      <c r="G72" s="951" t="str">
        <f>IF('Jrnl Rev'!$E77="","",'Jrnl Rev'!$E77)</f>
        <v/>
      </c>
      <c r="H72" s="147">
        <f>'Jrnl Rev'!H77</f>
        <v>0</v>
      </c>
      <c r="I72" s="147" t="str">
        <f t="shared" si="0"/>
        <v>0</v>
      </c>
      <c r="J72" s="148" t="b">
        <f t="shared" si="1"/>
        <v>0</v>
      </c>
      <c r="K72" s="149">
        <f>'Jrnl Rev'!$G77</f>
        <v>0</v>
      </c>
      <c r="L72" s="150"/>
      <c r="M72" s="151">
        <f>'Jrnl Rev'!E77</f>
        <v>0</v>
      </c>
      <c r="N72" s="152">
        <f>'Jrnl Rev'!$H77</f>
        <v>0</v>
      </c>
    </row>
    <row r="73" spans="2:14" s="1" customFormat="1" ht="30" hidden="1" customHeight="1" x14ac:dyDescent="0.15">
      <c r="B73" s="146">
        <f>IF(AND('Jrnl Rev'!G78&lt;&gt;"",'Jrnl Rev'!C78&lt;&gt;""),1,0)</f>
        <v>0</v>
      </c>
      <c r="C73" s="146">
        <f>'Jrnl Rev'!$C78</f>
        <v>0</v>
      </c>
      <c r="D73" s="147">
        <f>'Jrnl Rev'!$D78</f>
        <v>0</v>
      </c>
      <c r="E73" s="1510">
        <f>'Jrnl Rev'!$F78</f>
        <v>0</v>
      </c>
      <c r="F73" s="1510"/>
      <c r="G73" s="951" t="str">
        <f>IF('Jrnl Rev'!$E78="","",'Jrnl Rev'!$E78)</f>
        <v/>
      </c>
      <c r="H73" s="147">
        <f>'Jrnl Rev'!H78</f>
        <v>0</v>
      </c>
      <c r="I73" s="147" t="str">
        <f t="shared" si="0"/>
        <v>0</v>
      </c>
      <c r="J73" s="148" t="b">
        <f t="shared" si="1"/>
        <v>0</v>
      </c>
      <c r="K73" s="149">
        <f>'Jrnl Rev'!$G78</f>
        <v>0</v>
      </c>
      <c r="L73" s="150"/>
      <c r="M73" s="151">
        <f>'Jrnl Rev'!E78</f>
        <v>0</v>
      </c>
      <c r="N73" s="152">
        <f>'Jrnl Rev'!$H78</f>
        <v>0</v>
      </c>
    </row>
    <row r="74" spans="2:14" s="1" customFormat="1" ht="30" hidden="1" customHeight="1" x14ac:dyDescent="0.15">
      <c r="B74" s="146">
        <f>IF(AND('Jrnl Rev'!G79&lt;&gt;"",'Jrnl Rev'!C79&lt;&gt;""),1,0)</f>
        <v>0</v>
      </c>
      <c r="C74" s="146">
        <f>'Jrnl Rev'!$C79</f>
        <v>0</v>
      </c>
      <c r="D74" s="147">
        <f>'Jrnl Rev'!$D79</f>
        <v>0</v>
      </c>
      <c r="E74" s="1510">
        <f>'Jrnl Rev'!$F79</f>
        <v>0</v>
      </c>
      <c r="F74" s="1510"/>
      <c r="G74" s="951" t="str">
        <f>IF('Jrnl Rev'!$E79="","",'Jrnl Rev'!$E79)</f>
        <v/>
      </c>
      <c r="H74" s="147">
        <f>'Jrnl Rev'!H79</f>
        <v>0</v>
      </c>
      <c r="I74" s="147" t="str">
        <f t="shared" si="0"/>
        <v>0</v>
      </c>
      <c r="J74" s="148" t="b">
        <f t="shared" si="1"/>
        <v>0</v>
      </c>
      <c r="K74" s="149">
        <f>'Jrnl Rev'!$G79</f>
        <v>0</v>
      </c>
      <c r="L74" s="150"/>
      <c r="M74" s="151">
        <f>'Jrnl Rev'!E79</f>
        <v>0</v>
      </c>
      <c r="N74" s="152">
        <f>'Jrnl Rev'!$H79</f>
        <v>0</v>
      </c>
    </row>
    <row r="75" spans="2:14" s="1" customFormat="1" ht="30" hidden="1" customHeight="1" x14ac:dyDescent="0.15">
      <c r="B75" s="146">
        <f>IF(AND('Jrnl Rev'!G80&lt;&gt;"",'Jrnl Rev'!C80&lt;&gt;""),1,0)</f>
        <v>0</v>
      </c>
      <c r="C75" s="146">
        <f>'Jrnl Rev'!$C80</f>
        <v>0</v>
      </c>
      <c r="D75" s="147">
        <f>'Jrnl Rev'!$D80</f>
        <v>0</v>
      </c>
      <c r="E75" s="1510">
        <f>'Jrnl Rev'!$F80</f>
        <v>0</v>
      </c>
      <c r="F75" s="1510"/>
      <c r="G75" s="951" t="str">
        <f>IF('Jrnl Rev'!$E80="","",'Jrnl Rev'!$E80)</f>
        <v/>
      </c>
      <c r="H75" s="147">
        <f>'Jrnl Rev'!H80</f>
        <v>0</v>
      </c>
      <c r="I75" s="147" t="str">
        <f t="shared" ref="I75:I138" si="2">LEFT(H75,4)</f>
        <v>0</v>
      </c>
      <c r="J75" s="148" t="b">
        <f t="shared" si="1"/>
        <v>0</v>
      </c>
      <c r="K75" s="149">
        <f>'Jrnl Rev'!$G80</f>
        <v>0</v>
      </c>
      <c r="L75" s="150"/>
      <c r="M75" s="151">
        <f>'Jrnl Rev'!E80</f>
        <v>0</v>
      </c>
      <c r="N75" s="152">
        <f>'Jrnl Rev'!$H80</f>
        <v>0</v>
      </c>
    </row>
    <row r="76" spans="2:14" s="1" customFormat="1" ht="30" hidden="1" customHeight="1" x14ac:dyDescent="0.15">
      <c r="B76" s="146">
        <f>IF(AND('Jrnl Rev'!G81&lt;&gt;"",'Jrnl Rev'!C81&lt;&gt;""),1,0)</f>
        <v>0</v>
      </c>
      <c r="C76" s="146">
        <f>'Jrnl Rev'!$C81</f>
        <v>0</v>
      </c>
      <c r="D76" s="147">
        <f>'Jrnl Rev'!$D81</f>
        <v>0</v>
      </c>
      <c r="E76" s="1510">
        <f>'Jrnl Rev'!$F81</f>
        <v>0</v>
      </c>
      <c r="F76" s="1510"/>
      <c r="G76" s="951" t="str">
        <f>IF('Jrnl Rev'!$E81="","",'Jrnl Rev'!$E81)</f>
        <v/>
      </c>
      <c r="H76" s="147">
        <f>'Jrnl Rev'!H81</f>
        <v>0</v>
      </c>
      <c r="I76" s="147" t="str">
        <f t="shared" si="2"/>
        <v>0</v>
      </c>
      <c r="J76" s="148" t="b">
        <f t="shared" ref="J76:J139" si="3">IF(I76="1020",IF(G76&gt;=$E$3,IF(G76&lt;=$G$3,K76,0)))</f>
        <v>0</v>
      </c>
      <c r="K76" s="149">
        <f>'Jrnl Rev'!$G81</f>
        <v>0</v>
      </c>
      <c r="L76" s="150"/>
      <c r="M76" s="151">
        <f>'Jrnl Rev'!E81</f>
        <v>0</v>
      </c>
      <c r="N76" s="152">
        <f>'Jrnl Rev'!$H81</f>
        <v>0</v>
      </c>
    </row>
    <row r="77" spans="2:14" s="1" customFormat="1" ht="30" hidden="1" customHeight="1" x14ac:dyDescent="0.15">
      <c r="B77" s="146">
        <f>IF(AND('Jrnl Rev'!G82&lt;&gt;"",'Jrnl Rev'!C82&lt;&gt;""),1,0)</f>
        <v>0</v>
      </c>
      <c r="C77" s="146">
        <f>'Jrnl Rev'!$C82</f>
        <v>0</v>
      </c>
      <c r="D77" s="147">
        <f>'Jrnl Rev'!$D82</f>
        <v>0</v>
      </c>
      <c r="E77" s="1510">
        <f>'Jrnl Rev'!$F82</f>
        <v>0</v>
      </c>
      <c r="F77" s="1510"/>
      <c r="G77" s="951" t="str">
        <f>IF('Jrnl Rev'!$E82="","",'Jrnl Rev'!$E82)</f>
        <v/>
      </c>
      <c r="H77" s="147">
        <f>'Jrnl Rev'!H82</f>
        <v>0</v>
      </c>
      <c r="I77" s="147" t="str">
        <f t="shared" si="2"/>
        <v>0</v>
      </c>
      <c r="J77" s="148" t="b">
        <f t="shared" si="3"/>
        <v>0</v>
      </c>
      <c r="K77" s="149">
        <f>'Jrnl Rev'!$G82</f>
        <v>0</v>
      </c>
      <c r="L77" s="150"/>
      <c r="M77" s="151">
        <f>'Jrnl Rev'!E82</f>
        <v>0</v>
      </c>
      <c r="N77" s="152">
        <f>'Jrnl Rev'!$H82</f>
        <v>0</v>
      </c>
    </row>
    <row r="78" spans="2:14" s="1" customFormat="1" ht="30" hidden="1" customHeight="1" x14ac:dyDescent="0.15">
      <c r="B78" s="146">
        <f>IF(AND('Jrnl Rev'!G83&lt;&gt;"",'Jrnl Rev'!C83&lt;&gt;""),1,0)</f>
        <v>0</v>
      </c>
      <c r="C78" s="146">
        <f>'Jrnl Rev'!$C83</f>
        <v>0</v>
      </c>
      <c r="D78" s="147">
        <f>'Jrnl Rev'!$D83</f>
        <v>0</v>
      </c>
      <c r="E78" s="1510">
        <f>'Jrnl Rev'!$F83</f>
        <v>0</v>
      </c>
      <c r="F78" s="1510"/>
      <c r="G78" s="951" t="str">
        <f>IF('Jrnl Rev'!$E83="","",'Jrnl Rev'!$E83)</f>
        <v/>
      </c>
      <c r="H78" s="147">
        <f>'Jrnl Rev'!H83</f>
        <v>0</v>
      </c>
      <c r="I78" s="147" t="str">
        <f t="shared" si="2"/>
        <v>0</v>
      </c>
      <c r="J78" s="148" t="b">
        <f t="shared" si="3"/>
        <v>0</v>
      </c>
      <c r="K78" s="149">
        <f>'Jrnl Rev'!$G83</f>
        <v>0</v>
      </c>
      <c r="L78" s="150"/>
      <c r="M78" s="151">
        <f>'Jrnl Rev'!E83</f>
        <v>0</v>
      </c>
      <c r="N78" s="152">
        <f>'Jrnl Rev'!$H83</f>
        <v>0</v>
      </c>
    </row>
    <row r="79" spans="2:14" s="1" customFormat="1" ht="30" hidden="1" customHeight="1" x14ac:dyDescent="0.15">
      <c r="B79" s="146">
        <f>IF(AND('Jrnl Rev'!G84&lt;&gt;"",'Jrnl Rev'!C84&lt;&gt;""),1,0)</f>
        <v>0</v>
      </c>
      <c r="C79" s="146">
        <f>'Jrnl Rev'!$C84</f>
        <v>0</v>
      </c>
      <c r="D79" s="147">
        <f>'Jrnl Rev'!$D84</f>
        <v>0</v>
      </c>
      <c r="E79" s="1510">
        <f>'Jrnl Rev'!$F84</f>
        <v>0</v>
      </c>
      <c r="F79" s="1510"/>
      <c r="G79" s="951" t="str">
        <f>IF('Jrnl Rev'!$E84="","",'Jrnl Rev'!$E84)</f>
        <v/>
      </c>
      <c r="H79" s="147">
        <f>'Jrnl Rev'!H84</f>
        <v>0</v>
      </c>
      <c r="I79" s="147" t="str">
        <f t="shared" si="2"/>
        <v>0</v>
      </c>
      <c r="J79" s="148" t="b">
        <f t="shared" si="3"/>
        <v>0</v>
      </c>
      <c r="K79" s="149">
        <f>'Jrnl Rev'!$G84</f>
        <v>0</v>
      </c>
      <c r="L79" s="150"/>
      <c r="M79" s="151">
        <f>'Jrnl Rev'!E84</f>
        <v>0</v>
      </c>
      <c r="N79" s="152">
        <f>'Jrnl Rev'!$H84</f>
        <v>0</v>
      </c>
    </row>
    <row r="80" spans="2:14" s="1" customFormat="1" ht="30" hidden="1" customHeight="1" x14ac:dyDescent="0.15">
      <c r="B80" s="146">
        <f>IF(AND('Jrnl Rev'!G85&lt;&gt;"",'Jrnl Rev'!C85&lt;&gt;""),1,0)</f>
        <v>0</v>
      </c>
      <c r="C80" s="146">
        <f>'Jrnl Rev'!$C85</f>
        <v>0</v>
      </c>
      <c r="D80" s="147">
        <f>'Jrnl Rev'!$D85</f>
        <v>0</v>
      </c>
      <c r="E80" s="1510">
        <f>'Jrnl Rev'!$F85</f>
        <v>0</v>
      </c>
      <c r="F80" s="1510"/>
      <c r="G80" s="951" t="str">
        <f>IF('Jrnl Rev'!$E85="","",'Jrnl Rev'!$E85)</f>
        <v/>
      </c>
      <c r="H80" s="147">
        <f>'Jrnl Rev'!H85</f>
        <v>0</v>
      </c>
      <c r="I80" s="147" t="str">
        <f t="shared" si="2"/>
        <v>0</v>
      </c>
      <c r="J80" s="148" t="b">
        <f t="shared" si="3"/>
        <v>0</v>
      </c>
      <c r="K80" s="149">
        <f>'Jrnl Rev'!$G85</f>
        <v>0</v>
      </c>
      <c r="L80" s="150"/>
      <c r="M80" s="151">
        <f>'Jrnl Rev'!E85</f>
        <v>0</v>
      </c>
      <c r="N80" s="152">
        <f>'Jrnl Rev'!$H85</f>
        <v>0</v>
      </c>
    </row>
    <row r="81" spans="2:14" s="1" customFormat="1" ht="30" hidden="1" customHeight="1" x14ac:dyDescent="0.15">
      <c r="B81" s="146">
        <f>IF(AND('Jrnl Rev'!G86&lt;&gt;"",'Jrnl Rev'!C86&lt;&gt;""),1,0)</f>
        <v>0</v>
      </c>
      <c r="C81" s="146">
        <f>'Jrnl Rev'!$C86</f>
        <v>0</v>
      </c>
      <c r="D81" s="147">
        <f>'Jrnl Rev'!$D86</f>
        <v>0</v>
      </c>
      <c r="E81" s="1510">
        <f>'Jrnl Rev'!$F86</f>
        <v>0</v>
      </c>
      <c r="F81" s="1510"/>
      <c r="G81" s="951" t="str">
        <f>IF('Jrnl Rev'!$E86="","",'Jrnl Rev'!$E86)</f>
        <v/>
      </c>
      <c r="H81" s="147">
        <f>'Jrnl Rev'!H86</f>
        <v>0</v>
      </c>
      <c r="I81" s="147" t="str">
        <f t="shared" si="2"/>
        <v>0</v>
      </c>
      <c r="J81" s="148" t="b">
        <f t="shared" si="3"/>
        <v>0</v>
      </c>
      <c r="K81" s="149">
        <f>'Jrnl Rev'!$G86</f>
        <v>0</v>
      </c>
      <c r="L81" s="150"/>
      <c r="M81" s="151">
        <f>'Jrnl Rev'!E86</f>
        <v>0</v>
      </c>
      <c r="N81" s="152">
        <f>'Jrnl Rev'!$H86</f>
        <v>0</v>
      </c>
    </row>
    <row r="82" spans="2:14" s="1" customFormat="1" ht="30" hidden="1" customHeight="1" x14ac:dyDescent="0.15">
      <c r="B82" s="146">
        <f>IF(AND('Jrnl Rev'!G87&lt;&gt;"",'Jrnl Rev'!C87&lt;&gt;""),1,0)</f>
        <v>0</v>
      </c>
      <c r="C82" s="146">
        <f>'Jrnl Rev'!$C87</f>
        <v>0</v>
      </c>
      <c r="D82" s="147">
        <f>'Jrnl Rev'!$D87</f>
        <v>0</v>
      </c>
      <c r="E82" s="1510">
        <f>'Jrnl Rev'!$F87</f>
        <v>0</v>
      </c>
      <c r="F82" s="1510"/>
      <c r="G82" s="951" t="str">
        <f>IF('Jrnl Rev'!$E87="","",'Jrnl Rev'!$E87)</f>
        <v/>
      </c>
      <c r="H82" s="147">
        <f>'Jrnl Rev'!H87</f>
        <v>0</v>
      </c>
      <c r="I82" s="147" t="str">
        <f t="shared" si="2"/>
        <v>0</v>
      </c>
      <c r="J82" s="148" t="b">
        <f t="shared" si="3"/>
        <v>0</v>
      </c>
      <c r="K82" s="149">
        <f>'Jrnl Rev'!$G87</f>
        <v>0</v>
      </c>
      <c r="L82" s="150"/>
      <c r="M82" s="151">
        <f>'Jrnl Rev'!E87</f>
        <v>0</v>
      </c>
      <c r="N82" s="152">
        <f>'Jrnl Rev'!$H87</f>
        <v>0</v>
      </c>
    </row>
    <row r="83" spans="2:14" s="1" customFormat="1" ht="30" hidden="1" customHeight="1" x14ac:dyDescent="0.15">
      <c r="B83" s="146">
        <f>IF(AND('Jrnl Rev'!G88&lt;&gt;"",'Jrnl Rev'!C88&lt;&gt;""),1,0)</f>
        <v>0</v>
      </c>
      <c r="C83" s="146">
        <f>'Jrnl Rev'!$C88</f>
        <v>0</v>
      </c>
      <c r="D83" s="147">
        <f>'Jrnl Rev'!$D88</f>
        <v>0</v>
      </c>
      <c r="E83" s="1510">
        <f>'Jrnl Rev'!$F88</f>
        <v>0</v>
      </c>
      <c r="F83" s="1510"/>
      <c r="G83" s="951" t="str">
        <f>IF('Jrnl Rev'!$E88="","",'Jrnl Rev'!$E88)</f>
        <v/>
      </c>
      <c r="H83" s="147">
        <f>'Jrnl Rev'!H88</f>
        <v>0</v>
      </c>
      <c r="I83" s="147" t="str">
        <f t="shared" si="2"/>
        <v>0</v>
      </c>
      <c r="J83" s="148" t="b">
        <f t="shared" si="3"/>
        <v>0</v>
      </c>
      <c r="K83" s="149">
        <f>'Jrnl Rev'!$G88</f>
        <v>0</v>
      </c>
      <c r="L83" s="150"/>
      <c r="M83" s="151">
        <f>'Jrnl Rev'!E88</f>
        <v>0</v>
      </c>
      <c r="N83" s="152">
        <f>'Jrnl Rev'!$H88</f>
        <v>0</v>
      </c>
    </row>
    <row r="84" spans="2:14" s="1" customFormat="1" ht="30" hidden="1" customHeight="1" x14ac:dyDescent="0.15">
      <c r="B84" s="146">
        <f>IF(AND('Jrnl Rev'!G89&lt;&gt;"",'Jrnl Rev'!C89&lt;&gt;""),1,0)</f>
        <v>0</v>
      </c>
      <c r="C84" s="146">
        <f>'Jrnl Rev'!$C89</f>
        <v>0</v>
      </c>
      <c r="D84" s="147">
        <f>'Jrnl Rev'!$D89</f>
        <v>0</v>
      </c>
      <c r="E84" s="1510">
        <f>'Jrnl Rev'!$F89</f>
        <v>0</v>
      </c>
      <c r="F84" s="1510"/>
      <c r="G84" s="951" t="str">
        <f>IF('Jrnl Rev'!$E89="","",'Jrnl Rev'!$E89)</f>
        <v/>
      </c>
      <c r="H84" s="147">
        <f>'Jrnl Rev'!H89</f>
        <v>0</v>
      </c>
      <c r="I84" s="147" t="str">
        <f t="shared" si="2"/>
        <v>0</v>
      </c>
      <c r="J84" s="148" t="b">
        <f t="shared" si="3"/>
        <v>0</v>
      </c>
      <c r="K84" s="149">
        <f>'Jrnl Rev'!$G89</f>
        <v>0</v>
      </c>
      <c r="L84" s="150"/>
      <c r="M84" s="151">
        <f>'Jrnl Rev'!E89</f>
        <v>0</v>
      </c>
      <c r="N84" s="152">
        <f>'Jrnl Rev'!$H89</f>
        <v>0</v>
      </c>
    </row>
    <row r="85" spans="2:14" s="1" customFormat="1" ht="30" hidden="1" customHeight="1" x14ac:dyDescent="0.15">
      <c r="B85" s="146">
        <f>IF(AND('Jrnl Rev'!G90&lt;&gt;"",'Jrnl Rev'!C90&lt;&gt;""),1,0)</f>
        <v>0</v>
      </c>
      <c r="C85" s="146">
        <f>'Jrnl Rev'!$C90</f>
        <v>0</v>
      </c>
      <c r="D85" s="147">
        <f>'Jrnl Rev'!$D90</f>
        <v>0</v>
      </c>
      <c r="E85" s="1510">
        <f>'Jrnl Rev'!$F90</f>
        <v>0</v>
      </c>
      <c r="F85" s="1510"/>
      <c r="G85" s="951" t="str">
        <f>IF('Jrnl Rev'!$E90="","",'Jrnl Rev'!$E90)</f>
        <v/>
      </c>
      <c r="H85" s="147">
        <f>'Jrnl Rev'!H90</f>
        <v>0</v>
      </c>
      <c r="I85" s="147" t="str">
        <f t="shared" si="2"/>
        <v>0</v>
      </c>
      <c r="J85" s="148" t="b">
        <f t="shared" si="3"/>
        <v>0</v>
      </c>
      <c r="K85" s="149">
        <f>'Jrnl Rev'!$G90</f>
        <v>0</v>
      </c>
      <c r="L85" s="150"/>
      <c r="M85" s="151">
        <f>'Jrnl Rev'!E90</f>
        <v>0</v>
      </c>
      <c r="N85" s="152">
        <f>'Jrnl Rev'!$H90</f>
        <v>0</v>
      </c>
    </row>
    <row r="86" spans="2:14" s="1" customFormat="1" ht="30" hidden="1" customHeight="1" x14ac:dyDescent="0.15">
      <c r="B86" s="146">
        <f>IF(AND('Jrnl Rev'!G91&lt;&gt;"",'Jrnl Rev'!C91&lt;&gt;""),1,0)</f>
        <v>0</v>
      </c>
      <c r="C86" s="146">
        <f>'Jrnl Rev'!$C91</f>
        <v>0</v>
      </c>
      <c r="D86" s="147">
        <f>'Jrnl Rev'!$D91</f>
        <v>0</v>
      </c>
      <c r="E86" s="1510">
        <f>'Jrnl Rev'!$F91</f>
        <v>0</v>
      </c>
      <c r="F86" s="1510"/>
      <c r="G86" s="951" t="str">
        <f>IF('Jrnl Rev'!$E91="","",'Jrnl Rev'!$E91)</f>
        <v/>
      </c>
      <c r="H86" s="147">
        <f>'Jrnl Rev'!H91</f>
        <v>0</v>
      </c>
      <c r="I86" s="147" t="str">
        <f t="shared" si="2"/>
        <v>0</v>
      </c>
      <c r="J86" s="148" t="b">
        <f t="shared" si="3"/>
        <v>0</v>
      </c>
      <c r="K86" s="149">
        <f>'Jrnl Rev'!$G91</f>
        <v>0</v>
      </c>
      <c r="L86" s="150"/>
      <c r="M86" s="151">
        <f>'Jrnl Rev'!E91</f>
        <v>0</v>
      </c>
      <c r="N86" s="152">
        <f>'Jrnl Rev'!$H91</f>
        <v>0</v>
      </c>
    </row>
    <row r="87" spans="2:14" s="1" customFormat="1" ht="30" hidden="1" customHeight="1" x14ac:dyDescent="0.15">
      <c r="B87" s="146">
        <f>IF(AND('Jrnl Rev'!G92&lt;&gt;"",'Jrnl Rev'!C92&lt;&gt;""),1,0)</f>
        <v>0</v>
      </c>
      <c r="C87" s="146">
        <f>'Jrnl Rev'!$C92</f>
        <v>0</v>
      </c>
      <c r="D87" s="147">
        <f>'Jrnl Rev'!$D92</f>
        <v>0</v>
      </c>
      <c r="E87" s="1510">
        <f>'Jrnl Rev'!$F92</f>
        <v>0</v>
      </c>
      <c r="F87" s="1510"/>
      <c r="G87" s="951" t="str">
        <f>IF('Jrnl Rev'!$E92="","",'Jrnl Rev'!$E92)</f>
        <v/>
      </c>
      <c r="H87" s="147">
        <f>'Jrnl Rev'!H92</f>
        <v>0</v>
      </c>
      <c r="I87" s="147" t="str">
        <f t="shared" si="2"/>
        <v>0</v>
      </c>
      <c r="J87" s="148" t="b">
        <f t="shared" si="3"/>
        <v>0</v>
      </c>
      <c r="K87" s="149">
        <f>'Jrnl Rev'!$G92</f>
        <v>0</v>
      </c>
      <c r="L87" s="150"/>
      <c r="M87" s="151">
        <f>'Jrnl Rev'!E92</f>
        <v>0</v>
      </c>
      <c r="N87" s="152">
        <f>'Jrnl Rev'!$H92</f>
        <v>0</v>
      </c>
    </row>
    <row r="88" spans="2:14" s="1" customFormat="1" ht="30" hidden="1" customHeight="1" x14ac:dyDescent="0.15">
      <c r="B88" s="146">
        <f>IF(AND('Jrnl Rev'!G93&lt;&gt;"",'Jrnl Rev'!C93&lt;&gt;""),1,0)</f>
        <v>0</v>
      </c>
      <c r="C88" s="146">
        <f>'Jrnl Rev'!$C93</f>
        <v>0</v>
      </c>
      <c r="D88" s="147">
        <f>'Jrnl Rev'!$D93</f>
        <v>0</v>
      </c>
      <c r="E88" s="1510">
        <f>'Jrnl Rev'!$F93</f>
        <v>0</v>
      </c>
      <c r="F88" s="1510"/>
      <c r="G88" s="951" t="str">
        <f>IF('Jrnl Rev'!$E93="","",'Jrnl Rev'!$E93)</f>
        <v/>
      </c>
      <c r="H88" s="147">
        <f>'Jrnl Rev'!H93</f>
        <v>0</v>
      </c>
      <c r="I88" s="147" t="str">
        <f t="shared" si="2"/>
        <v>0</v>
      </c>
      <c r="J88" s="148" t="b">
        <f t="shared" si="3"/>
        <v>0</v>
      </c>
      <c r="K88" s="149">
        <f>'Jrnl Rev'!$G93</f>
        <v>0</v>
      </c>
      <c r="L88" s="150"/>
      <c r="M88" s="151">
        <f>'Jrnl Rev'!E93</f>
        <v>0</v>
      </c>
      <c r="N88" s="152">
        <f>'Jrnl Rev'!$H93</f>
        <v>0</v>
      </c>
    </row>
    <row r="89" spans="2:14" s="1" customFormat="1" ht="30" hidden="1" customHeight="1" x14ac:dyDescent="0.15">
      <c r="B89" s="146">
        <f>IF(AND('Jrnl Rev'!G94&lt;&gt;"",'Jrnl Rev'!C94&lt;&gt;""),1,0)</f>
        <v>0</v>
      </c>
      <c r="C89" s="146">
        <f>'Jrnl Rev'!$C94</f>
        <v>0</v>
      </c>
      <c r="D89" s="147">
        <f>'Jrnl Rev'!$D94</f>
        <v>0</v>
      </c>
      <c r="E89" s="1510">
        <f>'Jrnl Rev'!$F94</f>
        <v>0</v>
      </c>
      <c r="F89" s="1510"/>
      <c r="G89" s="951" t="str">
        <f>IF('Jrnl Rev'!$E94="","",'Jrnl Rev'!$E94)</f>
        <v/>
      </c>
      <c r="H89" s="147">
        <f>'Jrnl Rev'!H94</f>
        <v>0</v>
      </c>
      <c r="I89" s="147" t="str">
        <f t="shared" si="2"/>
        <v>0</v>
      </c>
      <c r="J89" s="148" t="b">
        <f t="shared" si="3"/>
        <v>0</v>
      </c>
      <c r="K89" s="149">
        <f>'Jrnl Rev'!$G94</f>
        <v>0</v>
      </c>
      <c r="L89" s="150"/>
      <c r="M89" s="151">
        <f>'Jrnl Rev'!E94</f>
        <v>0</v>
      </c>
      <c r="N89" s="152">
        <f>'Jrnl Rev'!$H94</f>
        <v>0</v>
      </c>
    </row>
    <row r="90" spans="2:14" s="1" customFormat="1" ht="30" hidden="1" customHeight="1" x14ac:dyDescent="0.15">
      <c r="B90" s="146">
        <f>IF(AND('Jrnl Rev'!G95&lt;&gt;"",'Jrnl Rev'!C95&lt;&gt;""),1,0)</f>
        <v>0</v>
      </c>
      <c r="C90" s="146">
        <f>'Jrnl Rev'!$C95</f>
        <v>0</v>
      </c>
      <c r="D90" s="147">
        <f>'Jrnl Rev'!$D95</f>
        <v>0</v>
      </c>
      <c r="E90" s="1510">
        <f>'Jrnl Rev'!$F95</f>
        <v>0</v>
      </c>
      <c r="F90" s="1510"/>
      <c r="G90" s="951" t="str">
        <f>IF('Jrnl Rev'!$E95="","",'Jrnl Rev'!$E95)</f>
        <v/>
      </c>
      <c r="H90" s="147">
        <f>'Jrnl Rev'!H95</f>
        <v>0</v>
      </c>
      <c r="I90" s="147" t="str">
        <f t="shared" si="2"/>
        <v>0</v>
      </c>
      <c r="J90" s="148" t="b">
        <f t="shared" si="3"/>
        <v>0</v>
      </c>
      <c r="K90" s="149">
        <f>'Jrnl Rev'!$G95</f>
        <v>0</v>
      </c>
      <c r="L90" s="150"/>
      <c r="M90" s="151">
        <f>'Jrnl Rev'!E95</f>
        <v>0</v>
      </c>
      <c r="N90" s="152">
        <f>'Jrnl Rev'!$H95</f>
        <v>0</v>
      </c>
    </row>
    <row r="91" spans="2:14" s="1" customFormat="1" ht="30" hidden="1" customHeight="1" x14ac:dyDescent="0.15">
      <c r="B91" s="146">
        <f>IF(AND('Jrnl Rev'!G96&lt;&gt;"",'Jrnl Rev'!C96&lt;&gt;""),1,0)</f>
        <v>0</v>
      </c>
      <c r="C91" s="146">
        <f>'Jrnl Rev'!$C96</f>
        <v>0</v>
      </c>
      <c r="D91" s="147">
        <f>'Jrnl Rev'!$D96</f>
        <v>0</v>
      </c>
      <c r="E91" s="1510">
        <f>'Jrnl Rev'!$F96</f>
        <v>0</v>
      </c>
      <c r="F91" s="1510"/>
      <c r="G91" s="951" t="str">
        <f>IF('Jrnl Rev'!$E96="","",'Jrnl Rev'!$E96)</f>
        <v/>
      </c>
      <c r="H91" s="147">
        <f>'Jrnl Rev'!H96</f>
        <v>0</v>
      </c>
      <c r="I91" s="147" t="str">
        <f t="shared" si="2"/>
        <v>0</v>
      </c>
      <c r="J91" s="148" t="b">
        <f t="shared" si="3"/>
        <v>0</v>
      </c>
      <c r="K91" s="149">
        <f>'Jrnl Rev'!$G96</f>
        <v>0</v>
      </c>
      <c r="L91" s="150"/>
      <c r="M91" s="151">
        <f>'Jrnl Rev'!E96</f>
        <v>0</v>
      </c>
      <c r="N91" s="152">
        <f>'Jrnl Rev'!$H96</f>
        <v>0</v>
      </c>
    </row>
    <row r="92" spans="2:14" s="1" customFormat="1" ht="30" hidden="1" customHeight="1" x14ac:dyDescent="0.15">
      <c r="B92" s="146">
        <f>IF(AND('Jrnl Rev'!G97&lt;&gt;"",'Jrnl Rev'!C97&lt;&gt;""),1,0)</f>
        <v>0</v>
      </c>
      <c r="C92" s="146">
        <f>'Jrnl Rev'!$C97</f>
        <v>0</v>
      </c>
      <c r="D92" s="147">
        <f>'Jrnl Rev'!$D97</f>
        <v>0</v>
      </c>
      <c r="E92" s="1510">
        <f>'Jrnl Rev'!$F97</f>
        <v>0</v>
      </c>
      <c r="F92" s="1510"/>
      <c r="G92" s="951" t="str">
        <f>IF('Jrnl Rev'!$E97="","",'Jrnl Rev'!$E97)</f>
        <v/>
      </c>
      <c r="H92" s="147">
        <f>'Jrnl Rev'!H97</f>
        <v>0</v>
      </c>
      <c r="I92" s="147" t="str">
        <f t="shared" si="2"/>
        <v>0</v>
      </c>
      <c r="J92" s="148" t="b">
        <f t="shared" si="3"/>
        <v>0</v>
      </c>
      <c r="K92" s="149">
        <f>'Jrnl Rev'!$G97</f>
        <v>0</v>
      </c>
      <c r="L92" s="150"/>
      <c r="M92" s="151">
        <f>'Jrnl Rev'!E97</f>
        <v>0</v>
      </c>
      <c r="N92" s="152">
        <f>'Jrnl Rev'!$H97</f>
        <v>0</v>
      </c>
    </row>
    <row r="93" spans="2:14" s="1" customFormat="1" ht="30" hidden="1" customHeight="1" x14ac:dyDescent="0.15">
      <c r="B93" s="146">
        <f>IF(AND('Jrnl Rev'!G98&lt;&gt;"",'Jrnl Rev'!C98&lt;&gt;""),1,0)</f>
        <v>0</v>
      </c>
      <c r="C93" s="146">
        <f>'Jrnl Rev'!$C98</f>
        <v>0</v>
      </c>
      <c r="D93" s="147">
        <f>'Jrnl Rev'!$D98</f>
        <v>0</v>
      </c>
      <c r="E93" s="1510">
        <f>'Jrnl Rev'!$F98</f>
        <v>0</v>
      </c>
      <c r="F93" s="1510"/>
      <c r="G93" s="951" t="str">
        <f>IF('Jrnl Rev'!$E98="","",'Jrnl Rev'!$E98)</f>
        <v/>
      </c>
      <c r="H93" s="147">
        <f>'Jrnl Rev'!H98</f>
        <v>0</v>
      </c>
      <c r="I93" s="147" t="str">
        <f t="shared" si="2"/>
        <v>0</v>
      </c>
      <c r="J93" s="148" t="b">
        <f t="shared" si="3"/>
        <v>0</v>
      </c>
      <c r="K93" s="149">
        <f>'Jrnl Rev'!$G98</f>
        <v>0</v>
      </c>
      <c r="L93" s="150"/>
      <c r="M93" s="151">
        <f>'Jrnl Rev'!E98</f>
        <v>0</v>
      </c>
      <c r="N93" s="152">
        <f>'Jrnl Rev'!$H98</f>
        <v>0</v>
      </c>
    </row>
    <row r="94" spans="2:14" s="1" customFormat="1" ht="30" hidden="1" customHeight="1" x14ac:dyDescent="0.15">
      <c r="B94" s="146">
        <f>IF(AND('Jrnl Rev'!G99&lt;&gt;"",'Jrnl Rev'!C99&lt;&gt;""),1,0)</f>
        <v>0</v>
      </c>
      <c r="C94" s="146">
        <f>'Jrnl Rev'!$C99</f>
        <v>0</v>
      </c>
      <c r="D94" s="147">
        <f>'Jrnl Rev'!$D99</f>
        <v>0</v>
      </c>
      <c r="E94" s="1510">
        <f>'Jrnl Rev'!$F99</f>
        <v>0</v>
      </c>
      <c r="F94" s="1510"/>
      <c r="G94" s="951" t="str">
        <f>IF('Jrnl Rev'!$E99="","",'Jrnl Rev'!$E99)</f>
        <v/>
      </c>
      <c r="H94" s="147">
        <f>'Jrnl Rev'!H99</f>
        <v>0</v>
      </c>
      <c r="I94" s="147" t="str">
        <f t="shared" si="2"/>
        <v>0</v>
      </c>
      <c r="J94" s="148" t="b">
        <f t="shared" si="3"/>
        <v>0</v>
      </c>
      <c r="K94" s="149">
        <f>'Jrnl Rev'!$G99</f>
        <v>0</v>
      </c>
      <c r="L94" s="150"/>
      <c r="M94" s="151">
        <f>'Jrnl Rev'!E99</f>
        <v>0</v>
      </c>
      <c r="N94" s="152">
        <f>'Jrnl Rev'!$H99</f>
        <v>0</v>
      </c>
    </row>
    <row r="95" spans="2:14" s="1" customFormat="1" ht="30" hidden="1" customHeight="1" x14ac:dyDescent="0.15">
      <c r="B95" s="146">
        <f>IF(AND('Jrnl Rev'!G100&lt;&gt;"",'Jrnl Rev'!C100&lt;&gt;""),1,0)</f>
        <v>0</v>
      </c>
      <c r="C95" s="146">
        <f>'Jrnl Rev'!$C100</f>
        <v>0</v>
      </c>
      <c r="D95" s="147">
        <f>'Jrnl Rev'!$D100</f>
        <v>0</v>
      </c>
      <c r="E95" s="1510">
        <f>'Jrnl Rev'!$F100</f>
        <v>0</v>
      </c>
      <c r="F95" s="1510"/>
      <c r="G95" s="951" t="str">
        <f>IF('Jrnl Rev'!$E100="","",'Jrnl Rev'!$E100)</f>
        <v/>
      </c>
      <c r="H95" s="147">
        <f>'Jrnl Rev'!H100</f>
        <v>0</v>
      </c>
      <c r="I95" s="147" t="str">
        <f t="shared" si="2"/>
        <v>0</v>
      </c>
      <c r="J95" s="148" t="b">
        <f t="shared" si="3"/>
        <v>0</v>
      </c>
      <c r="K95" s="149">
        <f>'Jrnl Rev'!$G100</f>
        <v>0</v>
      </c>
      <c r="L95" s="150"/>
      <c r="M95" s="151">
        <f>'Jrnl Rev'!E100</f>
        <v>0</v>
      </c>
      <c r="N95" s="152">
        <f>'Jrnl Rev'!$H100</f>
        <v>0</v>
      </c>
    </row>
    <row r="96" spans="2:14" s="1" customFormat="1" ht="30" hidden="1" customHeight="1" x14ac:dyDescent="0.15">
      <c r="B96" s="146">
        <f>IF(AND('Jrnl Rev'!G101&lt;&gt;"",'Jrnl Rev'!C101&lt;&gt;""),1,0)</f>
        <v>0</v>
      </c>
      <c r="C96" s="146">
        <f>'Jrnl Rev'!$C101</f>
        <v>0</v>
      </c>
      <c r="D96" s="147">
        <f>'Jrnl Rev'!$D101</f>
        <v>0</v>
      </c>
      <c r="E96" s="1510">
        <f>'Jrnl Rev'!$F101</f>
        <v>0</v>
      </c>
      <c r="F96" s="1510"/>
      <c r="G96" s="951" t="str">
        <f>IF('Jrnl Rev'!$E101="","",'Jrnl Rev'!$E101)</f>
        <v/>
      </c>
      <c r="H96" s="147">
        <f>'Jrnl Rev'!H101</f>
        <v>0</v>
      </c>
      <c r="I96" s="147" t="str">
        <f t="shared" si="2"/>
        <v>0</v>
      </c>
      <c r="J96" s="148" t="b">
        <f t="shared" si="3"/>
        <v>0</v>
      </c>
      <c r="K96" s="149">
        <f>'Jrnl Rev'!$G101</f>
        <v>0</v>
      </c>
      <c r="L96" s="150"/>
      <c r="M96" s="151">
        <f>'Jrnl Rev'!E101</f>
        <v>0</v>
      </c>
      <c r="N96" s="152">
        <f>'Jrnl Rev'!$H101</f>
        <v>0</v>
      </c>
    </row>
    <row r="97" spans="2:14" s="1" customFormat="1" ht="30" hidden="1" customHeight="1" x14ac:dyDescent="0.15">
      <c r="B97" s="146">
        <f>IF(AND('Jrnl Rev'!G102&lt;&gt;"",'Jrnl Rev'!C102&lt;&gt;""),1,0)</f>
        <v>0</v>
      </c>
      <c r="C97" s="146">
        <f>'Jrnl Rev'!$C102</f>
        <v>0</v>
      </c>
      <c r="D97" s="147">
        <f>'Jrnl Rev'!$D102</f>
        <v>0</v>
      </c>
      <c r="E97" s="1510">
        <f>'Jrnl Rev'!$F102</f>
        <v>0</v>
      </c>
      <c r="F97" s="1510"/>
      <c r="G97" s="951" t="str">
        <f>IF('Jrnl Rev'!$E102="","",'Jrnl Rev'!$E102)</f>
        <v/>
      </c>
      <c r="H97" s="147">
        <f>'Jrnl Rev'!H102</f>
        <v>0</v>
      </c>
      <c r="I97" s="147" t="str">
        <f t="shared" si="2"/>
        <v>0</v>
      </c>
      <c r="J97" s="148" t="b">
        <f t="shared" si="3"/>
        <v>0</v>
      </c>
      <c r="K97" s="149">
        <f>'Jrnl Rev'!$G102</f>
        <v>0</v>
      </c>
      <c r="L97" s="150"/>
      <c r="M97" s="151">
        <f>'Jrnl Rev'!E102</f>
        <v>0</v>
      </c>
      <c r="N97" s="152">
        <f>'Jrnl Rev'!$H102</f>
        <v>0</v>
      </c>
    </row>
    <row r="98" spans="2:14" s="1" customFormat="1" ht="30" hidden="1" customHeight="1" x14ac:dyDescent="0.15">
      <c r="B98" s="146">
        <f>IF(AND('Jrnl Rev'!G103&lt;&gt;"",'Jrnl Rev'!C103&lt;&gt;""),1,0)</f>
        <v>0</v>
      </c>
      <c r="C98" s="146">
        <f>'Jrnl Rev'!$C103</f>
        <v>0</v>
      </c>
      <c r="D98" s="147">
        <f>'Jrnl Rev'!$D103</f>
        <v>0</v>
      </c>
      <c r="E98" s="1510">
        <f>'Jrnl Rev'!$F103</f>
        <v>0</v>
      </c>
      <c r="F98" s="1510"/>
      <c r="G98" s="951" t="str">
        <f>IF('Jrnl Rev'!$E103="","",'Jrnl Rev'!$E103)</f>
        <v/>
      </c>
      <c r="H98" s="147">
        <f>'Jrnl Rev'!H103</f>
        <v>0</v>
      </c>
      <c r="I98" s="147" t="str">
        <f t="shared" si="2"/>
        <v>0</v>
      </c>
      <c r="J98" s="148" t="b">
        <f t="shared" si="3"/>
        <v>0</v>
      </c>
      <c r="K98" s="149">
        <f>'Jrnl Rev'!$G103</f>
        <v>0</v>
      </c>
      <c r="L98" s="150"/>
      <c r="M98" s="151">
        <f>'Jrnl Rev'!E103</f>
        <v>0</v>
      </c>
      <c r="N98" s="152">
        <f>'Jrnl Rev'!$H103</f>
        <v>0</v>
      </c>
    </row>
    <row r="99" spans="2:14" s="1" customFormat="1" ht="30" hidden="1" customHeight="1" x14ac:dyDescent="0.15">
      <c r="B99" s="146">
        <f>IF(AND('Jrnl Rev'!G104&lt;&gt;"",'Jrnl Rev'!C104&lt;&gt;""),1,0)</f>
        <v>0</v>
      </c>
      <c r="C99" s="146">
        <f>'Jrnl Rev'!$C104</f>
        <v>0</v>
      </c>
      <c r="D99" s="147">
        <f>'Jrnl Rev'!$D104</f>
        <v>0</v>
      </c>
      <c r="E99" s="1510">
        <f>'Jrnl Rev'!$F104</f>
        <v>0</v>
      </c>
      <c r="F99" s="1510"/>
      <c r="G99" s="951" t="str">
        <f>IF('Jrnl Rev'!$E104="","",'Jrnl Rev'!$E104)</f>
        <v/>
      </c>
      <c r="H99" s="147">
        <f>'Jrnl Rev'!H104</f>
        <v>0</v>
      </c>
      <c r="I99" s="147" t="str">
        <f t="shared" si="2"/>
        <v>0</v>
      </c>
      <c r="J99" s="148" t="b">
        <f t="shared" si="3"/>
        <v>0</v>
      </c>
      <c r="K99" s="149">
        <f>'Jrnl Rev'!$G104</f>
        <v>0</v>
      </c>
      <c r="L99" s="150"/>
      <c r="M99" s="151">
        <f>'Jrnl Rev'!E104</f>
        <v>0</v>
      </c>
      <c r="N99" s="152">
        <f>'Jrnl Rev'!$H104</f>
        <v>0</v>
      </c>
    </row>
    <row r="100" spans="2:14" s="1" customFormat="1" ht="30" hidden="1" customHeight="1" x14ac:dyDescent="0.15">
      <c r="B100" s="146">
        <f>IF(AND('Jrnl Rev'!G105&lt;&gt;"",'Jrnl Rev'!C105&lt;&gt;""),1,0)</f>
        <v>0</v>
      </c>
      <c r="C100" s="146">
        <f>'Jrnl Rev'!$C105</f>
        <v>0</v>
      </c>
      <c r="D100" s="147">
        <f>'Jrnl Rev'!$D105</f>
        <v>0</v>
      </c>
      <c r="E100" s="1510">
        <f>'Jrnl Rev'!$F105</f>
        <v>0</v>
      </c>
      <c r="F100" s="1510"/>
      <c r="G100" s="951" t="str">
        <f>IF('Jrnl Rev'!$E105="","",'Jrnl Rev'!$E105)</f>
        <v/>
      </c>
      <c r="H100" s="147">
        <f>'Jrnl Rev'!H105</f>
        <v>0</v>
      </c>
      <c r="I100" s="147" t="str">
        <f t="shared" si="2"/>
        <v>0</v>
      </c>
      <c r="J100" s="148" t="b">
        <f t="shared" si="3"/>
        <v>0</v>
      </c>
      <c r="K100" s="149">
        <f>'Jrnl Rev'!$G105</f>
        <v>0</v>
      </c>
      <c r="L100" s="150"/>
      <c r="M100" s="151">
        <f>'Jrnl Rev'!E105</f>
        <v>0</v>
      </c>
      <c r="N100" s="152">
        <f>'Jrnl Rev'!$H105</f>
        <v>0</v>
      </c>
    </row>
    <row r="101" spans="2:14" s="1" customFormat="1" ht="30" hidden="1" customHeight="1" x14ac:dyDescent="0.15">
      <c r="B101" s="146">
        <f>IF(AND('Jrnl Rev'!G106&lt;&gt;"",'Jrnl Rev'!C106&lt;&gt;""),1,0)</f>
        <v>0</v>
      </c>
      <c r="C101" s="146">
        <f>'Jrnl Rev'!$C106</f>
        <v>0</v>
      </c>
      <c r="D101" s="147">
        <f>'Jrnl Rev'!$D106</f>
        <v>0</v>
      </c>
      <c r="E101" s="1510">
        <f>'Jrnl Rev'!$F106</f>
        <v>0</v>
      </c>
      <c r="F101" s="1510"/>
      <c r="G101" s="951" t="str">
        <f>IF('Jrnl Rev'!$E106="","",'Jrnl Rev'!$E106)</f>
        <v/>
      </c>
      <c r="H101" s="147">
        <f>'Jrnl Rev'!H106</f>
        <v>0</v>
      </c>
      <c r="I101" s="147" t="str">
        <f t="shared" si="2"/>
        <v>0</v>
      </c>
      <c r="J101" s="148" t="b">
        <f t="shared" si="3"/>
        <v>0</v>
      </c>
      <c r="K101" s="149">
        <f>'Jrnl Rev'!$G106</f>
        <v>0</v>
      </c>
      <c r="L101" s="150"/>
      <c r="M101" s="151"/>
      <c r="N101" s="152"/>
    </row>
    <row r="102" spans="2:14" s="1" customFormat="1" ht="30" hidden="1" customHeight="1" x14ac:dyDescent="0.15">
      <c r="B102" s="146">
        <f>IF(AND('Jrnl Rev'!G107&lt;&gt;"",'Jrnl Rev'!C107&lt;&gt;""),1,0)</f>
        <v>0</v>
      </c>
      <c r="C102" s="146">
        <f>'Jrnl Rev'!$C107</f>
        <v>0</v>
      </c>
      <c r="D102" s="147">
        <f>'Jrnl Rev'!$D107</f>
        <v>0</v>
      </c>
      <c r="E102" s="1510">
        <f>'Jrnl Rev'!$F107</f>
        <v>0</v>
      </c>
      <c r="F102" s="1510"/>
      <c r="G102" s="951" t="str">
        <f>IF('Jrnl Rev'!$E107="","",'Jrnl Rev'!$E107)</f>
        <v/>
      </c>
      <c r="H102" s="147">
        <f>'Jrnl Rev'!H107</f>
        <v>0</v>
      </c>
      <c r="I102" s="147" t="str">
        <f t="shared" si="2"/>
        <v>0</v>
      </c>
      <c r="J102" s="148" t="b">
        <f t="shared" si="3"/>
        <v>0</v>
      </c>
      <c r="K102" s="149">
        <f>'Jrnl Rev'!$G107</f>
        <v>0</v>
      </c>
      <c r="L102" s="150"/>
      <c r="M102" s="151"/>
      <c r="N102" s="152"/>
    </row>
    <row r="103" spans="2:14" s="1" customFormat="1" ht="30" hidden="1" customHeight="1" x14ac:dyDescent="0.15">
      <c r="B103" s="146">
        <f>IF(AND('Jrnl Rev'!G108&lt;&gt;"",'Jrnl Rev'!C108&lt;&gt;""),1,0)</f>
        <v>0</v>
      </c>
      <c r="C103" s="146">
        <f>'Jrnl Rev'!$C108</f>
        <v>0</v>
      </c>
      <c r="D103" s="147">
        <f>'Jrnl Rev'!$D108</f>
        <v>0</v>
      </c>
      <c r="E103" s="1510">
        <f>'Jrnl Rev'!$F108</f>
        <v>0</v>
      </c>
      <c r="F103" s="1510"/>
      <c r="G103" s="951" t="str">
        <f>IF('Jrnl Rev'!$E108="","",'Jrnl Rev'!$E108)</f>
        <v/>
      </c>
      <c r="H103" s="147">
        <f>'Jrnl Rev'!H108</f>
        <v>0</v>
      </c>
      <c r="I103" s="147" t="str">
        <f t="shared" si="2"/>
        <v>0</v>
      </c>
      <c r="J103" s="148" t="b">
        <f t="shared" si="3"/>
        <v>0</v>
      </c>
      <c r="K103" s="149">
        <f>'Jrnl Rev'!$G108</f>
        <v>0</v>
      </c>
      <c r="L103" s="150"/>
      <c r="M103" s="151"/>
      <c r="N103" s="152"/>
    </row>
    <row r="104" spans="2:14" s="1" customFormat="1" ht="30" hidden="1" customHeight="1" x14ac:dyDescent="0.15">
      <c r="B104" s="146">
        <f>IF(AND('Jrnl Rev'!G109&lt;&gt;"",'Jrnl Rev'!C109&lt;&gt;""),1,0)</f>
        <v>0</v>
      </c>
      <c r="C104" s="146">
        <f>'Jrnl Rev'!$C109</f>
        <v>0</v>
      </c>
      <c r="D104" s="147">
        <f>'Jrnl Rev'!$D109</f>
        <v>0</v>
      </c>
      <c r="E104" s="1510">
        <f>'Jrnl Rev'!$F109</f>
        <v>0</v>
      </c>
      <c r="F104" s="1510"/>
      <c r="G104" s="951" t="str">
        <f>IF('Jrnl Rev'!$E109="","",'Jrnl Rev'!$E109)</f>
        <v/>
      </c>
      <c r="H104" s="147">
        <f>'Jrnl Rev'!H109</f>
        <v>0</v>
      </c>
      <c r="I104" s="147" t="str">
        <f t="shared" si="2"/>
        <v>0</v>
      </c>
      <c r="J104" s="148" t="b">
        <f t="shared" si="3"/>
        <v>0</v>
      </c>
      <c r="K104" s="149">
        <f>'Jrnl Rev'!$G109</f>
        <v>0</v>
      </c>
      <c r="L104" s="150"/>
      <c r="M104" s="151"/>
      <c r="N104" s="152"/>
    </row>
    <row r="105" spans="2:14" s="1" customFormat="1" ht="30" hidden="1" customHeight="1" x14ac:dyDescent="0.15">
      <c r="B105" s="146">
        <f>IF(AND('Jrnl Rev'!G110&lt;&gt;"",'Jrnl Rev'!C110&lt;&gt;""),1,0)</f>
        <v>0</v>
      </c>
      <c r="C105" s="146">
        <f>'Jrnl Rev'!$C110</f>
        <v>0</v>
      </c>
      <c r="D105" s="147">
        <f>'Jrnl Rev'!$D110</f>
        <v>0</v>
      </c>
      <c r="E105" s="1510">
        <f>'Jrnl Rev'!$F110</f>
        <v>0</v>
      </c>
      <c r="F105" s="1510"/>
      <c r="G105" s="951" t="str">
        <f>IF('Jrnl Rev'!$E110="","",'Jrnl Rev'!$E110)</f>
        <v/>
      </c>
      <c r="H105" s="147">
        <f>'Jrnl Rev'!H110</f>
        <v>0</v>
      </c>
      <c r="I105" s="147" t="str">
        <f t="shared" si="2"/>
        <v>0</v>
      </c>
      <c r="J105" s="148" t="b">
        <f t="shared" si="3"/>
        <v>0</v>
      </c>
      <c r="K105" s="149">
        <f>'Jrnl Rev'!$G110</f>
        <v>0</v>
      </c>
      <c r="L105" s="150"/>
      <c r="M105" s="151"/>
      <c r="N105" s="152"/>
    </row>
    <row r="106" spans="2:14" s="1" customFormat="1" ht="30" hidden="1" customHeight="1" x14ac:dyDescent="0.15">
      <c r="B106" s="146">
        <f>IF(AND('Jrnl Rev'!G111&lt;&gt;"",'Jrnl Rev'!C111&lt;&gt;""),1,0)</f>
        <v>0</v>
      </c>
      <c r="C106" s="146">
        <f>'Jrnl Rev'!$C111</f>
        <v>0</v>
      </c>
      <c r="D106" s="147">
        <f>'Jrnl Rev'!$D111</f>
        <v>0</v>
      </c>
      <c r="E106" s="1510">
        <f>'Jrnl Rev'!$F111</f>
        <v>0</v>
      </c>
      <c r="F106" s="1510"/>
      <c r="G106" s="951" t="str">
        <f>IF('Jrnl Rev'!$E111="","",'Jrnl Rev'!$E111)</f>
        <v/>
      </c>
      <c r="H106" s="147">
        <f>'Jrnl Rev'!H111</f>
        <v>0</v>
      </c>
      <c r="I106" s="147" t="str">
        <f t="shared" si="2"/>
        <v>0</v>
      </c>
      <c r="J106" s="148" t="b">
        <f t="shared" si="3"/>
        <v>0</v>
      </c>
      <c r="K106" s="149">
        <f>'Jrnl Rev'!$G111</f>
        <v>0</v>
      </c>
      <c r="L106" s="150"/>
      <c r="M106" s="151"/>
      <c r="N106" s="152"/>
    </row>
    <row r="107" spans="2:14" s="1" customFormat="1" ht="30" hidden="1" customHeight="1" x14ac:dyDescent="0.15">
      <c r="B107" s="146">
        <f>IF(AND('Jrnl Rev'!G112&lt;&gt;"",'Jrnl Rev'!C112&lt;&gt;""),1,0)</f>
        <v>0</v>
      </c>
      <c r="C107" s="146">
        <f>'Jrnl Rev'!$C112</f>
        <v>0</v>
      </c>
      <c r="D107" s="147">
        <f>'Jrnl Rev'!$D112</f>
        <v>0</v>
      </c>
      <c r="E107" s="1510">
        <f>'Jrnl Rev'!$F112</f>
        <v>0</v>
      </c>
      <c r="F107" s="1510"/>
      <c r="G107" s="951" t="str">
        <f>IF('Jrnl Rev'!$E112="","",'Jrnl Rev'!$E112)</f>
        <v/>
      </c>
      <c r="H107" s="147">
        <f>'Jrnl Rev'!H112</f>
        <v>0</v>
      </c>
      <c r="I107" s="147" t="str">
        <f t="shared" si="2"/>
        <v>0</v>
      </c>
      <c r="J107" s="148" t="b">
        <f t="shared" si="3"/>
        <v>0</v>
      </c>
      <c r="K107" s="149">
        <f>'Jrnl Rev'!$G112</f>
        <v>0</v>
      </c>
      <c r="L107" s="150"/>
      <c r="M107" s="151"/>
      <c r="N107" s="152"/>
    </row>
    <row r="108" spans="2:14" s="1" customFormat="1" ht="30" hidden="1" customHeight="1" x14ac:dyDescent="0.15">
      <c r="B108" s="146">
        <f>IF(AND('Jrnl Rev'!G113&lt;&gt;"",'Jrnl Rev'!C113&lt;&gt;""),1,0)</f>
        <v>0</v>
      </c>
      <c r="C108" s="146">
        <f>'Jrnl Rev'!$C113</f>
        <v>0</v>
      </c>
      <c r="D108" s="147">
        <f>'Jrnl Rev'!$D113</f>
        <v>0</v>
      </c>
      <c r="E108" s="1510">
        <f>'Jrnl Rev'!$F113</f>
        <v>0</v>
      </c>
      <c r="F108" s="1510"/>
      <c r="G108" s="951" t="str">
        <f>IF('Jrnl Rev'!$E113="","",'Jrnl Rev'!$E113)</f>
        <v/>
      </c>
      <c r="H108" s="147">
        <f>'Jrnl Rev'!H113</f>
        <v>0</v>
      </c>
      <c r="I108" s="147" t="str">
        <f t="shared" si="2"/>
        <v>0</v>
      </c>
      <c r="J108" s="148" t="b">
        <f t="shared" si="3"/>
        <v>0</v>
      </c>
      <c r="K108" s="149">
        <f>'Jrnl Rev'!$G113</f>
        <v>0</v>
      </c>
      <c r="L108" s="150"/>
      <c r="M108" s="151"/>
      <c r="N108" s="152"/>
    </row>
    <row r="109" spans="2:14" s="1" customFormat="1" ht="30" hidden="1" customHeight="1" x14ac:dyDescent="0.15">
      <c r="B109" s="146">
        <f>IF(AND('Jrnl Rev'!G114&lt;&gt;"",'Jrnl Rev'!C114&lt;&gt;""),1,0)</f>
        <v>0</v>
      </c>
      <c r="C109" s="146">
        <f>'Jrnl Rev'!$C114</f>
        <v>0</v>
      </c>
      <c r="D109" s="147">
        <f>'Jrnl Rev'!$D114</f>
        <v>0</v>
      </c>
      <c r="E109" s="1510">
        <f>'Jrnl Rev'!$F114</f>
        <v>0</v>
      </c>
      <c r="F109" s="1510"/>
      <c r="G109" s="951" t="str">
        <f>IF('Jrnl Rev'!$E114="","",'Jrnl Rev'!$E114)</f>
        <v/>
      </c>
      <c r="H109" s="147">
        <f>'Jrnl Rev'!H114</f>
        <v>0</v>
      </c>
      <c r="I109" s="147" t="str">
        <f t="shared" si="2"/>
        <v>0</v>
      </c>
      <c r="J109" s="148" t="b">
        <f t="shared" si="3"/>
        <v>0</v>
      </c>
      <c r="K109" s="149">
        <f>'Jrnl Rev'!$G114</f>
        <v>0</v>
      </c>
      <c r="L109" s="150"/>
      <c r="M109" s="151"/>
      <c r="N109" s="152"/>
    </row>
    <row r="110" spans="2:14" s="1" customFormat="1" ht="30" hidden="1" customHeight="1" x14ac:dyDescent="0.15">
      <c r="B110" s="146">
        <f>IF(AND('Jrnl Rev'!G115&lt;&gt;"",'Jrnl Rev'!C115&lt;&gt;""),1,0)</f>
        <v>0</v>
      </c>
      <c r="C110" s="146">
        <f>'Jrnl Rev'!$C115</f>
        <v>0</v>
      </c>
      <c r="D110" s="147">
        <f>'Jrnl Rev'!$D115</f>
        <v>0</v>
      </c>
      <c r="E110" s="1510">
        <f>'Jrnl Rev'!$F115</f>
        <v>0</v>
      </c>
      <c r="F110" s="1510"/>
      <c r="G110" s="951" t="str">
        <f>IF('Jrnl Rev'!$E115="","",'Jrnl Rev'!$E115)</f>
        <v/>
      </c>
      <c r="H110" s="147">
        <f>'Jrnl Rev'!H115</f>
        <v>0</v>
      </c>
      <c r="I110" s="147" t="str">
        <f t="shared" si="2"/>
        <v>0</v>
      </c>
      <c r="J110" s="148" t="b">
        <f t="shared" si="3"/>
        <v>0</v>
      </c>
      <c r="K110" s="149">
        <f>'Jrnl Rev'!$G115</f>
        <v>0</v>
      </c>
      <c r="L110" s="150"/>
      <c r="M110" s="151"/>
      <c r="N110" s="152"/>
    </row>
    <row r="111" spans="2:14" s="1" customFormat="1" ht="30" hidden="1" customHeight="1" x14ac:dyDescent="0.15">
      <c r="B111" s="146">
        <f>IF(AND('Jrnl Rev'!G116&lt;&gt;"",'Jrnl Rev'!C116&lt;&gt;""),1,0)</f>
        <v>0</v>
      </c>
      <c r="C111" s="146">
        <f>'Jrnl Rev'!$C116</f>
        <v>0</v>
      </c>
      <c r="D111" s="147">
        <f>'Jrnl Rev'!$D116</f>
        <v>0</v>
      </c>
      <c r="E111" s="1510">
        <f>'Jrnl Rev'!$F116</f>
        <v>0</v>
      </c>
      <c r="F111" s="1510"/>
      <c r="G111" s="951" t="str">
        <f>IF('Jrnl Rev'!$E116="","",'Jrnl Rev'!$E116)</f>
        <v/>
      </c>
      <c r="H111" s="147">
        <f>'Jrnl Rev'!H116</f>
        <v>0</v>
      </c>
      <c r="I111" s="147" t="str">
        <f t="shared" si="2"/>
        <v>0</v>
      </c>
      <c r="J111" s="148" t="b">
        <f t="shared" si="3"/>
        <v>0</v>
      </c>
      <c r="K111" s="149">
        <f>'Jrnl Rev'!$G116</f>
        <v>0</v>
      </c>
      <c r="L111" s="150"/>
      <c r="M111" s="151"/>
      <c r="N111" s="152"/>
    </row>
    <row r="112" spans="2:14" s="1" customFormat="1" ht="30" hidden="1" customHeight="1" x14ac:dyDescent="0.15">
      <c r="B112" s="146">
        <f>IF(AND('Jrnl Rev'!G117&lt;&gt;"",'Jrnl Rev'!C117&lt;&gt;""),1,0)</f>
        <v>0</v>
      </c>
      <c r="C112" s="146">
        <f>'Jrnl Rev'!$C117</f>
        <v>0</v>
      </c>
      <c r="D112" s="147">
        <f>'Jrnl Rev'!$D117</f>
        <v>0</v>
      </c>
      <c r="E112" s="1510">
        <f>'Jrnl Rev'!$F117</f>
        <v>0</v>
      </c>
      <c r="F112" s="1510"/>
      <c r="G112" s="951" t="str">
        <f>IF('Jrnl Rev'!$E117="","",'Jrnl Rev'!$E117)</f>
        <v/>
      </c>
      <c r="H112" s="147">
        <f>'Jrnl Rev'!H117</f>
        <v>0</v>
      </c>
      <c r="I112" s="147" t="str">
        <f t="shared" si="2"/>
        <v>0</v>
      </c>
      <c r="J112" s="148" t="b">
        <f t="shared" si="3"/>
        <v>0</v>
      </c>
      <c r="K112" s="149">
        <f>'Jrnl Rev'!$G117</f>
        <v>0</v>
      </c>
      <c r="L112" s="150"/>
      <c r="M112" s="151"/>
      <c r="N112" s="152"/>
    </row>
    <row r="113" spans="2:14" s="1" customFormat="1" ht="30" hidden="1" customHeight="1" x14ac:dyDescent="0.15">
      <c r="B113" s="146">
        <f>IF(AND('Jrnl Rev'!G118&lt;&gt;"",'Jrnl Rev'!C118&lt;&gt;""),1,0)</f>
        <v>0</v>
      </c>
      <c r="C113" s="146">
        <f>'Jrnl Rev'!$C118</f>
        <v>0</v>
      </c>
      <c r="D113" s="147">
        <f>'Jrnl Rev'!$D118</f>
        <v>0</v>
      </c>
      <c r="E113" s="1510">
        <f>'Jrnl Rev'!$F118</f>
        <v>0</v>
      </c>
      <c r="F113" s="1510"/>
      <c r="G113" s="951" t="str">
        <f>IF('Jrnl Rev'!$E118="","",'Jrnl Rev'!$E118)</f>
        <v/>
      </c>
      <c r="H113" s="147">
        <f>'Jrnl Rev'!H118</f>
        <v>0</v>
      </c>
      <c r="I113" s="147" t="str">
        <f t="shared" si="2"/>
        <v>0</v>
      </c>
      <c r="J113" s="148" t="b">
        <f t="shared" si="3"/>
        <v>0</v>
      </c>
      <c r="K113" s="149">
        <f>'Jrnl Rev'!$G118</f>
        <v>0</v>
      </c>
      <c r="L113" s="150"/>
      <c r="M113" s="151"/>
      <c r="N113" s="152"/>
    </row>
    <row r="114" spans="2:14" s="1" customFormat="1" ht="30" hidden="1" customHeight="1" x14ac:dyDescent="0.15">
      <c r="B114" s="146">
        <f>IF(AND('Jrnl Rev'!G119&lt;&gt;"",'Jrnl Rev'!C119&lt;&gt;""),1,0)</f>
        <v>0</v>
      </c>
      <c r="C114" s="146">
        <f>'Jrnl Rev'!$C119</f>
        <v>0</v>
      </c>
      <c r="D114" s="147">
        <f>'Jrnl Rev'!$D119</f>
        <v>0</v>
      </c>
      <c r="E114" s="1510">
        <f>'Jrnl Rev'!$F119</f>
        <v>0</v>
      </c>
      <c r="F114" s="1510"/>
      <c r="G114" s="951" t="str">
        <f>IF('Jrnl Rev'!$E119="","",'Jrnl Rev'!$E119)</f>
        <v/>
      </c>
      <c r="H114" s="147">
        <f>'Jrnl Rev'!H119</f>
        <v>0</v>
      </c>
      <c r="I114" s="147" t="str">
        <f t="shared" si="2"/>
        <v>0</v>
      </c>
      <c r="J114" s="148" t="b">
        <f t="shared" si="3"/>
        <v>0</v>
      </c>
      <c r="K114" s="149">
        <f>'Jrnl Rev'!$G119</f>
        <v>0</v>
      </c>
      <c r="L114" s="150"/>
      <c r="M114" s="151"/>
      <c r="N114" s="152"/>
    </row>
    <row r="115" spans="2:14" s="1" customFormat="1" ht="30" hidden="1" customHeight="1" x14ac:dyDescent="0.15">
      <c r="B115" s="146">
        <f>IF(AND('Jrnl Rev'!G120&lt;&gt;"",'Jrnl Rev'!C120&lt;&gt;""),1,0)</f>
        <v>0</v>
      </c>
      <c r="C115" s="146">
        <f>'Jrnl Rev'!$C120</f>
        <v>0</v>
      </c>
      <c r="D115" s="147">
        <f>'Jrnl Rev'!$D120</f>
        <v>0</v>
      </c>
      <c r="E115" s="1510">
        <f>'Jrnl Rev'!$F120</f>
        <v>0</v>
      </c>
      <c r="F115" s="1510"/>
      <c r="G115" s="951" t="str">
        <f>IF('Jrnl Rev'!$E120="","",'Jrnl Rev'!$E120)</f>
        <v/>
      </c>
      <c r="H115" s="147">
        <f>'Jrnl Rev'!H120</f>
        <v>0</v>
      </c>
      <c r="I115" s="147" t="str">
        <f t="shared" si="2"/>
        <v>0</v>
      </c>
      <c r="J115" s="148" t="b">
        <f t="shared" si="3"/>
        <v>0</v>
      </c>
      <c r="K115" s="149">
        <f>'Jrnl Rev'!$G120</f>
        <v>0</v>
      </c>
      <c r="L115" s="150"/>
      <c r="M115" s="151"/>
      <c r="N115" s="152"/>
    </row>
    <row r="116" spans="2:14" s="1" customFormat="1" ht="30" hidden="1" customHeight="1" x14ac:dyDescent="0.15">
      <c r="B116" s="146">
        <f>IF(AND('Jrnl Rev'!G121&lt;&gt;"",'Jrnl Rev'!C121&lt;&gt;""),1,0)</f>
        <v>0</v>
      </c>
      <c r="C116" s="146">
        <f>'Jrnl Rev'!$C121</f>
        <v>0</v>
      </c>
      <c r="D116" s="147">
        <f>'Jrnl Rev'!$D121</f>
        <v>0</v>
      </c>
      <c r="E116" s="1510">
        <f>'Jrnl Rev'!$F121</f>
        <v>0</v>
      </c>
      <c r="F116" s="1510"/>
      <c r="G116" s="951" t="str">
        <f>IF('Jrnl Rev'!$E121="","",'Jrnl Rev'!$E121)</f>
        <v/>
      </c>
      <c r="H116" s="147">
        <f>'Jrnl Rev'!H121</f>
        <v>0</v>
      </c>
      <c r="I116" s="147" t="str">
        <f t="shared" si="2"/>
        <v>0</v>
      </c>
      <c r="J116" s="148" t="b">
        <f t="shared" si="3"/>
        <v>0</v>
      </c>
      <c r="K116" s="149">
        <f>'Jrnl Rev'!$G121</f>
        <v>0</v>
      </c>
      <c r="L116" s="150"/>
      <c r="M116" s="151"/>
      <c r="N116" s="152"/>
    </row>
    <row r="117" spans="2:14" s="1" customFormat="1" ht="30" hidden="1" customHeight="1" x14ac:dyDescent="0.15">
      <c r="B117" s="146">
        <f>IF(AND('Jrnl Rev'!G122&lt;&gt;"",'Jrnl Rev'!C122&lt;&gt;""),1,0)</f>
        <v>0</v>
      </c>
      <c r="C117" s="146">
        <f>'Jrnl Rev'!$C122</f>
        <v>0</v>
      </c>
      <c r="D117" s="147">
        <f>'Jrnl Rev'!$D122</f>
        <v>0</v>
      </c>
      <c r="E117" s="1510">
        <f>'Jrnl Rev'!$F122</f>
        <v>0</v>
      </c>
      <c r="F117" s="1510"/>
      <c r="G117" s="951" t="str">
        <f>IF('Jrnl Rev'!$E122="","",'Jrnl Rev'!$E122)</f>
        <v/>
      </c>
      <c r="H117" s="147">
        <f>'Jrnl Rev'!H122</f>
        <v>0</v>
      </c>
      <c r="I117" s="147" t="str">
        <f t="shared" si="2"/>
        <v>0</v>
      </c>
      <c r="J117" s="148" t="b">
        <f t="shared" si="3"/>
        <v>0</v>
      </c>
      <c r="K117" s="149">
        <f>'Jrnl Rev'!$G122</f>
        <v>0</v>
      </c>
      <c r="L117" s="150"/>
      <c r="M117" s="151"/>
      <c r="N117" s="152"/>
    </row>
    <row r="118" spans="2:14" s="1" customFormat="1" ht="30" hidden="1" customHeight="1" x14ac:dyDescent="0.15">
      <c r="B118" s="146">
        <f>IF(AND('Jrnl Rev'!G123&lt;&gt;"",'Jrnl Rev'!C123&lt;&gt;""),1,0)</f>
        <v>0</v>
      </c>
      <c r="C118" s="146">
        <f>'Jrnl Rev'!$C123</f>
        <v>0</v>
      </c>
      <c r="D118" s="147">
        <f>'Jrnl Rev'!$D123</f>
        <v>0</v>
      </c>
      <c r="E118" s="1510">
        <f>'Jrnl Rev'!$F123</f>
        <v>0</v>
      </c>
      <c r="F118" s="1510"/>
      <c r="G118" s="951" t="str">
        <f>IF('Jrnl Rev'!$E123="","",'Jrnl Rev'!$E123)</f>
        <v/>
      </c>
      <c r="H118" s="147">
        <f>'Jrnl Rev'!H123</f>
        <v>0</v>
      </c>
      <c r="I118" s="147" t="str">
        <f t="shared" si="2"/>
        <v>0</v>
      </c>
      <c r="J118" s="148" t="b">
        <f t="shared" si="3"/>
        <v>0</v>
      </c>
      <c r="K118" s="149">
        <f>'Jrnl Rev'!$G123</f>
        <v>0</v>
      </c>
      <c r="L118" s="150"/>
      <c r="M118" s="151"/>
      <c r="N118" s="152"/>
    </row>
    <row r="119" spans="2:14" s="1" customFormat="1" ht="30" hidden="1" customHeight="1" x14ac:dyDescent="0.15">
      <c r="B119" s="146">
        <f>IF(AND('Jrnl Rev'!G124&lt;&gt;"",'Jrnl Rev'!C124&lt;&gt;""),1,0)</f>
        <v>0</v>
      </c>
      <c r="C119" s="146">
        <f>'Jrnl Rev'!$C124</f>
        <v>0</v>
      </c>
      <c r="D119" s="147">
        <f>'Jrnl Rev'!$D124</f>
        <v>0</v>
      </c>
      <c r="E119" s="1510">
        <f>'Jrnl Rev'!$F124</f>
        <v>0</v>
      </c>
      <c r="F119" s="1510"/>
      <c r="G119" s="951" t="str">
        <f>IF('Jrnl Rev'!$E124="","",'Jrnl Rev'!$E124)</f>
        <v/>
      </c>
      <c r="H119" s="147">
        <f>'Jrnl Rev'!H124</f>
        <v>0</v>
      </c>
      <c r="I119" s="147" t="str">
        <f t="shared" si="2"/>
        <v>0</v>
      </c>
      <c r="J119" s="148" t="b">
        <f t="shared" si="3"/>
        <v>0</v>
      </c>
      <c r="K119" s="149">
        <f>'Jrnl Rev'!$G124</f>
        <v>0</v>
      </c>
      <c r="L119" s="150"/>
      <c r="M119" s="151"/>
      <c r="N119" s="152"/>
    </row>
    <row r="120" spans="2:14" s="1" customFormat="1" ht="30" hidden="1" customHeight="1" x14ac:dyDescent="0.15">
      <c r="B120" s="146">
        <f>IF(AND('Jrnl Rev'!G125&lt;&gt;"",'Jrnl Rev'!C125&lt;&gt;""),1,0)</f>
        <v>0</v>
      </c>
      <c r="C120" s="146">
        <f>'Jrnl Rev'!$C125</f>
        <v>0</v>
      </c>
      <c r="D120" s="147">
        <f>'Jrnl Rev'!$D125</f>
        <v>0</v>
      </c>
      <c r="E120" s="1510">
        <f>'Jrnl Rev'!$F125</f>
        <v>0</v>
      </c>
      <c r="F120" s="1510"/>
      <c r="G120" s="951" t="str">
        <f>IF('Jrnl Rev'!$E125="","",'Jrnl Rev'!$E125)</f>
        <v/>
      </c>
      <c r="H120" s="147">
        <f>'Jrnl Rev'!H125</f>
        <v>0</v>
      </c>
      <c r="I120" s="147" t="str">
        <f t="shared" si="2"/>
        <v>0</v>
      </c>
      <c r="J120" s="148" t="b">
        <f t="shared" si="3"/>
        <v>0</v>
      </c>
      <c r="K120" s="149">
        <f>'Jrnl Rev'!$G125</f>
        <v>0</v>
      </c>
      <c r="L120" s="150"/>
      <c r="M120" s="151"/>
      <c r="N120" s="152"/>
    </row>
    <row r="121" spans="2:14" s="1" customFormat="1" ht="30" hidden="1" customHeight="1" x14ac:dyDescent="0.15">
      <c r="B121" s="146">
        <f>IF(AND('Jrnl Rev'!G126&lt;&gt;"",'Jrnl Rev'!C126&lt;&gt;""),1,0)</f>
        <v>0</v>
      </c>
      <c r="C121" s="146">
        <f>'Jrnl Rev'!$C126</f>
        <v>0</v>
      </c>
      <c r="D121" s="147">
        <f>'Jrnl Rev'!$D126</f>
        <v>0</v>
      </c>
      <c r="E121" s="1510">
        <f>'Jrnl Rev'!$F126</f>
        <v>0</v>
      </c>
      <c r="F121" s="1510"/>
      <c r="G121" s="951" t="str">
        <f>IF('Jrnl Rev'!$E126="","",'Jrnl Rev'!$E126)</f>
        <v/>
      </c>
      <c r="H121" s="147">
        <f>'Jrnl Rev'!H126</f>
        <v>0</v>
      </c>
      <c r="I121" s="147" t="str">
        <f t="shared" si="2"/>
        <v>0</v>
      </c>
      <c r="J121" s="148" t="b">
        <f t="shared" si="3"/>
        <v>0</v>
      </c>
      <c r="K121" s="149">
        <f>'Jrnl Rev'!$G126</f>
        <v>0</v>
      </c>
      <c r="L121" s="150"/>
      <c r="M121" s="151"/>
      <c r="N121" s="152"/>
    </row>
    <row r="122" spans="2:14" s="1" customFormat="1" ht="30" hidden="1" customHeight="1" x14ac:dyDescent="0.15">
      <c r="B122" s="146">
        <f>IF(AND('Jrnl Rev'!G127&lt;&gt;"",'Jrnl Rev'!C127&lt;&gt;""),1,0)</f>
        <v>0</v>
      </c>
      <c r="C122" s="146">
        <f>'Jrnl Rev'!$C127</f>
        <v>0</v>
      </c>
      <c r="D122" s="147">
        <f>'Jrnl Rev'!$D127</f>
        <v>0</v>
      </c>
      <c r="E122" s="1510">
        <f>'Jrnl Rev'!$F127</f>
        <v>0</v>
      </c>
      <c r="F122" s="1510"/>
      <c r="G122" s="951" t="str">
        <f>IF('Jrnl Rev'!$E127="","",'Jrnl Rev'!$E127)</f>
        <v/>
      </c>
      <c r="H122" s="147">
        <f>'Jrnl Rev'!H127</f>
        <v>0</v>
      </c>
      <c r="I122" s="147" t="str">
        <f t="shared" si="2"/>
        <v>0</v>
      </c>
      <c r="J122" s="148" t="b">
        <f t="shared" si="3"/>
        <v>0</v>
      </c>
      <c r="K122" s="149">
        <f>'Jrnl Rev'!$G127</f>
        <v>0</v>
      </c>
      <c r="L122" s="150"/>
      <c r="M122" s="151"/>
      <c r="N122" s="152"/>
    </row>
    <row r="123" spans="2:14" s="1" customFormat="1" ht="30" hidden="1" customHeight="1" x14ac:dyDescent="0.15">
      <c r="B123" s="146">
        <f>IF(AND('Jrnl Rev'!G128&lt;&gt;"",'Jrnl Rev'!C128&lt;&gt;""),1,0)</f>
        <v>0</v>
      </c>
      <c r="C123" s="146">
        <f>'Jrnl Rev'!$C128</f>
        <v>0</v>
      </c>
      <c r="D123" s="147">
        <f>'Jrnl Rev'!$D128</f>
        <v>0</v>
      </c>
      <c r="E123" s="1510">
        <f>'Jrnl Rev'!$F128</f>
        <v>0</v>
      </c>
      <c r="F123" s="1510"/>
      <c r="G123" s="951" t="str">
        <f>IF('Jrnl Rev'!$E128="","",'Jrnl Rev'!$E128)</f>
        <v/>
      </c>
      <c r="H123" s="147">
        <f>'Jrnl Rev'!H128</f>
        <v>0</v>
      </c>
      <c r="I123" s="147" t="str">
        <f t="shared" si="2"/>
        <v>0</v>
      </c>
      <c r="J123" s="148" t="b">
        <f t="shared" si="3"/>
        <v>0</v>
      </c>
      <c r="K123" s="149">
        <f>'Jrnl Rev'!$G128</f>
        <v>0</v>
      </c>
      <c r="L123" s="150"/>
      <c r="M123" s="151"/>
      <c r="N123" s="152"/>
    </row>
    <row r="124" spans="2:14" s="1" customFormat="1" ht="30" hidden="1" customHeight="1" x14ac:dyDescent="0.15">
      <c r="B124" s="146">
        <f>IF(AND('Jrnl Rev'!G129&lt;&gt;"",'Jrnl Rev'!C129&lt;&gt;""),1,0)</f>
        <v>0</v>
      </c>
      <c r="C124" s="146">
        <f>'Jrnl Rev'!$C129</f>
        <v>0</v>
      </c>
      <c r="D124" s="147">
        <f>'Jrnl Rev'!$D129</f>
        <v>0</v>
      </c>
      <c r="E124" s="1510">
        <f>'Jrnl Rev'!$F129</f>
        <v>0</v>
      </c>
      <c r="F124" s="1510"/>
      <c r="G124" s="951" t="str">
        <f>IF('Jrnl Rev'!$E129="","",'Jrnl Rev'!$E129)</f>
        <v/>
      </c>
      <c r="H124" s="147">
        <f>'Jrnl Rev'!H129</f>
        <v>0</v>
      </c>
      <c r="I124" s="147" t="str">
        <f t="shared" si="2"/>
        <v>0</v>
      </c>
      <c r="J124" s="148" t="b">
        <f t="shared" si="3"/>
        <v>0</v>
      </c>
      <c r="K124" s="149">
        <f>'Jrnl Rev'!$G129</f>
        <v>0</v>
      </c>
      <c r="L124" s="150"/>
      <c r="M124" s="151"/>
      <c r="N124" s="152"/>
    </row>
    <row r="125" spans="2:14" s="1" customFormat="1" ht="30" hidden="1" customHeight="1" x14ac:dyDescent="0.15">
      <c r="B125" s="146">
        <f>IF(AND('Jrnl Rev'!G130&lt;&gt;"",'Jrnl Rev'!C130&lt;&gt;""),1,0)</f>
        <v>0</v>
      </c>
      <c r="C125" s="146">
        <f>'Jrnl Rev'!$C130</f>
        <v>0</v>
      </c>
      <c r="D125" s="147">
        <f>'Jrnl Rev'!$D130</f>
        <v>0</v>
      </c>
      <c r="E125" s="1510">
        <f>'Jrnl Rev'!$F130</f>
        <v>0</v>
      </c>
      <c r="F125" s="1510"/>
      <c r="G125" s="951" t="str">
        <f>IF('Jrnl Rev'!$E130="","",'Jrnl Rev'!$E130)</f>
        <v/>
      </c>
      <c r="H125" s="147">
        <f>'Jrnl Rev'!H130</f>
        <v>0</v>
      </c>
      <c r="I125" s="147" t="str">
        <f t="shared" si="2"/>
        <v>0</v>
      </c>
      <c r="J125" s="148" t="b">
        <f t="shared" si="3"/>
        <v>0</v>
      </c>
      <c r="K125" s="149">
        <f>'Jrnl Rev'!$G130</f>
        <v>0</v>
      </c>
      <c r="L125" s="150"/>
      <c r="M125" s="151"/>
      <c r="N125" s="152"/>
    </row>
    <row r="126" spans="2:14" s="1" customFormat="1" ht="30" hidden="1" customHeight="1" x14ac:dyDescent="0.15">
      <c r="B126" s="146">
        <f>IF(AND('Jrnl Rev'!G131&lt;&gt;"",'Jrnl Rev'!C131&lt;&gt;""),1,0)</f>
        <v>0</v>
      </c>
      <c r="C126" s="146">
        <f>'Jrnl Rev'!$C131</f>
        <v>0</v>
      </c>
      <c r="D126" s="147">
        <f>'Jrnl Rev'!$D131</f>
        <v>0</v>
      </c>
      <c r="E126" s="1510">
        <f>'Jrnl Rev'!$F131</f>
        <v>0</v>
      </c>
      <c r="F126" s="1510"/>
      <c r="G126" s="951" t="str">
        <f>IF('Jrnl Rev'!$E131="","",'Jrnl Rev'!$E131)</f>
        <v/>
      </c>
      <c r="H126" s="147">
        <f>'Jrnl Rev'!H131</f>
        <v>0</v>
      </c>
      <c r="I126" s="147" t="str">
        <f t="shared" si="2"/>
        <v>0</v>
      </c>
      <c r="J126" s="148" t="b">
        <f t="shared" si="3"/>
        <v>0</v>
      </c>
      <c r="K126" s="149">
        <f>'Jrnl Rev'!$G131</f>
        <v>0</v>
      </c>
      <c r="L126" s="150"/>
      <c r="M126" s="151"/>
      <c r="N126" s="152"/>
    </row>
    <row r="127" spans="2:14" s="1" customFormat="1" ht="30" hidden="1" customHeight="1" x14ac:dyDescent="0.15">
      <c r="B127" s="146">
        <f>IF(AND('Jrnl Rev'!G132&lt;&gt;"",'Jrnl Rev'!C132&lt;&gt;""),1,0)</f>
        <v>0</v>
      </c>
      <c r="C127" s="146">
        <f>'Jrnl Rev'!$C132</f>
        <v>0</v>
      </c>
      <c r="D127" s="147">
        <f>'Jrnl Rev'!$D132</f>
        <v>0</v>
      </c>
      <c r="E127" s="1510">
        <f>'Jrnl Rev'!$F132</f>
        <v>0</v>
      </c>
      <c r="F127" s="1510"/>
      <c r="G127" s="951" t="str">
        <f>IF('Jrnl Rev'!$E132="","",'Jrnl Rev'!$E132)</f>
        <v/>
      </c>
      <c r="H127" s="147">
        <f>'Jrnl Rev'!H132</f>
        <v>0</v>
      </c>
      <c r="I127" s="147" t="str">
        <f t="shared" si="2"/>
        <v>0</v>
      </c>
      <c r="J127" s="148" t="b">
        <f t="shared" si="3"/>
        <v>0</v>
      </c>
      <c r="K127" s="149">
        <f>'Jrnl Rev'!$G132</f>
        <v>0</v>
      </c>
      <c r="L127" s="150"/>
      <c r="M127" s="151"/>
      <c r="N127" s="152"/>
    </row>
    <row r="128" spans="2:14" s="1" customFormat="1" ht="30" hidden="1" customHeight="1" x14ac:dyDescent="0.15">
      <c r="B128" s="146">
        <f>IF(AND('Jrnl Rev'!G133&lt;&gt;"",'Jrnl Rev'!C133&lt;&gt;""),1,0)</f>
        <v>0</v>
      </c>
      <c r="C128" s="146">
        <f>'Jrnl Rev'!$C133</f>
        <v>0</v>
      </c>
      <c r="D128" s="147">
        <f>'Jrnl Rev'!$D133</f>
        <v>0</v>
      </c>
      <c r="E128" s="1510">
        <f>'Jrnl Rev'!$F133</f>
        <v>0</v>
      </c>
      <c r="F128" s="1510"/>
      <c r="G128" s="951" t="str">
        <f>IF('Jrnl Rev'!$E133="","",'Jrnl Rev'!$E133)</f>
        <v/>
      </c>
      <c r="H128" s="147">
        <f>'Jrnl Rev'!H133</f>
        <v>0</v>
      </c>
      <c r="I128" s="147" t="str">
        <f t="shared" si="2"/>
        <v>0</v>
      </c>
      <c r="J128" s="148" t="b">
        <f t="shared" si="3"/>
        <v>0</v>
      </c>
      <c r="K128" s="149">
        <f>'Jrnl Rev'!$G133</f>
        <v>0</v>
      </c>
      <c r="L128" s="150"/>
      <c r="M128" s="151"/>
      <c r="N128" s="152"/>
    </row>
    <row r="129" spans="2:14" s="1" customFormat="1" ht="30" hidden="1" customHeight="1" x14ac:dyDescent="0.15">
      <c r="B129" s="146">
        <f>IF(AND('Jrnl Rev'!G134&lt;&gt;"",'Jrnl Rev'!C134&lt;&gt;""),1,0)</f>
        <v>0</v>
      </c>
      <c r="C129" s="146">
        <f>'Jrnl Rev'!$C134</f>
        <v>0</v>
      </c>
      <c r="D129" s="147">
        <f>'Jrnl Rev'!$D134</f>
        <v>0</v>
      </c>
      <c r="E129" s="1510">
        <f>'Jrnl Rev'!$F134</f>
        <v>0</v>
      </c>
      <c r="F129" s="1510"/>
      <c r="G129" s="951" t="str">
        <f>IF('Jrnl Rev'!$E134="","",'Jrnl Rev'!$E134)</f>
        <v/>
      </c>
      <c r="H129" s="147">
        <f>'Jrnl Rev'!H134</f>
        <v>0</v>
      </c>
      <c r="I129" s="147" t="str">
        <f t="shared" si="2"/>
        <v>0</v>
      </c>
      <c r="J129" s="148" t="b">
        <f t="shared" si="3"/>
        <v>0</v>
      </c>
      <c r="K129" s="149">
        <f>'Jrnl Rev'!$G134</f>
        <v>0</v>
      </c>
      <c r="L129" s="150"/>
      <c r="M129" s="151"/>
      <c r="N129" s="152"/>
    </row>
    <row r="130" spans="2:14" s="1" customFormat="1" ht="30" hidden="1" customHeight="1" x14ac:dyDescent="0.15">
      <c r="B130" s="146">
        <f>IF(AND('Jrnl Rev'!G135&lt;&gt;"",'Jrnl Rev'!C135&lt;&gt;""),1,0)</f>
        <v>0</v>
      </c>
      <c r="C130" s="146">
        <f>'Jrnl Rev'!$C135</f>
        <v>0</v>
      </c>
      <c r="D130" s="147">
        <f>'Jrnl Rev'!$D135</f>
        <v>0</v>
      </c>
      <c r="E130" s="1510">
        <f>'Jrnl Rev'!$F135</f>
        <v>0</v>
      </c>
      <c r="F130" s="1510"/>
      <c r="G130" s="951" t="str">
        <f>IF('Jrnl Rev'!$E135="","",'Jrnl Rev'!$E135)</f>
        <v/>
      </c>
      <c r="H130" s="147">
        <f>'Jrnl Rev'!H135</f>
        <v>0</v>
      </c>
      <c r="I130" s="147" t="str">
        <f t="shared" si="2"/>
        <v>0</v>
      </c>
      <c r="J130" s="148" t="b">
        <f t="shared" si="3"/>
        <v>0</v>
      </c>
      <c r="K130" s="149">
        <f>'Jrnl Rev'!$G135</f>
        <v>0</v>
      </c>
      <c r="L130" s="150"/>
      <c r="M130" s="151"/>
      <c r="N130" s="152"/>
    </row>
    <row r="131" spans="2:14" s="1" customFormat="1" ht="30" hidden="1" customHeight="1" x14ac:dyDescent="0.15">
      <c r="B131" s="146">
        <f>IF(AND('Jrnl Rev'!G136&lt;&gt;"",'Jrnl Rev'!C136&lt;&gt;""),1,0)</f>
        <v>0</v>
      </c>
      <c r="C131" s="146">
        <f>'Jrnl Rev'!$C136</f>
        <v>0</v>
      </c>
      <c r="D131" s="147">
        <f>'Jrnl Rev'!$D136</f>
        <v>0</v>
      </c>
      <c r="E131" s="1510">
        <f>'Jrnl Rev'!$F136</f>
        <v>0</v>
      </c>
      <c r="F131" s="1510"/>
      <c r="G131" s="951" t="str">
        <f>IF('Jrnl Rev'!$E136="","",'Jrnl Rev'!$E136)</f>
        <v/>
      </c>
      <c r="H131" s="147">
        <f>'Jrnl Rev'!H136</f>
        <v>0</v>
      </c>
      <c r="I131" s="147" t="str">
        <f t="shared" si="2"/>
        <v>0</v>
      </c>
      <c r="J131" s="148" t="b">
        <f t="shared" si="3"/>
        <v>0</v>
      </c>
      <c r="K131" s="149">
        <f>'Jrnl Rev'!$G136</f>
        <v>0</v>
      </c>
      <c r="L131" s="150"/>
      <c r="M131" s="151"/>
      <c r="N131" s="152"/>
    </row>
    <row r="132" spans="2:14" s="1" customFormat="1" ht="30" hidden="1" customHeight="1" x14ac:dyDescent="0.15">
      <c r="B132" s="146">
        <f>IF(AND('Jrnl Rev'!G137&lt;&gt;"",'Jrnl Rev'!C137&lt;&gt;""),1,0)</f>
        <v>0</v>
      </c>
      <c r="C132" s="146">
        <f>'Jrnl Rev'!$C137</f>
        <v>0</v>
      </c>
      <c r="D132" s="147">
        <f>'Jrnl Rev'!$D137</f>
        <v>0</v>
      </c>
      <c r="E132" s="1510">
        <f>'Jrnl Rev'!$F137</f>
        <v>0</v>
      </c>
      <c r="F132" s="1510"/>
      <c r="G132" s="951" t="str">
        <f>IF('Jrnl Rev'!$E137="","",'Jrnl Rev'!$E137)</f>
        <v/>
      </c>
      <c r="H132" s="147">
        <f>'Jrnl Rev'!H137</f>
        <v>0</v>
      </c>
      <c r="I132" s="147" t="str">
        <f t="shared" si="2"/>
        <v>0</v>
      </c>
      <c r="J132" s="148" t="b">
        <f t="shared" si="3"/>
        <v>0</v>
      </c>
      <c r="K132" s="149">
        <f>'Jrnl Rev'!$G137</f>
        <v>0</v>
      </c>
      <c r="L132" s="150"/>
      <c r="M132" s="151"/>
      <c r="N132" s="152"/>
    </row>
    <row r="133" spans="2:14" s="1" customFormat="1" ht="30" hidden="1" customHeight="1" x14ac:dyDescent="0.15">
      <c r="B133" s="146">
        <f>IF(AND('Jrnl Rev'!G138&lt;&gt;"",'Jrnl Rev'!C138&lt;&gt;""),1,0)</f>
        <v>0</v>
      </c>
      <c r="C133" s="146">
        <f>'Jrnl Rev'!$C138</f>
        <v>0</v>
      </c>
      <c r="D133" s="147">
        <f>'Jrnl Rev'!$D138</f>
        <v>0</v>
      </c>
      <c r="E133" s="1510">
        <f>'Jrnl Rev'!$F138</f>
        <v>0</v>
      </c>
      <c r="F133" s="1510"/>
      <c r="G133" s="951" t="str">
        <f>IF('Jrnl Rev'!$E138="","",'Jrnl Rev'!$E138)</f>
        <v/>
      </c>
      <c r="H133" s="147">
        <f>'Jrnl Rev'!H138</f>
        <v>0</v>
      </c>
      <c r="I133" s="147" t="str">
        <f t="shared" si="2"/>
        <v>0</v>
      </c>
      <c r="J133" s="148" t="b">
        <f t="shared" si="3"/>
        <v>0</v>
      </c>
      <c r="K133" s="149">
        <f>'Jrnl Rev'!$G138</f>
        <v>0</v>
      </c>
      <c r="L133" s="150"/>
      <c r="M133" s="151"/>
      <c r="N133" s="152"/>
    </row>
    <row r="134" spans="2:14" s="1" customFormat="1" ht="30" hidden="1" customHeight="1" x14ac:dyDescent="0.15">
      <c r="B134" s="146">
        <f>IF(AND('Jrnl Rev'!G139&lt;&gt;"",'Jrnl Rev'!C139&lt;&gt;""),1,0)</f>
        <v>0</v>
      </c>
      <c r="C134" s="146">
        <f>'Jrnl Rev'!$C139</f>
        <v>0</v>
      </c>
      <c r="D134" s="147">
        <f>'Jrnl Rev'!$D139</f>
        <v>0</v>
      </c>
      <c r="E134" s="1510">
        <f>'Jrnl Rev'!$F139</f>
        <v>0</v>
      </c>
      <c r="F134" s="1510"/>
      <c r="G134" s="951" t="str">
        <f>IF('Jrnl Rev'!$E139="","",'Jrnl Rev'!$E139)</f>
        <v/>
      </c>
      <c r="H134" s="147">
        <f>'Jrnl Rev'!H139</f>
        <v>0</v>
      </c>
      <c r="I134" s="147" t="str">
        <f t="shared" si="2"/>
        <v>0</v>
      </c>
      <c r="J134" s="148" t="b">
        <f t="shared" si="3"/>
        <v>0</v>
      </c>
      <c r="K134" s="149">
        <f>'Jrnl Rev'!$G139</f>
        <v>0</v>
      </c>
      <c r="L134" s="150"/>
      <c r="M134" s="151"/>
      <c r="N134" s="152"/>
    </row>
    <row r="135" spans="2:14" s="1" customFormat="1" ht="30" hidden="1" customHeight="1" x14ac:dyDescent="0.15">
      <c r="B135" s="146">
        <f>IF(AND('Jrnl Rev'!G140&lt;&gt;"",'Jrnl Rev'!C140&lt;&gt;""),1,0)</f>
        <v>0</v>
      </c>
      <c r="C135" s="146">
        <f>'Jrnl Rev'!$C140</f>
        <v>0</v>
      </c>
      <c r="D135" s="147">
        <f>'Jrnl Rev'!$D140</f>
        <v>0</v>
      </c>
      <c r="E135" s="1510">
        <f>'Jrnl Rev'!$F140</f>
        <v>0</v>
      </c>
      <c r="F135" s="1510"/>
      <c r="G135" s="951" t="str">
        <f>IF('Jrnl Rev'!$E140="","",'Jrnl Rev'!$E140)</f>
        <v/>
      </c>
      <c r="H135" s="147">
        <f>'Jrnl Rev'!H140</f>
        <v>0</v>
      </c>
      <c r="I135" s="147" t="str">
        <f t="shared" si="2"/>
        <v>0</v>
      </c>
      <c r="J135" s="148" t="b">
        <f t="shared" si="3"/>
        <v>0</v>
      </c>
      <c r="K135" s="149">
        <f>'Jrnl Rev'!$G140</f>
        <v>0</v>
      </c>
      <c r="L135" s="150"/>
      <c r="M135" s="151"/>
      <c r="N135" s="152"/>
    </row>
    <row r="136" spans="2:14" s="1" customFormat="1" ht="30" hidden="1" customHeight="1" x14ac:dyDescent="0.15">
      <c r="B136" s="146">
        <f>IF(AND('Jrnl Rev'!G141&lt;&gt;"",'Jrnl Rev'!C141&lt;&gt;""),1,0)</f>
        <v>0</v>
      </c>
      <c r="C136" s="146">
        <f>'Jrnl Rev'!$C141</f>
        <v>0</v>
      </c>
      <c r="D136" s="147">
        <f>'Jrnl Rev'!$D141</f>
        <v>0</v>
      </c>
      <c r="E136" s="1510">
        <f>'Jrnl Rev'!$F141</f>
        <v>0</v>
      </c>
      <c r="F136" s="1510"/>
      <c r="G136" s="951" t="str">
        <f>IF('Jrnl Rev'!$E141="","",'Jrnl Rev'!$E141)</f>
        <v/>
      </c>
      <c r="H136" s="147">
        <f>'Jrnl Rev'!H141</f>
        <v>0</v>
      </c>
      <c r="I136" s="147" t="str">
        <f t="shared" si="2"/>
        <v>0</v>
      </c>
      <c r="J136" s="148" t="b">
        <f t="shared" si="3"/>
        <v>0</v>
      </c>
      <c r="K136" s="149">
        <f>'Jrnl Rev'!$G141</f>
        <v>0</v>
      </c>
      <c r="L136" s="150"/>
      <c r="M136" s="151"/>
      <c r="N136" s="152"/>
    </row>
    <row r="137" spans="2:14" s="1" customFormat="1" ht="30" hidden="1" customHeight="1" x14ac:dyDescent="0.15">
      <c r="B137" s="146">
        <f>IF(AND('Jrnl Rev'!G142&lt;&gt;"",'Jrnl Rev'!C142&lt;&gt;""),1,0)</f>
        <v>0</v>
      </c>
      <c r="C137" s="146">
        <f>'Jrnl Rev'!$C142</f>
        <v>0</v>
      </c>
      <c r="D137" s="147">
        <f>'Jrnl Rev'!$D142</f>
        <v>0</v>
      </c>
      <c r="E137" s="1510">
        <f>'Jrnl Rev'!$F142</f>
        <v>0</v>
      </c>
      <c r="F137" s="1510"/>
      <c r="G137" s="951" t="str">
        <f>IF('Jrnl Rev'!$E142="","",'Jrnl Rev'!$E142)</f>
        <v/>
      </c>
      <c r="H137" s="147">
        <f>'Jrnl Rev'!H142</f>
        <v>0</v>
      </c>
      <c r="I137" s="147" t="str">
        <f t="shared" si="2"/>
        <v>0</v>
      </c>
      <c r="J137" s="148" t="b">
        <f t="shared" si="3"/>
        <v>0</v>
      </c>
      <c r="K137" s="149">
        <f>'Jrnl Rev'!$G142</f>
        <v>0</v>
      </c>
      <c r="L137" s="150"/>
      <c r="M137" s="151"/>
      <c r="N137" s="152"/>
    </row>
    <row r="138" spans="2:14" s="1" customFormat="1" ht="30" hidden="1" customHeight="1" x14ac:dyDescent="0.15">
      <c r="B138" s="146">
        <f>IF(AND('Jrnl Rev'!G143&lt;&gt;"",'Jrnl Rev'!C143&lt;&gt;""),1,0)</f>
        <v>0</v>
      </c>
      <c r="C138" s="146">
        <f>'Jrnl Rev'!$C143</f>
        <v>0</v>
      </c>
      <c r="D138" s="147">
        <f>'Jrnl Rev'!$D143</f>
        <v>0</v>
      </c>
      <c r="E138" s="1510">
        <f>'Jrnl Rev'!$F143</f>
        <v>0</v>
      </c>
      <c r="F138" s="1510"/>
      <c r="G138" s="951" t="str">
        <f>IF('Jrnl Rev'!$E143="","",'Jrnl Rev'!$E143)</f>
        <v/>
      </c>
      <c r="H138" s="147">
        <f>'Jrnl Rev'!H143</f>
        <v>0</v>
      </c>
      <c r="I138" s="147" t="str">
        <f t="shared" si="2"/>
        <v>0</v>
      </c>
      <c r="J138" s="148" t="b">
        <f t="shared" si="3"/>
        <v>0</v>
      </c>
      <c r="K138" s="149">
        <f>'Jrnl Rev'!$G143</f>
        <v>0</v>
      </c>
      <c r="L138" s="150"/>
      <c r="M138" s="151"/>
      <c r="N138" s="152"/>
    </row>
    <row r="139" spans="2:14" s="1" customFormat="1" ht="30" hidden="1" customHeight="1" x14ac:dyDescent="0.15">
      <c r="B139" s="146">
        <f>IF(AND('Jrnl Rev'!G144&lt;&gt;"",'Jrnl Rev'!C144&lt;&gt;""),1,0)</f>
        <v>0</v>
      </c>
      <c r="C139" s="146">
        <f>'Jrnl Rev'!$C144</f>
        <v>0</v>
      </c>
      <c r="D139" s="147">
        <f>'Jrnl Rev'!$D144</f>
        <v>0</v>
      </c>
      <c r="E139" s="1510">
        <f>'Jrnl Rev'!$F144</f>
        <v>0</v>
      </c>
      <c r="F139" s="1510"/>
      <c r="G139" s="951" t="str">
        <f>IF('Jrnl Rev'!$E144="","",'Jrnl Rev'!$E144)</f>
        <v/>
      </c>
      <c r="H139" s="147">
        <f>'Jrnl Rev'!H144</f>
        <v>0</v>
      </c>
      <c r="I139" s="147" t="str">
        <f t="shared" ref="I139:I202" si="4">LEFT(H139,4)</f>
        <v>0</v>
      </c>
      <c r="J139" s="148" t="b">
        <f t="shared" si="3"/>
        <v>0</v>
      </c>
      <c r="K139" s="149">
        <f>'Jrnl Rev'!$G144</f>
        <v>0</v>
      </c>
      <c r="L139" s="150"/>
      <c r="M139" s="151"/>
      <c r="N139" s="152"/>
    </row>
    <row r="140" spans="2:14" s="1" customFormat="1" ht="30" hidden="1" customHeight="1" x14ac:dyDescent="0.15">
      <c r="B140" s="146">
        <f>IF(AND('Jrnl Rev'!G145&lt;&gt;"",'Jrnl Rev'!C145&lt;&gt;""),1,0)</f>
        <v>0</v>
      </c>
      <c r="C140" s="146">
        <f>'Jrnl Rev'!$C145</f>
        <v>0</v>
      </c>
      <c r="D140" s="147">
        <f>'Jrnl Rev'!$D145</f>
        <v>0</v>
      </c>
      <c r="E140" s="1510">
        <f>'Jrnl Rev'!$F145</f>
        <v>0</v>
      </c>
      <c r="F140" s="1510"/>
      <c r="G140" s="951" t="str">
        <f>IF('Jrnl Rev'!$E145="","",'Jrnl Rev'!$E145)</f>
        <v/>
      </c>
      <c r="H140" s="147">
        <f>'Jrnl Rev'!H145</f>
        <v>0</v>
      </c>
      <c r="I140" s="147" t="str">
        <f t="shared" si="4"/>
        <v>0</v>
      </c>
      <c r="J140" s="148" t="b">
        <f t="shared" ref="J140:J203" si="5">IF(I140="1020",IF(G140&gt;=$E$3,IF(G140&lt;=$G$3,K140,0)))</f>
        <v>0</v>
      </c>
      <c r="K140" s="149">
        <f>'Jrnl Rev'!$G145</f>
        <v>0</v>
      </c>
      <c r="L140" s="150"/>
      <c r="M140" s="151"/>
      <c r="N140" s="152"/>
    </row>
    <row r="141" spans="2:14" s="1" customFormat="1" ht="30" hidden="1" customHeight="1" x14ac:dyDescent="0.15">
      <c r="B141" s="146">
        <f>IF(AND('Jrnl Rev'!G146&lt;&gt;"",'Jrnl Rev'!C146&lt;&gt;""),1,0)</f>
        <v>0</v>
      </c>
      <c r="C141" s="146">
        <f>'Jrnl Rev'!$C146</f>
        <v>0</v>
      </c>
      <c r="D141" s="147">
        <f>'Jrnl Rev'!$D146</f>
        <v>0</v>
      </c>
      <c r="E141" s="1510">
        <f>'Jrnl Rev'!$F146</f>
        <v>0</v>
      </c>
      <c r="F141" s="1510"/>
      <c r="G141" s="951" t="str">
        <f>IF('Jrnl Rev'!$E146="","",'Jrnl Rev'!$E146)</f>
        <v/>
      </c>
      <c r="H141" s="147">
        <f>'Jrnl Rev'!H146</f>
        <v>0</v>
      </c>
      <c r="I141" s="147" t="str">
        <f t="shared" si="4"/>
        <v>0</v>
      </c>
      <c r="J141" s="148" t="b">
        <f t="shared" si="5"/>
        <v>0</v>
      </c>
      <c r="K141" s="149">
        <f>'Jrnl Rev'!$G146</f>
        <v>0</v>
      </c>
      <c r="L141" s="150"/>
      <c r="M141" s="151"/>
      <c r="N141" s="152"/>
    </row>
    <row r="142" spans="2:14" s="1" customFormat="1" ht="30" hidden="1" customHeight="1" x14ac:dyDescent="0.15">
      <c r="B142" s="146">
        <f>IF(AND('Jrnl Rev'!G147&lt;&gt;"",'Jrnl Rev'!C147&lt;&gt;""),1,0)</f>
        <v>0</v>
      </c>
      <c r="C142" s="146">
        <f>'Jrnl Rev'!$C147</f>
        <v>0</v>
      </c>
      <c r="D142" s="147">
        <f>'Jrnl Rev'!$D147</f>
        <v>0</v>
      </c>
      <c r="E142" s="1510">
        <f>'Jrnl Rev'!$F147</f>
        <v>0</v>
      </c>
      <c r="F142" s="1510"/>
      <c r="G142" s="951" t="str">
        <f>IF('Jrnl Rev'!$E147="","",'Jrnl Rev'!$E147)</f>
        <v/>
      </c>
      <c r="H142" s="147">
        <f>'Jrnl Rev'!H147</f>
        <v>0</v>
      </c>
      <c r="I142" s="147" t="str">
        <f t="shared" si="4"/>
        <v>0</v>
      </c>
      <c r="J142" s="148" t="b">
        <f t="shared" si="5"/>
        <v>0</v>
      </c>
      <c r="K142" s="149">
        <f>'Jrnl Rev'!$G147</f>
        <v>0</v>
      </c>
      <c r="L142" s="150"/>
      <c r="M142" s="151"/>
      <c r="N142" s="152"/>
    </row>
    <row r="143" spans="2:14" s="1" customFormat="1" ht="30" hidden="1" customHeight="1" x14ac:dyDescent="0.15">
      <c r="B143" s="146">
        <f>IF(AND('Jrnl Rev'!G148&lt;&gt;"",'Jrnl Rev'!C148&lt;&gt;""),1,0)</f>
        <v>0</v>
      </c>
      <c r="C143" s="146">
        <f>'Jrnl Rev'!$C148</f>
        <v>0</v>
      </c>
      <c r="D143" s="147">
        <f>'Jrnl Rev'!$D148</f>
        <v>0</v>
      </c>
      <c r="E143" s="1510">
        <f>'Jrnl Rev'!$F148</f>
        <v>0</v>
      </c>
      <c r="F143" s="1510"/>
      <c r="G143" s="951" t="str">
        <f>IF('Jrnl Rev'!$E148="","",'Jrnl Rev'!$E148)</f>
        <v/>
      </c>
      <c r="H143" s="147">
        <f>'Jrnl Rev'!H148</f>
        <v>0</v>
      </c>
      <c r="I143" s="147" t="str">
        <f t="shared" si="4"/>
        <v>0</v>
      </c>
      <c r="J143" s="148" t="b">
        <f t="shared" si="5"/>
        <v>0</v>
      </c>
      <c r="K143" s="149">
        <f>'Jrnl Rev'!$G148</f>
        <v>0</v>
      </c>
      <c r="L143" s="150"/>
      <c r="M143" s="151"/>
      <c r="N143" s="152"/>
    </row>
    <row r="144" spans="2:14" s="1" customFormat="1" ht="30" hidden="1" customHeight="1" x14ac:dyDescent="0.15">
      <c r="B144" s="146">
        <f>IF(AND('Jrnl Rev'!G149&lt;&gt;"",'Jrnl Rev'!C149&lt;&gt;""),1,0)</f>
        <v>0</v>
      </c>
      <c r="C144" s="146">
        <f>'Jrnl Rev'!$C149</f>
        <v>0</v>
      </c>
      <c r="D144" s="147">
        <f>'Jrnl Rev'!$D149</f>
        <v>0</v>
      </c>
      <c r="E144" s="1510">
        <f>'Jrnl Rev'!$F149</f>
        <v>0</v>
      </c>
      <c r="F144" s="1510"/>
      <c r="G144" s="951" t="str">
        <f>IF('Jrnl Rev'!$E149="","",'Jrnl Rev'!$E149)</f>
        <v/>
      </c>
      <c r="H144" s="147">
        <f>'Jrnl Rev'!H149</f>
        <v>0</v>
      </c>
      <c r="I144" s="147" t="str">
        <f t="shared" si="4"/>
        <v>0</v>
      </c>
      <c r="J144" s="148" t="b">
        <f t="shared" si="5"/>
        <v>0</v>
      </c>
      <c r="K144" s="149">
        <f>'Jrnl Rev'!$G149</f>
        <v>0</v>
      </c>
      <c r="L144" s="150"/>
      <c r="M144" s="151"/>
      <c r="N144" s="152"/>
    </row>
    <row r="145" spans="2:14" s="1" customFormat="1" ht="30" hidden="1" customHeight="1" x14ac:dyDescent="0.15">
      <c r="B145" s="146">
        <f>IF(AND('Jrnl Rev'!G150&lt;&gt;"",'Jrnl Rev'!C150&lt;&gt;""),1,0)</f>
        <v>0</v>
      </c>
      <c r="C145" s="146">
        <f>'Jrnl Rev'!$C150</f>
        <v>0</v>
      </c>
      <c r="D145" s="147">
        <f>'Jrnl Rev'!$D150</f>
        <v>0</v>
      </c>
      <c r="E145" s="1510">
        <f>'Jrnl Rev'!$F150</f>
        <v>0</v>
      </c>
      <c r="F145" s="1510"/>
      <c r="G145" s="951" t="str">
        <f>IF('Jrnl Rev'!$E150="","",'Jrnl Rev'!$E150)</f>
        <v/>
      </c>
      <c r="H145" s="147">
        <f>'Jrnl Rev'!H150</f>
        <v>0</v>
      </c>
      <c r="I145" s="147" t="str">
        <f t="shared" si="4"/>
        <v>0</v>
      </c>
      <c r="J145" s="148" t="b">
        <f t="shared" si="5"/>
        <v>0</v>
      </c>
      <c r="K145" s="149">
        <f>'Jrnl Rev'!$G150</f>
        <v>0</v>
      </c>
      <c r="L145" s="150"/>
      <c r="M145" s="151"/>
      <c r="N145" s="152"/>
    </row>
    <row r="146" spans="2:14" s="1" customFormat="1" ht="30" hidden="1" customHeight="1" x14ac:dyDescent="0.15">
      <c r="B146" s="146">
        <f>IF(AND('Jrnl Rev'!G151&lt;&gt;"",'Jrnl Rev'!C151&lt;&gt;""),1,0)</f>
        <v>0</v>
      </c>
      <c r="C146" s="146">
        <f>'Jrnl Rev'!$C151</f>
        <v>0</v>
      </c>
      <c r="D146" s="147">
        <f>'Jrnl Rev'!$D151</f>
        <v>0</v>
      </c>
      <c r="E146" s="1510">
        <f>'Jrnl Rev'!$F151</f>
        <v>0</v>
      </c>
      <c r="F146" s="1510"/>
      <c r="G146" s="951" t="str">
        <f>IF('Jrnl Rev'!$E151="","",'Jrnl Rev'!$E151)</f>
        <v/>
      </c>
      <c r="H146" s="147">
        <f>'Jrnl Rev'!H151</f>
        <v>0</v>
      </c>
      <c r="I146" s="147" t="str">
        <f t="shared" si="4"/>
        <v>0</v>
      </c>
      <c r="J146" s="148" t="b">
        <f t="shared" si="5"/>
        <v>0</v>
      </c>
      <c r="K146" s="149">
        <f>'Jrnl Rev'!$G151</f>
        <v>0</v>
      </c>
      <c r="L146" s="150"/>
      <c r="M146" s="151"/>
      <c r="N146" s="152"/>
    </row>
    <row r="147" spans="2:14" s="1" customFormat="1" ht="30" hidden="1" customHeight="1" x14ac:dyDescent="0.15">
      <c r="B147" s="146">
        <f>IF(AND('Jrnl Rev'!G152&lt;&gt;"",'Jrnl Rev'!C152&lt;&gt;""),1,0)</f>
        <v>0</v>
      </c>
      <c r="C147" s="146">
        <f>'Jrnl Rev'!$C152</f>
        <v>0</v>
      </c>
      <c r="D147" s="147">
        <f>'Jrnl Rev'!$D152</f>
        <v>0</v>
      </c>
      <c r="E147" s="1510">
        <f>'Jrnl Rev'!$F152</f>
        <v>0</v>
      </c>
      <c r="F147" s="1510"/>
      <c r="G147" s="951" t="str">
        <f>IF('Jrnl Rev'!$E152="","",'Jrnl Rev'!$E152)</f>
        <v/>
      </c>
      <c r="H147" s="147">
        <f>'Jrnl Rev'!H152</f>
        <v>0</v>
      </c>
      <c r="I147" s="147" t="str">
        <f t="shared" si="4"/>
        <v>0</v>
      </c>
      <c r="J147" s="148" t="b">
        <f t="shared" si="5"/>
        <v>0</v>
      </c>
      <c r="K147" s="149">
        <f>'Jrnl Rev'!$G152</f>
        <v>0</v>
      </c>
      <c r="L147" s="150"/>
      <c r="M147" s="151"/>
      <c r="N147" s="152"/>
    </row>
    <row r="148" spans="2:14" s="1" customFormat="1" ht="30" hidden="1" customHeight="1" x14ac:dyDescent="0.15">
      <c r="B148" s="146">
        <f>IF(AND('Jrnl Rev'!G153&lt;&gt;"",'Jrnl Rev'!C153&lt;&gt;""),1,0)</f>
        <v>0</v>
      </c>
      <c r="C148" s="146">
        <f>'Jrnl Rev'!$C153</f>
        <v>0</v>
      </c>
      <c r="D148" s="147">
        <f>'Jrnl Rev'!$D153</f>
        <v>0</v>
      </c>
      <c r="E148" s="1510">
        <f>'Jrnl Rev'!$F153</f>
        <v>0</v>
      </c>
      <c r="F148" s="1510"/>
      <c r="G148" s="951" t="str">
        <f>IF('Jrnl Rev'!$E153="","",'Jrnl Rev'!$E153)</f>
        <v/>
      </c>
      <c r="H148" s="147">
        <f>'Jrnl Rev'!H153</f>
        <v>0</v>
      </c>
      <c r="I148" s="147" t="str">
        <f t="shared" si="4"/>
        <v>0</v>
      </c>
      <c r="J148" s="148" t="b">
        <f t="shared" si="5"/>
        <v>0</v>
      </c>
      <c r="K148" s="149">
        <f>'Jrnl Rev'!$G153</f>
        <v>0</v>
      </c>
      <c r="L148" s="150"/>
      <c r="M148" s="151"/>
      <c r="N148" s="152"/>
    </row>
    <row r="149" spans="2:14" s="1" customFormat="1" ht="30" hidden="1" customHeight="1" x14ac:dyDescent="0.15">
      <c r="B149" s="146">
        <f>IF(AND('Jrnl Rev'!G154&lt;&gt;"",'Jrnl Rev'!C154&lt;&gt;""),1,0)</f>
        <v>0</v>
      </c>
      <c r="C149" s="146">
        <f>'Jrnl Rev'!$C154</f>
        <v>0</v>
      </c>
      <c r="D149" s="147">
        <f>'Jrnl Rev'!$D154</f>
        <v>0</v>
      </c>
      <c r="E149" s="1510">
        <f>'Jrnl Rev'!$F154</f>
        <v>0</v>
      </c>
      <c r="F149" s="1510"/>
      <c r="G149" s="951" t="str">
        <f>IF('Jrnl Rev'!$E154="","",'Jrnl Rev'!$E154)</f>
        <v/>
      </c>
      <c r="H149" s="147">
        <f>'Jrnl Rev'!H154</f>
        <v>0</v>
      </c>
      <c r="I149" s="147" t="str">
        <f t="shared" si="4"/>
        <v>0</v>
      </c>
      <c r="J149" s="148" t="b">
        <f t="shared" si="5"/>
        <v>0</v>
      </c>
      <c r="K149" s="149">
        <f>'Jrnl Rev'!$G154</f>
        <v>0</v>
      </c>
      <c r="L149" s="150"/>
      <c r="M149" s="151"/>
      <c r="N149" s="152"/>
    </row>
    <row r="150" spans="2:14" s="1" customFormat="1" ht="30" hidden="1" customHeight="1" x14ac:dyDescent="0.15">
      <c r="B150" s="146">
        <f>IF(AND('Jrnl Rev'!G155&lt;&gt;"",'Jrnl Rev'!C155&lt;&gt;""),1,0)</f>
        <v>0</v>
      </c>
      <c r="C150" s="146">
        <f>'Jrnl Rev'!$C155</f>
        <v>0</v>
      </c>
      <c r="D150" s="147">
        <f>'Jrnl Rev'!$D155</f>
        <v>0</v>
      </c>
      <c r="E150" s="1510">
        <f>'Jrnl Rev'!$F155</f>
        <v>0</v>
      </c>
      <c r="F150" s="1510"/>
      <c r="G150" s="951" t="str">
        <f>IF('Jrnl Rev'!$E155="","",'Jrnl Rev'!$E155)</f>
        <v/>
      </c>
      <c r="H150" s="147">
        <f>'Jrnl Rev'!H155</f>
        <v>0</v>
      </c>
      <c r="I150" s="147" t="str">
        <f t="shared" si="4"/>
        <v>0</v>
      </c>
      <c r="J150" s="148" t="b">
        <f t="shared" si="5"/>
        <v>0</v>
      </c>
      <c r="K150" s="149">
        <f>'Jrnl Rev'!$G155</f>
        <v>0</v>
      </c>
      <c r="L150" s="150"/>
      <c r="M150" s="151"/>
      <c r="N150" s="152"/>
    </row>
    <row r="151" spans="2:14" s="1" customFormat="1" ht="30" hidden="1" customHeight="1" x14ac:dyDescent="0.15">
      <c r="B151" s="146">
        <f>IF(AND('Jrnl Rev'!G156&lt;&gt;"",'Jrnl Rev'!C156&lt;&gt;""),1,0)</f>
        <v>0</v>
      </c>
      <c r="C151" s="146">
        <f>'Jrnl Rev'!$C156</f>
        <v>0</v>
      </c>
      <c r="D151" s="147">
        <f>'Jrnl Rev'!$D156</f>
        <v>0</v>
      </c>
      <c r="E151" s="1510">
        <f>'Jrnl Rev'!$F156</f>
        <v>0</v>
      </c>
      <c r="F151" s="1510"/>
      <c r="G151" s="951" t="str">
        <f>IF('Jrnl Rev'!$E156="","",'Jrnl Rev'!$E156)</f>
        <v/>
      </c>
      <c r="H151" s="147">
        <f>'Jrnl Rev'!H156</f>
        <v>0</v>
      </c>
      <c r="I151" s="147" t="str">
        <f t="shared" si="4"/>
        <v>0</v>
      </c>
      <c r="J151" s="148" t="b">
        <f t="shared" si="5"/>
        <v>0</v>
      </c>
      <c r="K151" s="149">
        <f>'Jrnl Rev'!$G156</f>
        <v>0</v>
      </c>
      <c r="L151" s="150"/>
      <c r="M151" s="151"/>
      <c r="N151" s="152"/>
    </row>
    <row r="152" spans="2:14" s="1" customFormat="1" ht="30" hidden="1" customHeight="1" x14ac:dyDescent="0.15">
      <c r="B152" s="146">
        <f>IF(AND('Jrnl Rev'!G157&lt;&gt;"",'Jrnl Rev'!C157&lt;&gt;""),1,0)</f>
        <v>0</v>
      </c>
      <c r="C152" s="146">
        <f>'Jrnl Rev'!$C157</f>
        <v>0</v>
      </c>
      <c r="D152" s="147">
        <f>'Jrnl Rev'!$D157</f>
        <v>0</v>
      </c>
      <c r="E152" s="1510">
        <f>'Jrnl Rev'!$F157</f>
        <v>0</v>
      </c>
      <c r="F152" s="1510"/>
      <c r="G152" s="951" t="str">
        <f>IF('Jrnl Rev'!$E157="","",'Jrnl Rev'!$E157)</f>
        <v/>
      </c>
      <c r="H152" s="147">
        <f>'Jrnl Rev'!H157</f>
        <v>0</v>
      </c>
      <c r="I152" s="147" t="str">
        <f t="shared" si="4"/>
        <v>0</v>
      </c>
      <c r="J152" s="148" t="b">
        <f t="shared" si="5"/>
        <v>0</v>
      </c>
      <c r="K152" s="149">
        <f>'Jrnl Rev'!$G157</f>
        <v>0</v>
      </c>
      <c r="L152" s="150"/>
      <c r="M152" s="151"/>
      <c r="N152" s="152"/>
    </row>
    <row r="153" spans="2:14" s="1" customFormat="1" ht="30" hidden="1" customHeight="1" x14ac:dyDescent="0.15">
      <c r="B153" s="146">
        <f>IF(AND('Jrnl Rev'!G158&lt;&gt;"",'Jrnl Rev'!C158&lt;&gt;""),1,0)</f>
        <v>0</v>
      </c>
      <c r="C153" s="146">
        <f>'Jrnl Rev'!$C158</f>
        <v>0</v>
      </c>
      <c r="D153" s="147">
        <f>'Jrnl Rev'!$D158</f>
        <v>0</v>
      </c>
      <c r="E153" s="1510">
        <f>'Jrnl Rev'!$F158</f>
        <v>0</v>
      </c>
      <c r="F153" s="1510"/>
      <c r="G153" s="951" t="str">
        <f>IF('Jrnl Rev'!$E158="","",'Jrnl Rev'!$E158)</f>
        <v/>
      </c>
      <c r="H153" s="147">
        <f>'Jrnl Rev'!H158</f>
        <v>0</v>
      </c>
      <c r="I153" s="147" t="str">
        <f t="shared" si="4"/>
        <v>0</v>
      </c>
      <c r="J153" s="148" t="b">
        <f t="shared" si="5"/>
        <v>0</v>
      </c>
      <c r="K153" s="149">
        <f>'Jrnl Rev'!$G158</f>
        <v>0</v>
      </c>
      <c r="L153" s="150"/>
      <c r="M153" s="151"/>
      <c r="N153" s="152"/>
    </row>
    <row r="154" spans="2:14" s="1" customFormat="1" ht="30" hidden="1" customHeight="1" x14ac:dyDescent="0.15">
      <c r="B154" s="146">
        <f>IF(AND('Jrnl Rev'!G159&lt;&gt;"",'Jrnl Rev'!C159&lt;&gt;""),1,0)</f>
        <v>0</v>
      </c>
      <c r="C154" s="146">
        <f>'Jrnl Rev'!$C159</f>
        <v>0</v>
      </c>
      <c r="D154" s="147">
        <f>'Jrnl Rev'!$D159</f>
        <v>0</v>
      </c>
      <c r="E154" s="1510">
        <f>'Jrnl Rev'!$F159</f>
        <v>0</v>
      </c>
      <c r="F154" s="1510"/>
      <c r="G154" s="951" t="str">
        <f>IF('Jrnl Rev'!$E159="","",'Jrnl Rev'!$E159)</f>
        <v/>
      </c>
      <c r="H154" s="147">
        <f>'Jrnl Rev'!H159</f>
        <v>0</v>
      </c>
      <c r="I154" s="147" t="str">
        <f t="shared" si="4"/>
        <v>0</v>
      </c>
      <c r="J154" s="148" t="b">
        <f t="shared" si="5"/>
        <v>0</v>
      </c>
      <c r="K154" s="149">
        <f>'Jrnl Rev'!$G159</f>
        <v>0</v>
      </c>
      <c r="L154" s="150"/>
      <c r="M154" s="151"/>
      <c r="N154" s="152"/>
    </row>
    <row r="155" spans="2:14" s="1" customFormat="1" ht="30" hidden="1" customHeight="1" x14ac:dyDescent="0.15">
      <c r="B155" s="146">
        <f>IF(AND('Jrnl Rev'!G160&lt;&gt;"",'Jrnl Rev'!C160&lt;&gt;""),1,0)</f>
        <v>0</v>
      </c>
      <c r="C155" s="146">
        <f>'Jrnl Rev'!$C160</f>
        <v>0</v>
      </c>
      <c r="D155" s="147">
        <f>'Jrnl Rev'!$D160</f>
        <v>0</v>
      </c>
      <c r="E155" s="1510">
        <f>'Jrnl Rev'!$F160</f>
        <v>0</v>
      </c>
      <c r="F155" s="1510"/>
      <c r="G155" s="951" t="str">
        <f>IF('Jrnl Rev'!$E160="","",'Jrnl Rev'!$E160)</f>
        <v/>
      </c>
      <c r="H155" s="147">
        <f>'Jrnl Rev'!H160</f>
        <v>0</v>
      </c>
      <c r="I155" s="147" t="str">
        <f t="shared" si="4"/>
        <v>0</v>
      </c>
      <c r="J155" s="148" t="b">
        <f t="shared" si="5"/>
        <v>0</v>
      </c>
      <c r="K155" s="149">
        <f>'Jrnl Rev'!$G160</f>
        <v>0</v>
      </c>
      <c r="L155" s="150"/>
      <c r="M155" s="151"/>
      <c r="N155" s="152"/>
    </row>
    <row r="156" spans="2:14" s="1" customFormat="1" ht="30" hidden="1" customHeight="1" x14ac:dyDescent="0.15">
      <c r="B156" s="146">
        <f>IF(AND('Jrnl Rev'!G161&lt;&gt;"",'Jrnl Rev'!C161&lt;&gt;""),1,0)</f>
        <v>0</v>
      </c>
      <c r="C156" s="146">
        <f>'Jrnl Rev'!$C161</f>
        <v>0</v>
      </c>
      <c r="D156" s="147">
        <f>'Jrnl Rev'!$D161</f>
        <v>0</v>
      </c>
      <c r="E156" s="1510">
        <f>'Jrnl Rev'!$F161</f>
        <v>0</v>
      </c>
      <c r="F156" s="1510"/>
      <c r="G156" s="951" t="str">
        <f>IF('Jrnl Rev'!$E161="","",'Jrnl Rev'!$E161)</f>
        <v/>
      </c>
      <c r="H156" s="147">
        <f>'Jrnl Rev'!H161</f>
        <v>0</v>
      </c>
      <c r="I156" s="147" t="str">
        <f t="shared" si="4"/>
        <v>0</v>
      </c>
      <c r="J156" s="148" t="b">
        <f t="shared" si="5"/>
        <v>0</v>
      </c>
      <c r="K156" s="149">
        <f>'Jrnl Rev'!$G161</f>
        <v>0</v>
      </c>
      <c r="L156" s="150"/>
      <c r="M156" s="151"/>
      <c r="N156" s="152"/>
    </row>
    <row r="157" spans="2:14" s="1" customFormat="1" ht="30" hidden="1" customHeight="1" x14ac:dyDescent="0.15">
      <c r="B157" s="146">
        <f>IF(AND('Jrnl Rev'!G162&lt;&gt;"",'Jrnl Rev'!C162&lt;&gt;""),1,0)</f>
        <v>0</v>
      </c>
      <c r="C157" s="146">
        <f>'Jrnl Rev'!$C162</f>
        <v>0</v>
      </c>
      <c r="D157" s="147">
        <f>'Jrnl Rev'!$D162</f>
        <v>0</v>
      </c>
      <c r="E157" s="1510">
        <f>'Jrnl Rev'!$F162</f>
        <v>0</v>
      </c>
      <c r="F157" s="1510"/>
      <c r="G157" s="951" t="str">
        <f>IF('Jrnl Rev'!$E162="","",'Jrnl Rev'!$E162)</f>
        <v/>
      </c>
      <c r="H157" s="147">
        <f>'Jrnl Rev'!H162</f>
        <v>0</v>
      </c>
      <c r="I157" s="147" t="str">
        <f t="shared" si="4"/>
        <v>0</v>
      </c>
      <c r="J157" s="148" t="b">
        <f t="shared" si="5"/>
        <v>0</v>
      </c>
      <c r="K157" s="149">
        <f>'Jrnl Rev'!$G162</f>
        <v>0</v>
      </c>
      <c r="L157" s="150"/>
      <c r="M157" s="151"/>
      <c r="N157" s="152"/>
    </row>
    <row r="158" spans="2:14" s="1" customFormat="1" ht="30" hidden="1" customHeight="1" x14ac:dyDescent="0.15">
      <c r="B158" s="146">
        <f>IF(AND('Jrnl Rev'!G163&lt;&gt;"",'Jrnl Rev'!C163&lt;&gt;""),1,0)</f>
        <v>0</v>
      </c>
      <c r="C158" s="146">
        <f>'Jrnl Rev'!$C163</f>
        <v>0</v>
      </c>
      <c r="D158" s="147">
        <f>'Jrnl Rev'!$D163</f>
        <v>0</v>
      </c>
      <c r="E158" s="1510">
        <f>'Jrnl Rev'!$F163</f>
        <v>0</v>
      </c>
      <c r="F158" s="1510"/>
      <c r="G158" s="951" t="str">
        <f>IF('Jrnl Rev'!$E163="","",'Jrnl Rev'!$E163)</f>
        <v/>
      </c>
      <c r="H158" s="147">
        <f>'Jrnl Rev'!H163</f>
        <v>0</v>
      </c>
      <c r="I158" s="147" t="str">
        <f t="shared" si="4"/>
        <v>0</v>
      </c>
      <c r="J158" s="148" t="b">
        <f t="shared" si="5"/>
        <v>0</v>
      </c>
      <c r="K158" s="149">
        <f>'Jrnl Rev'!$G163</f>
        <v>0</v>
      </c>
      <c r="L158" s="150"/>
      <c r="M158" s="151"/>
      <c r="N158" s="152"/>
    </row>
    <row r="159" spans="2:14" s="1" customFormat="1" ht="30" hidden="1" customHeight="1" x14ac:dyDescent="0.15">
      <c r="B159" s="146">
        <f>IF(AND('Jrnl Rev'!G164&lt;&gt;"",'Jrnl Rev'!C164&lt;&gt;""),1,0)</f>
        <v>0</v>
      </c>
      <c r="C159" s="146">
        <f>'Jrnl Rev'!$C164</f>
        <v>0</v>
      </c>
      <c r="D159" s="147">
        <f>'Jrnl Rev'!$D164</f>
        <v>0</v>
      </c>
      <c r="E159" s="1510">
        <f>'Jrnl Rev'!$F164</f>
        <v>0</v>
      </c>
      <c r="F159" s="1510"/>
      <c r="G159" s="951" t="str">
        <f>IF('Jrnl Rev'!$E164="","",'Jrnl Rev'!$E164)</f>
        <v/>
      </c>
      <c r="H159" s="147">
        <f>'Jrnl Rev'!H164</f>
        <v>0</v>
      </c>
      <c r="I159" s="147" t="str">
        <f t="shared" si="4"/>
        <v>0</v>
      </c>
      <c r="J159" s="148" t="b">
        <f t="shared" si="5"/>
        <v>0</v>
      </c>
      <c r="K159" s="149">
        <f>'Jrnl Rev'!$G164</f>
        <v>0</v>
      </c>
      <c r="L159" s="150"/>
      <c r="M159" s="151"/>
      <c r="N159" s="152"/>
    </row>
    <row r="160" spans="2:14" s="1" customFormat="1" ht="30" hidden="1" customHeight="1" x14ac:dyDescent="0.15">
      <c r="B160" s="146">
        <f>IF(AND('Jrnl Rev'!G165&lt;&gt;"",'Jrnl Rev'!C165&lt;&gt;""),1,0)</f>
        <v>0</v>
      </c>
      <c r="C160" s="146">
        <f>'Jrnl Rev'!$C165</f>
        <v>0</v>
      </c>
      <c r="D160" s="147">
        <f>'Jrnl Rev'!$D165</f>
        <v>0</v>
      </c>
      <c r="E160" s="1510">
        <f>'Jrnl Rev'!$F165</f>
        <v>0</v>
      </c>
      <c r="F160" s="1510"/>
      <c r="G160" s="951" t="str">
        <f>IF('Jrnl Rev'!$E165="","",'Jrnl Rev'!$E165)</f>
        <v/>
      </c>
      <c r="H160" s="147">
        <f>'Jrnl Rev'!H165</f>
        <v>0</v>
      </c>
      <c r="I160" s="147" t="str">
        <f t="shared" si="4"/>
        <v>0</v>
      </c>
      <c r="J160" s="148" t="b">
        <f t="shared" si="5"/>
        <v>0</v>
      </c>
      <c r="K160" s="149">
        <f>'Jrnl Rev'!$G165</f>
        <v>0</v>
      </c>
      <c r="L160" s="150"/>
      <c r="M160" s="151"/>
      <c r="N160" s="152"/>
    </row>
    <row r="161" spans="2:14" s="1" customFormat="1" ht="30" hidden="1" customHeight="1" x14ac:dyDescent="0.15">
      <c r="B161" s="146">
        <f>IF(AND('Jrnl Rev'!G166&lt;&gt;"",'Jrnl Rev'!C166&lt;&gt;""),1,0)</f>
        <v>0</v>
      </c>
      <c r="C161" s="146">
        <f>'Jrnl Rev'!$C166</f>
        <v>0</v>
      </c>
      <c r="D161" s="147">
        <f>'Jrnl Rev'!$D166</f>
        <v>0</v>
      </c>
      <c r="E161" s="1510">
        <f>'Jrnl Rev'!$F166</f>
        <v>0</v>
      </c>
      <c r="F161" s="1510"/>
      <c r="G161" s="951" t="str">
        <f>IF('Jrnl Rev'!$E166="","",'Jrnl Rev'!$E166)</f>
        <v/>
      </c>
      <c r="H161" s="147">
        <f>'Jrnl Rev'!H166</f>
        <v>0</v>
      </c>
      <c r="I161" s="147" t="str">
        <f t="shared" si="4"/>
        <v>0</v>
      </c>
      <c r="J161" s="148" t="b">
        <f t="shared" si="5"/>
        <v>0</v>
      </c>
      <c r="K161" s="149">
        <f>'Jrnl Rev'!$G166</f>
        <v>0</v>
      </c>
      <c r="L161" s="150"/>
      <c r="M161" s="151"/>
      <c r="N161" s="152"/>
    </row>
    <row r="162" spans="2:14" s="1" customFormat="1" ht="30" hidden="1" customHeight="1" x14ac:dyDescent="0.15">
      <c r="B162" s="146">
        <f>IF(AND('Jrnl Rev'!G167&lt;&gt;"",'Jrnl Rev'!C167&lt;&gt;""),1,0)</f>
        <v>0</v>
      </c>
      <c r="C162" s="146">
        <f>'Jrnl Rev'!$C167</f>
        <v>0</v>
      </c>
      <c r="D162" s="147">
        <f>'Jrnl Rev'!$D167</f>
        <v>0</v>
      </c>
      <c r="E162" s="1510">
        <f>'Jrnl Rev'!$F167</f>
        <v>0</v>
      </c>
      <c r="F162" s="1510"/>
      <c r="G162" s="951" t="str">
        <f>IF('Jrnl Rev'!$E167="","",'Jrnl Rev'!$E167)</f>
        <v/>
      </c>
      <c r="H162" s="147">
        <f>'Jrnl Rev'!H167</f>
        <v>0</v>
      </c>
      <c r="I162" s="147" t="str">
        <f t="shared" si="4"/>
        <v>0</v>
      </c>
      <c r="J162" s="148" t="b">
        <f t="shared" si="5"/>
        <v>0</v>
      </c>
      <c r="K162" s="149">
        <f>'Jrnl Rev'!$G167</f>
        <v>0</v>
      </c>
      <c r="L162" s="150"/>
      <c r="M162" s="151"/>
      <c r="N162" s="152"/>
    </row>
    <row r="163" spans="2:14" s="1" customFormat="1" ht="30" hidden="1" customHeight="1" x14ac:dyDescent="0.15">
      <c r="B163" s="146">
        <f>IF(AND('Jrnl Rev'!G168&lt;&gt;"",'Jrnl Rev'!C168&lt;&gt;""),1,0)</f>
        <v>0</v>
      </c>
      <c r="C163" s="146">
        <f>'Jrnl Rev'!$C168</f>
        <v>0</v>
      </c>
      <c r="D163" s="147">
        <f>'Jrnl Rev'!$D168</f>
        <v>0</v>
      </c>
      <c r="E163" s="1510">
        <f>'Jrnl Rev'!$F168</f>
        <v>0</v>
      </c>
      <c r="F163" s="1510"/>
      <c r="G163" s="951" t="str">
        <f>IF('Jrnl Rev'!$E168="","",'Jrnl Rev'!$E168)</f>
        <v/>
      </c>
      <c r="H163" s="147">
        <f>'Jrnl Rev'!H168</f>
        <v>0</v>
      </c>
      <c r="I163" s="147" t="str">
        <f t="shared" si="4"/>
        <v>0</v>
      </c>
      <c r="J163" s="148" t="b">
        <f t="shared" si="5"/>
        <v>0</v>
      </c>
      <c r="K163" s="149">
        <f>'Jrnl Rev'!$G168</f>
        <v>0</v>
      </c>
      <c r="L163" s="150"/>
      <c r="M163" s="151"/>
      <c r="N163" s="152"/>
    </row>
    <row r="164" spans="2:14" s="1" customFormat="1" ht="30" hidden="1" customHeight="1" x14ac:dyDescent="0.15">
      <c r="B164" s="146">
        <f>IF(AND('Jrnl Rev'!G169&lt;&gt;"",'Jrnl Rev'!C169&lt;&gt;""),1,0)</f>
        <v>0</v>
      </c>
      <c r="C164" s="146">
        <f>'Jrnl Rev'!$C169</f>
        <v>0</v>
      </c>
      <c r="D164" s="147">
        <f>'Jrnl Rev'!$D169</f>
        <v>0</v>
      </c>
      <c r="E164" s="1510">
        <f>'Jrnl Rev'!$F169</f>
        <v>0</v>
      </c>
      <c r="F164" s="1510"/>
      <c r="G164" s="951" t="str">
        <f>IF('Jrnl Rev'!$E169="","",'Jrnl Rev'!$E169)</f>
        <v/>
      </c>
      <c r="H164" s="147">
        <f>'Jrnl Rev'!H169</f>
        <v>0</v>
      </c>
      <c r="I164" s="147" t="str">
        <f t="shared" si="4"/>
        <v>0</v>
      </c>
      <c r="J164" s="148" t="b">
        <f t="shared" si="5"/>
        <v>0</v>
      </c>
      <c r="K164" s="149">
        <f>'Jrnl Rev'!$G169</f>
        <v>0</v>
      </c>
      <c r="L164" s="150"/>
      <c r="M164" s="151"/>
      <c r="N164" s="152"/>
    </row>
    <row r="165" spans="2:14" s="1" customFormat="1" ht="30" hidden="1" customHeight="1" x14ac:dyDescent="0.15">
      <c r="B165" s="146">
        <f>IF(AND('Jrnl Rev'!G170&lt;&gt;"",'Jrnl Rev'!C170&lt;&gt;""),1,0)</f>
        <v>0</v>
      </c>
      <c r="C165" s="146">
        <f>'Jrnl Rev'!$C170</f>
        <v>0</v>
      </c>
      <c r="D165" s="147">
        <f>'Jrnl Rev'!$D170</f>
        <v>0</v>
      </c>
      <c r="E165" s="1510">
        <f>'Jrnl Rev'!$F170</f>
        <v>0</v>
      </c>
      <c r="F165" s="1510"/>
      <c r="G165" s="951" t="str">
        <f>IF('Jrnl Rev'!$E170="","",'Jrnl Rev'!$E170)</f>
        <v/>
      </c>
      <c r="H165" s="147">
        <f>'Jrnl Rev'!H170</f>
        <v>0</v>
      </c>
      <c r="I165" s="147" t="str">
        <f t="shared" si="4"/>
        <v>0</v>
      </c>
      <c r="J165" s="148" t="b">
        <f t="shared" si="5"/>
        <v>0</v>
      </c>
      <c r="K165" s="149">
        <f>'Jrnl Rev'!$G170</f>
        <v>0</v>
      </c>
      <c r="L165" s="150"/>
      <c r="M165" s="151"/>
      <c r="N165" s="152"/>
    </row>
    <row r="166" spans="2:14" s="1" customFormat="1" ht="30" hidden="1" customHeight="1" x14ac:dyDescent="0.15">
      <c r="B166" s="146">
        <f>IF(AND('Jrnl Rev'!G171&lt;&gt;"",'Jrnl Rev'!C171&lt;&gt;""),1,0)</f>
        <v>0</v>
      </c>
      <c r="C166" s="146">
        <f>'Jrnl Rev'!$C171</f>
        <v>0</v>
      </c>
      <c r="D166" s="147">
        <f>'Jrnl Rev'!$D171</f>
        <v>0</v>
      </c>
      <c r="E166" s="1510">
        <f>'Jrnl Rev'!$F171</f>
        <v>0</v>
      </c>
      <c r="F166" s="1510"/>
      <c r="G166" s="951" t="str">
        <f>IF('Jrnl Rev'!$E171="","",'Jrnl Rev'!$E171)</f>
        <v/>
      </c>
      <c r="H166" s="147">
        <f>'Jrnl Rev'!H171</f>
        <v>0</v>
      </c>
      <c r="I166" s="147" t="str">
        <f t="shared" si="4"/>
        <v>0</v>
      </c>
      <c r="J166" s="148" t="b">
        <f t="shared" si="5"/>
        <v>0</v>
      </c>
      <c r="K166" s="149">
        <f>'Jrnl Rev'!$G171</f>
        <v>0</v>
      </c>
      <c r="L166" s="150"/>
      <c r="M166" s="151"/>
      <c r="N166" s="152"/>
    </row>
    <row r="167" spans="2:14" s="1" customFormat="1" ht="30" hidden="1" customHeight="1" x14ac:dyDescent="0.15">
      <c r="B167" s="146">
        <f>IF(AND('Jrnl Rev'!G172&lt;&gt;"",'Jrnl Rev'!C172&lt;&gt;""),1,0)</f>
        <v>0</v>
      </c>
      <c r="C167" s="146">
        <f>'Jrnl Rev'!$C172</f>
        <v>0</v>
      </c>
      <c r="D167" s="147">
        <f>'Jrnl Rev'!$D172</f>
        <v>0</v>
      </c>
      <c r="E167" s="1510">
        <f>'Jrnl Rev'!$F172</f>
        <v>0</v>
      </c>
      <c r="F167" s="1510"/>
      <c r="G167" s="951" t="str">
        <f>IF('Jrnl Rev'!$E172="","",'Jrnl Rev'!$E172)</f>
        <v/>
      </c>
      <c r="H167" s="147">
        <f>'Jrnl Rev'!H172</f>
        <v>0</v>
      </c>
      <c r="I167" s="147" t="str">
        <f t="shared" si="4"/>
        <v>0</v>
      </c>
      <c r="J167" s="148" t="b">
        <f t="shared" si="5"/>
        <v>0</v>
      </c>
      <c r="K167" s="149">
        <f>'Jrnl Rev'!$G172</f>
        <v>0</v>
      </c>
      <c r="L167" s="150"/>
      <c r="M167" s="151"/>
      <c r="N167" s="152"/>
    </row>
    <row r="168" spans="2:14" s="1" customFormat="1" ht="30" hidden="1" customHeight="1" x14ac:dyDescent="0.15">
      <c r="B168" s="146">
        <f>IF(AND('Jrnl Rev'!G173&lt;&gt;"",'Jrnl Rev'!C173&lt;&gt;""),1,0)</f>
        <v>0</v>
      </c>
      <c r="C168" s="146">
        <f>'Jrnl Rev'!$C173</f>
        <v>0</v>
      </c>
      <c r="D168" s="147">
        <f>'Jrnl Rev'!$D173</f>
        <v>0</v>
      </c>
      <c r="E168" s="1510">
        <f>'Jrnl Rev'!$F173</f>
        <v>0</v>
      </c>
      <c r="F168" s="1510"/>
      <c r="G168" s="951" t="str">
        <f>IF('Jrnl Rev'!$E173="","",'Jrnl Rev'!$E173)</f>
        <v/>
      </c>
      <c r="H168" s="147">
        <f>'Jrnl Rev'!H173</f>
        <v>0</v>
      </c>
      <c r="I168" s="147" t="str">
        <f t="shared" si="4"/>
        <v>0</v>
      </c>
      <c r="J168" s="148" t="b">
        <f t="shared" si="5"/>
        <v>0</v>
      </c>
      <c r="K168" s="149">
        <f>'Jrnl Rev'!$G173</f>
        <v>0</v>
      </c>
      <c r="L168" s="150"/>
      <c r="M168" s="151"/>
      <c r="N168" s="152"/>
    </row>
    <row r="169" spans="2:14" s="1" customFormat="1" ht="30" hidden="1" customHeight="1" x14ac:dyDescent="0.15">
      <c r="B169" s="146">
        <f>IF(AND('Jrnl Rev'!G174&lt;&gt;"",'Jrnl Rev'!C174&lt;&gt;""),1,0)</f>
        <v>0</v>
      </c>
      <c r="C169" s="146">
        <f>'Jrnl Rev'!$C174</f>
        <v>0</v>
      </c>
      <c r="D169" s="147">
        <f>'Jrnl Rev'!$D174</f>
        <v>0</v>
      </c>
      <c r="E169" s="1510">
        <f>'Jrnl Rev'!$F174</f>
        <v>0</v>
      </c>
      <c r="F169" s="1510"/>
      <c r="G169" s="951" t="str">
        <f>IF('Jrnl Rev'!$E174="","",'Jrnl Rev'!$E174)</f>
        <v/>
      </c>
      <c r="H169" s="147">
        <f>'Jrnl Rev'!H174</f>
        <v>0</v>
      </c>
      <c r="I169" s="147" t="str">
        <f t="shared" si="4"/>
        <v>0</v>
      </c>
      <c r="J169" s="148" t="b">
        <f t="shared" si="5"/>
        <v>0</v>
      </c>
      <c r="K169" s="149">
        <f>'Jrnl Rev'!$G174</f>
        <v>0</v>
      </c>
      <c r="L169" s="150"/>
      <c r="M169" s="151"/>
      <c r="N169" s="152"/>
    </row>
    <row r="170" spans="2:14" s="1" customFormat="1" ht="30" hidden="1" customHeight="1" x14ac:dyDescent="0.15">
      <c r="B170" s="146">
        <f>IF(AND('Jrnl Rev'!G175&lt;&gt;"",'Jrnl Rev'!C175&lt;&gt;""),1,0)</f>
        <v>0</v>
      </c>
      <c r="C170" s="146">
        <f>'Jrnl Rev'!$C175</f>
        <v>0</v>
      </c>
      <c r="D170" s="147">
        <f>'Jrnl Rev'!$D175</f>
        <v>0</v>
      </c>
      <c r="E170" s="1510">
        <f>'Jrnl Rev'!$F175</f>
        <v>0</v>
      </c>
      <c r="F170" s="1510"/>
      <c r="G170" s="951" t="str">
        <f>IF('Jrnl Rev'!$E175="","",'Jrnl Rev'!$E175)</f>
        <v/>
      </c>
      <c r="H170" s="147">
        <f>'Jrnl Rev'!H175</f>
        <v>0</v>
      </c>
      <c r="I170" s="147" t="str">
        <f t="shared" si="4"/>
        <v>0</v>
      </c>
      <c r="J170" s="148" t="b">
        <f t="shared" si="5"/>
        <v>0</v>
      </c>
      <c r="K170" s="149">
        <f>'Jrnl Rev'!$G175</f>
        <v>0</v>
      </c>
      <c r="L170" s="150"/>
      <c r="M170" s="151"/>
      <c r="N170" s="152"/>
    </row>
    <row r="171" spans="2:14" s="1" customFormat="1" ht="30" hidden="1" customHeight="1" x14ac:dyDescent="0.15">
      <c r="B171" s="146">
        <f>IF(AND('Jrnl Rev'!G176&lt;&gt;"",'Jrnl Rev'!C176&lt;&gt;""),1,0)</f>
        <v>0</v>
      </c>
      <c r="C171" s="146">
        <f>'Jrnl Rev'!$C176</f>
        <v>0</v>
      </c>
      <c r="D171" s="147">
        <f>'Jrnl Rev'!$D176</f>
        <v>0</v>
      </c>
      <c r="E171" s="1510">
        <f>'Jrnl Rev'!$F176</f>
        <v>0</v>
      </c>
      <c r="F171" s="1510"/>
      <c r="G171" s="951" t="str">
        <f>IF('Jrnl Rev'!$E176="","",'Jrnl Rev'!$E176)</f>
        <v/>
      </c>
      <c r="H171" s="147">
        <f>'Jrnl Rev'!H176</f>
        <v>0</v>
      </c>
      <c r="I171" s="147" t="str">
        <f t="shared" si="4"/>
        <v>0</v>
      </c>
      <c r="J171" s="148" t="b">
        <f t="shared" si="5"/>
        <v>0</v>
      </c>
      <c r="K171" s="149">
        <f>'Jrnl Rev'!$G176</f>
        <v>0</v>
      </c>
      <c r="L171" s="150"/>
      <c r="M171" s="151"/>
      <c r="N171" s="152"/>
    </row>
    <row r="172" spans="2:14" s="1" customFormat="1" ht="30" hidden="1" customHeight="1" x14ac:dyDescent="0.15">
      <c r="B172" s="146">
        <f>IF(AND('Jrnl Rev'!G177&lt;&gt;"",'Jrnl Rev'!C177&lt;&gt;""),1,0)</f>
        <v>0</v>
      </c>
      <c r="C172" s="146">
        <f>'Jrnl Rev'!$C177</f>
        <v>0</v>
      </c>
      <c r="D172" s="147">
        <f>'Jrnl Rev'!$D177</f>
        <v>0</v>
      </c>
      <c r="E172" s="1510">
        <f>'Jrnl Rev'!$F177</f>
        <v>0</v>
      </c>
      <c r="F172" s="1510"/>
      <c r="G172" s="951" t="str">
        <f>IF('Jrnl Rev'!$E177="","",'Jrnl Rev'!$E177)</f>
        <v/>
      </c>
      <c r="H172" s="147">
        <f>'Jrnl Rev'!H177</f>
        <v>0</v>
      </c>
      <c r="I172" s="147" t="str">
        <f t="shared" si="4"/>
        <v>0</v>
      </c>
      <c r="J172" s="148" t="b">
        <f t="shared" si="5"/>
        <v>0</v>
      </c>
      <c r="K172" s="149">
        <f>'Jrnl Rev'!$G177</f>
        <v>0</v>
      </c>
      <c r="L172" s="150"/>
      <c r="M172" s="151"/>
      <c r="N172" s="152"/>
    </row>
    <row r="173" spans="2:14" s="1" customFormat="1" ht="30" hidden="1" customHeight="1" x14ac:dyDescent="0.15">
      <c r="B173" s="146">
        <f>IF(AND('Jrnl Rev'!G178&lt;&gt;"",'Jrnl Rev'!C178&lt;&gt;""),1,0)</f>
        <v>0</v>
      </c>
      <c r="C173" s="146">
        <f>'Jrnl Rev'!$C178</f>
        <v>0</v>
      </c>
      <c r="D173" s="147">
        <f>'Jrnl Rev'!$D178</f>
        <v>0</v>
      </c>
      <c r="E173" s="1510">
        <f>'Jrnl Rev'!$F178</f>
        <v>0</v>
      </c>
      <c r="F173" s="1510"/>
      <c r="G173" s="951" t="str">
        <f>IF('Jrnl Rev'!$E178="","",'Jrnl Rev'!$E178)</f>
        <v/>
      </c>
      <c r="H173" s="147">
        <f>'Jrnl Rev'!H178</f>
        <v>0</v>
      </c>
      <c r="I173" s="147" t="str">
        <f t="shared" si="4"/>
        <v>0</v>
      </c>
      <c r="J173" s="148" t="b">
        <f t="shared" si="5"/>
        <v>0</v>
      </c>
      <c r="K173" s="149">
        <f>'Jrnl Rev'!$G178</f>
        <v>0</v>
      </c>
      <c r="L173" s="150"/>
      <c r="M173" s="151"/>
      <c r="N173" s="152"/>
    </row>
    <row r="174" spans="2:14" s="1" customFormat="1" ht="30" hidden="1" customHeight="1" x14ac:dyDescent="0.15">
      <c r="B174" s="146">
        <f>IF(AND('Jrnl Rev'!G179&lt;&gt;"",'Jrnl Rev'!C179&lt;&gt;""),1,0)</f>
        <v>0</v>
      </c>
      <c r="C174" s="146">
        <f>'Jrnl Rev'!$C179</f>
        <v>0</v>
      </c>
      <c r="D174" s="147">
        <f>'Jrnl Rev'!$D179</f>
        <v>0</v>
      </c>
      <c r="E174" s="1510">
        <f>'Jrnl Rev'!$F179</f>
        <v>0</v>
      </c>
      <c r="F174" s="1510"/>
      <c r="G174" s="951" t="str">
        <f>IF('Jrnl Rev'!$E179="","",'Jrnl Rev'!$E179)</f>
        <v/>
      </c>
      <c r="H174" s="147">
        <f>'Jrnl Rev'!H179</f>
        <v>0</v>
      </c>
      <c r="I174" s="147" t="str">
        <f t="shared" si="4"/>
        <v>0</v>
      </c>
      <c r="J174" s="148" t="b">
        <f t="shared" si="5"/>
        <v>0</v>
      </c>
      <c r="K174" s="149">
        <f>'Jrnl Rev'!$G179</f>
        <v>0</v>
      </c>
      <c r="L174" s="150"/>
      <c r="M174" s="151"/>
      <c r="N174" s="152"/>
    </row>
    <row r="175" spans="2:14" s="1" customFormat="1" ht="30" hidden="1" customHeight="1" x14ac:dyDescent="0.15">
      <c r="B175" s="146">
        <f>IF(AND('Jrnl Rev'!G180&lt;&gt;"",'Jrnl Rev'!C180&lt;&gt;""),1,0)</f>
        <v>0</v>
      </c>
      <c r="C175" s="146">
        <f>'Jrnl Rev'!$C180</f>
        <v>0</v>
      </c>
      <c r="D175" s="147">
        <f>'Jrnl Rev'!$D180</f>
        <v>0</v>
      </c>
      <c r="E175" s="1510">
        <f>'Jrnl Rev'!$F180</f>
        <v>0</v>
      </c>
      <c r="F175" s="1510"/>
      <c r="G175" s="951" t="str">
        <f>IF('Jrnl Rev'!$E180="","",'Jrnl Rev'!$E180)</f>
        <v/>
      </c>
      <c r="H175" s="147">
        <f>'Jrnl Rev'!H180</f>
        <v>0</v>
      </c>
      <c r="I175" s="147" t="str">
        <f t="shared" si="4"/>
        <v>0</v>
      </c>
      <c r="J175" s="148" t="b">
        <f t="shared" si="5"/>
        <v>0</v>
      </c>
      <c r="K175" s="149">
        <f>'Jrnl Rev'!$G180</f>
        <v>0</v>
      </c>
      <c r="L175" s="150"/>
      <c r="M175" s="151"/>
      <c r="N175" s="152"/>
    </row>
    <row r="176" spans="2:14" s="1" customFormat="1" ht="30" hidden="1" customHeight="1" x14ac:dyDescent="0.15">
      <c r="B176" s="146">
        <f>IF(AND('Jrnl Rev'!G181&lt;&gt;"",'Jrnl Rev'!C181&lt;&gt;""),1,0)</f>
        <v>0</v>
      </c>
      <c r="C176" s="146">
        <f>'Jrnl Rev'!$C181</f>
        <v>0</v>
      </c>
      <c r="D176" s="147">
        <f>'Jrnl Rev'!$D181</f>
        <v>0</v>
      </c>
      <c r="E176" s="1510">
        <f>'Jrnl Rev'!$F181</f>
        <v>0</v>
      </c>
      <c r="F176" s="1510"/>
      <c r="G176" s="951" t="str">
        <f>IF('Jrnl Rev'!$E181="","",'Jrnl Rev'!$E181)</f>
        <v/>
      </c>
      <c r="H176" s="147">
        <f>'Jrnl Rev'!H181</f>
        <v>0</v>
      </c>
      <c r="I176" s="147" t="str">
        <f t="shared" si="4"/>
        <v>0</v>
      </c>
      <c r="J176" s="148" t="b">
        <f t="shared" si="5"/>
        <v>0</v>
      </c>
      <c r="K176" s="149">
        <f>'Jrnl Rev'!$G181</f>
        <v>0</v>
      </c>
      <c r="L176" s="150"/>
      <c r="M176" s="151"/>
      <c r="N176" s="152"/>
    </row>
    <row r="177" spans="2:14" s="1" customFormat="1" ht="30" hidden="1" customHeight="1" x14ac:dyDescent="0.15">
      <c r="B177" s="146">
        <f>IF(AND('Jrnl Rev'!G182&lt;&gt;"",'Jrnl Rev'!C182&lt;&gt;""),1,0)</f>
        <v>0</v>
      </c>
      <c r="C177" s="146">
        <f>'Jrnl Rev'!$C182</f>
        <v>0</v>
      </c>
      <c r="D177" s="147">
        <f>'Jrnl Rev'!$D182</f>
        <v>0</v>
      </c>
      <c r="E177" s="1510">
        <f>'Jrnl Rev'!$F182</f>
        <v>0</v>
      </c>
      <c r="F177" s="1510"/>
      <c r="G177" s="951" t="str">
        <f>IF('Jrnl Rev'!$E182="","",'Jrnl Rev'!$E182)</f>
        <v/>
      </c>
      <c r="H177" s="147">
        <f>'Jrnl Rev'!H182</f>
        <v>0</v>
      </c>
      <c r="I177" s="147" t="str">
        <f t="shared" si="4"/>
        <v>0</v>
      </c>
      <c r="J177" s="148" t="b">
        <f t="shared" si="5"/>
        <v>0</v>
      </c>
      <c r="K177" s="149">
        <f>'Jrnl Rev'!$G182</f>
        <v>0</v>
      </c>
      <c r="L177" s="150"/>
      <c r="M177" s="151"/>
      <c r="N177" s="152"/>
    </row>
    <row r="178" spans="2:14" s="1" customFormat="1" ht="30" hidden="1" customHeight="1" x14ac:dyDescent="0.15">
      <c r="B178" s="146">
        <f>IF(AND('Jrnl Rev'!G183&lt;&gt;"",'Jrnl Rev'!C183&lt;&gt;""),1,0)</f>
        <v>0</v>
      </c>
      <c r="C178" s="146">
        <f>'Jrnl Rev'!$C183</f>
        <v>0</v>
      </c>
      <c r="D178" s="147">
        <f>'Jrnl Rev'!$D183</f>
        <v>0</v>
      </c>
      <c r="E178" s="1510">
        <f>'Jrnl Rev'!$F183</f>
        <v>0</v>
      </c>
      <c r="F178" s="1510"/>
      <c r="G178" s="951" t="str">
        <f>IF('Jrnl Rev'!$E183="","",'Jrnl Rev'!$E183)</f>
        <v/>
      </c>
      <c r="H178" s="147">
        <f>'Jrnl Rev'!H183</f>
        <v>0</v>
      </c>
      <c r="I178" s="147" t="str">
        <f t="shared" si="4"/>
        <v>0</v>
      </c>
      <c r="J178" s="148" t="b">
        <f t="shared" si="5"/>
        <v>0</v>
      </c>
      <c r="K178" s="149">
        <f>'Jrnl Rev'!$G183</f>
        <v>0</v>
      </c>
      <c r="L178" s="150"/>
      <c r="M178" s="151"/>
      <c r="N178" s="152"/>
    </row>
    <row r="179" spans="2:14" s="1" customFormat="1" ht="30" hidden="1" customHeight="1" x14ac:dyDescent="0.15">
      <c r="B179" s="146">
        <f>IF(AND('Jrnl Rev'!G184&lt;&gt;"",'Jrnl Rev'!C184&lt;&gt;""),1,0)</f>
        <v>0</v>
      </c>
      <c r="C179" s="146">
        <f>'Jrnl Rev'!$C184</f>
        <v>0</v>
      </c>
      <c r="D179" s="147">
        <f>'Jrnl Rev'!$D184</f>
        <v>0</v>
      </c>
      <c r="E179" s="1510">
        <f>'Jrnl Rev'!$F184</f>
        <v>0</v>
      </c>
      <c r="F179" s="1510"/>
      <c r="G179" s="951" t="str">
        <f>IF('Jrnl Rev'!$E184="","",'Jrnl Rev'!$E184)</f>
        <v/>
      </c>
      <c r="H179" s="147">
        <f>'Jrnl Rev'!H184</f>
        <v>0</v>
      </c>
      <c r="I179" s="147" t="str">
        <f t="shared" si="4"/>
        <v>0</v>
      </c>
      <c r="J179" s="148" t="b">
        <f t="shared" si="5"/>
        <v>0</v>
      </c>
      <c r="K179" s="149">
        <f>'Jrnl Rev'!$G184</f>
        <v>0</v>
      </c>
      <c r="L179" s="150"/>
      <c r="M179" s="151"/>
      <c r="N179" s="152"/>
    </row>
    <row r="180" spans="2:14" s="1" customFormat="1" ht="30" hidden="1" customHeight="1" x14ac:dyDescent="0.15">
      <c r="B180" s="146">
        <f>IF(AND('Jrnl Rev'!G185&lt;&gt;"",'Jrnl Rev'!C185&lt;&gt;""),1,0)</f>
        <v>0</v>
      </c>
      <c r="C180" s="146">
        <f>'Jrnl Rev'!$C185</f>
        <v>0</v>
      </c>
      <c r="D180" s="147">
        <f>'Jrnl Rev'!$D185</f>
        <v>0</v>
      </c>
      <c r="E180" s="1510">
        <f>'Jrnl Rev'!$F185</f>
        <v>0</v>
      </c>
      <c r="F180" s="1510"/>
      <c r="G180" s="951" t="str">
        <f>IF('Jrnl Rev'!$E185="","",'Jrnl Rev'!$E185)</f>
        <v/>
      </c>
      <c r="H180" s="147">
        <f>'Jrnl Rev'!H185</f>
        <v>0</v>
      </c>
      <c r="I180" s="147" t="str">
        <f t="shared" si="4"/>
        <v>0</v>
      </c>
      <c r="J180" s="148" t="b">
        <f t="shared" si="5"/>
        <v>0</v>
      </c>
      <c r="K180" s="149">
        <f>'Jrnl Rev'!$G185</f>
        <v>0</v>
      </c>
      <c r="L180" s="150"/>
      <c r="M180" s="151"/>
      <c r="N180" s="152"/>
    </row>
    <row r="181" spans="2:14" s="1" customFormat="1" ht="30" hidden="1" customHeight="1" x14ac:dyDescent="0.15">
      <c r="B181" s="146">
        <f>IF(AND('Jrnl Rev'!G186&lt;&gt;"",'Jrnl Rev'!C186&lt;&gt;""),1,0)</f>
        <v>0</v>
      </c>
      <c r="C181" s="146">
        <f>'Jrnl Rev'!$C186</f>
        <v>0</v>
      </c>
      <c r="D181" s="147">
        <f>'Jrnl Rev'!$D186</f>
        <v>0</v>
      </c>
      <c r="E181" s="1510">
        <f>'Jrnl Rev'!$F186</f>
        <v>0</v>
      </c>
      <c r="F181" s="1510"/>
      <c r="G181" s="951" t="str">
        <f>IF('Jrnl Rev'!$E186="","",'Jrnl Rev'!$E186)</f>
        <v/>
      </c>
      <c r="H181" s="147">
        <f>'Jrnl Rev'!H186</f>
        <v>0</v>
      </c>
      <c r="I181" s="147" t="str">
        <f t="shared" si="4"/>
        <v>0</v>
      </c>
      <c r="J181" s="148" t="b">
        <f t="shared" si="5"/>
        <v>0</v>
      </c>
      <c r="K181" s="149">
        <f>'Jrnl Rev'!$G186</f>
        <v>0</v>
      </c>
      <c r="L181" s="150"/>
      <c r="M181" s="151"/>
      <c r="N181" s="152"/>
    </row>
    <row r="182" spans="2:14" s="1" customFormat="1" ht="30" hidden="1" customHeight="1" x14ac:dyDescent="0.15">
      <c r="B182" s="146">
        <f>IF(AND('Jrnl Rev'!G187&lt;&gt;"",'Jrnl Rev'!C187&lt;&gt;""),1,0)</f>
        <v>0</v>
      </c>
      <c r="C182" s="146">
        <f>'Jrnl Rev'!$C187</f>
        <v>0</v>
      </c>
      <c r="D182" s="147">
        <f>'Jrnl Rev'!$D187</f>
        <v>0</v>
      </c>
      <c r="E182" s="1510">
        <f>'Jrnl Rev'!$F187</f>
        <v>0</v>
      </c>
      <c r="F182" s="1510"/>
      <c r="G182" s="951" t="str">
        <f>IF('Jrnl Rev'!$E187="","",'Jrnl Rev'!$E187)</f>
        <v/>
      </c>
      <c r="H182" s="147">
        <f>'Jrnl Rev'!H187</f>
        <v>0</v>
      </c>
      <c r="I182" s="147" t="str">
        <f t="shared" si="4"/>
        <v>0</v>
      </c>
      <c r="J182" s="148" t="b">
        <f t="shared" si="5"/>
        <v>0</v>
      </c>
      <c r="K182" s="149">
        <f>'Jrnl Rev'!$G187</f>
        <v>0</v>
      </c>
      <c r="L182" s="150"/>
      <c r="M182" s="151"/>
      <c r="N182" s="152"/>
    </row>
    <row r="183" spans="2:14" s="1" customFormat="1" ht="30" hidden="1" customHeight="1" x14ac:dyDescent="0.15">
      <c r="B183" s="146">
        <f>IF(AND('Jrnl Rev'!G188&lt;&gt;"",'Jrnl Rev'!C188&lt;&gt;""),1,0)</f>
        <v>0</v>
      </c>
      <c r="C183" s="146">
        <f>'Jrnl Rev'!$C188</f>
        <v>0</v>
      </c>
      <c r="D183" s="147">
        <f>'Jrnl Rev'!$D188</f>
        <v>0</v>
      </c>
      <c r="E183" s="1510">
        <f>'Jrnl Rev'!$F188</f>
        <v>0</v>
      </c>
      <c r="F183" s="1510"/>
      <c r="G183" s="951" t="str">
        <f>IF('Jrnl Rev'!$E188="","",'Jrnl Rev'!$E188)</f>
        <v/>
      </c>
      <c r="H183" s="147">
        <f>'Jrnl Rev'!H188</f>
        <v>0</v>
      </c>
      <c r="I183" s="147" t="str">
        <f t="shared" si="4"/>
        <v>0</v>
      </c>
      <c r="J183" s="148" t="b">
        <f t="shared" si="5"/>
        <v>0</v>
      </c>
      <c r="K183" s="149">
        <f>'Jrnl Rev'!$G188</f>
        <v>0</v>
      </c>
      <c r="L183" s="150"/>
      <c r="M183" s="151"/>
      <c r="N183" s="152"/>
    </row>
    <row r="184" spans="2:14" s="1" customFormat="1" ht="30" hidden="1" customHeight="1" x14ac:dyDescent="0.15">
      <c r="B184" s="146">
        <f>IF(AND('Jrnl Rev'!G189&lt;&gt;"",'Jrnl Rev'!C189&lt;&gt;""),1,0)</f>
        <v>0</v>
      </c>
      <c r="C184" s="146">
        <f>'Jrnl Rev'!$C189</f>
        <v>0</v>
      </c>
      <c r="D184" s="147">
        <f>'Jrnl Rev'!$D189</f>
        <v>0</v>
      </c>
      <c r="E184" s="1510">
        <f>'Jrnl Rev'!$F189</f>
        <v>0</v>
      </c>
      <c r="F184" s="1510"/>
      <c r="G184" s="951" t="str">
        <f>IF('Jrnl Rev'!$E189="","",'Jrnl Rev'!$E189)</f>
        <v/>
      </c>
      <c r="H184" s="147">
        <f>'Jrnl Rev'!H189</f>
        <v>0</v>
      </c>
      <c r="I184" s="147" t="str">
        <f t="shared" si="4"/>
        <v>0</v>
      </c>
      <c r="J184" s="148" t="b">
        <f t="shared" si="5"/>
        <v>0</v>
      </c>
      <c r="K184" s="149">
        <f>'Jrnl Rev'!$G189</f>
        <v>0</v>
      </c>
      <c r="L184" s="150"/>
      <c r="M184" s="151"/>
      <c r="N184" s="152"/>
    </row>
    <row r="185" spans="2:14" s="1" customFormat="1" ht="30" hidden="1" customHeight="1" x14ac:dyDescent="0.15">
      <c r="B185" s="146">
        <f>IF(AND('Jrnl Rev'!G190&lt;&gt;"",'Jrnl Rev'!C190&lt;&gt;""),1,0)</f>
        <v>0</v>
      </c>
      <c r="C185" s="146">
        <f>'Jrnl Rev'!$C190</f>
        <v>0</v>
      </c>
      <c r="D185" s="147">
        <f>'Jrnl Rev'!$D190</f>
        <v>0</v>
      </c>
      <c r="E185" s="1510">
        <f>'Jrnl Rev'!$F190</f>
        <v>0</v>
      </c>
      <c r="F185" s="1510"/>
      <c r="G185" s="951" t="str">
        <f>IF('Jrnl Rev'!$E190="","",'Jrnl Rev'!$E190)</f>
        <v/>
      </c>
      <c r="H185" s="147">
        <f>'Jrnl Rev'!H190</f>
        <v>0</v>
      </c>
      <c r="I185" s="147" t="str">
        <f t="shared" si="4"/>
        <v>0</v>
      </c>
      <c r="J185" s="148" t="b">
        <f t="shared" si="5"/>
        <v>0</v>
      </c>
      <c r="K185" s="149">
        <f>'Jrnl Rev'!$G190</f>
        <v>0</v>
      </c>
      <c r="L185" s="150"/>
      <c r="M185" s="151"/>
      <c r="N185" s="152"/>
    </row>
    <row r="186" spans="2:14" s="1" customFormat="1" ht="30" hidden="1" customHeight="1" x14ac:dyDescent="0.15">
      <c r="B186" s="146">
        <f>IF(AND('Jrnl Rev'!G191&lt;&gt;"",'Jrnl Rev'!C191&lt;&gt;""),1,0)</f>
        <v>0</v>
      </c>
      <c r="C186" s="146">
        <f>'Jrnl Rev'!$C191</f>
        <v>0</v>
      </c>
      <c r="D186" s="147">
        <f>'Jrnl Rev'!$D191</f>
        <v>0</v>
      </c>
      <c r="E186" s="1510">
        <f>'Jrnl Rev'!$F191</f>
        <v>0</v>
      </c>
      <c r="F186" s="1510"/>
      <c r="G186" s="951" t="str">
        <f>IF('Jrnl Rev'!$E191="","",'Jrnl Rev'!$E191)</f>
        <v/>
      </c>
      <c r="H186" s="147">
        <f>'Jrnl Rev'!H191</f>
        <v>0</v>
      </c>
      <c r="I186" s="147" t="str">
        <f t="shared" si="4"/>
        <v>0</v>
      </c>
      <c r="J186" s="148" t="b">
        <f t="shared" si="5"/>
        <v>0</v>
      </c>
      <c r="K186" s="149">
        <f>'Jrnl Rev'!$G191</f>
        <v>0</v>
      </c>
      <c r="L186" s="150"/>
      <c r="M186" s="151"/>
      <c r="N186" s="152"/>
    </row>
    <row r="187" spans="2:14" s="1" customFormat="1" ht="30" hidden="1" customHeight="1" x14ac:dyDescent="0.15">
      <c r="B187" s="146">
        <f>IF(AND('Jrnl Rev'!G192&lt;&gt;"",'Jrnl Rev'!C192&lt;&gt;""),1,0)</f>
        <v>0</v>
      </c>
      <c r="C187" s="146">
        <f>'Jrnl Rev'!$C192</f>
        <v>0</v>
      </c>
      <c r="D187" s="147">
        <f>'Jrnl Rev'!$D192</f>
        <v>0</v>
      </c>
      <c r="E187" s="1510">
        <f>'Jrnl Rev'!$F192</f>
        <v>0</v>
      </c>
      <c r="F187" s="1510"/>
      <c r="G187" s="951" t="str">
        <f>IF('Jrnl Rev'!$E192="","",'Jrnl Rev'!$E192)</f>
        <v/>
      </c>
      <c r="H187" s="147">
        <f>'Jrnl Rev'!H192</f>
        <v>0</v>
      </c>
      <c r="I187" s="147" t="str">
        <f t="shared" si="4"/>
        <v>0</v>
      </c>
      <c r="J187" s="148" t="b">
        <f t="shared" si="5"/>
        <v>0</v>
      </c>
      <c r="K187" s="149">
        <f>'Jrnl Rev'!$G192</f>
        <v>0</v>
      </c>
      <c r="L187" s="150"/>
      <c r="M187" s="151"/>
      <c r="N187" s="152"/>
    </row>
    <row r="188" spans="2:14" s="1" customFormat="1" ht="30" hidden="1" customHeight="1" x14ac:dyDescent="0.15">
      <c r="B188" s="146">
        <f>IF(AND('Jrnl Rev'!G193&lt;&gt;"",'Jrnl Rev'!C193&lt;&gt;""),1,0)</f>
        <v>0</v>
      </c>
      <c r="C188" s="146">
        <f>'Jrnl Rev'!$C193</f>
        <v>0</v>
      </c>
      <c r="D188" s="147">
        <f>'Jrnl Rev'!$D193</f>
        <v>0</v>
      </c>
      <c r="E188" s="1510">
        <f>'Jrnl Rev'!$F193</f>
        <v>0</v>
      </c>
      <c r="F188" s="1510"/>
      <c r="G188" s="951" t="str">
        <f>IF('Jrnl Rev'!$E193="","",'Jrnl Rev'!$E193)</f>
        <v/>
      </c>
      <c r="H188" s="147">
        <f>'Jrnl Rev'!H193</f>
        <v>0</v>
      </c>
      <c r="I188" s="147" t="str">
        <f t="shared" si="4"/>
        <v>0</v>
      </c>
      <c r="J188" s="148" t="b">
        <f t="shared" si="5"/>
        <v>0</v>
      </c>
      <c r="K188" s="149">
        <f>'Jrnl Rev'!$G193</f>
        <v>0</v>
      </c>
      <c r="L188" s="150"/>
      <c r="M188" s="151"/>
      <c r="N188" s="152"/>
    </row>
    <row r="189" spans="2:14" s="1" customFormat="1" ht="30" hidden="1" customHeight="1" x14ac:dyDescent="0.15">
      <c r="B189" s="146">
        <f>IF(AND('Jrnl Rev'!G194&lt;&gt;"",'Jrnl Rev'!C194&lt;&gt;""),1,0)</f>
        <v>0</v>
      </c>
      <c r="C189" s="146">
        <f>'Jrnl Rev'!$C194</f>
        <v>0</v>
      </c>
      <c r="D189" s="147">
        <f>'Jrnl Rev'!$D194</f>
        <v>0</v>
      </c>
      <c r="E189" s="1510">
        <f>'Jrnl Rev'!$F194</f>
        <v>0</v>
      </c>
      <c r="F189" s="1510"/>
      <c r="G189" s="951" t="str">
        <f>IF('Jrnl Rev'!$E194="","",'Jrnl Rev'!$E194)</f>
        <v/>
      </c>
      <c r="H189" s="147">
        <f>'Jrnl Rev'!H194</f>
        <v>0</v>
      </c>
      <c r="I189" s="147" t="str">
        <f t="shared" si="4"/>
        <v>0</v>
      </c>
      <c r="J189" s="148" t="b">
        <f t="shared" si="5"/>
        <v>0</v>
      </c>
      <c r="K189" s="149">
        <f>'Jrnl Rev'!$G194</f>
        <v>0</v>
      </c>
      <c r="L189" s="150"/>
      <c r="M189" s="151"/>
      <c r="N189" s="152"/>
    </row>
    <row r="190" spans="2:14" s="1" customFormat="1" ht="30" hidden="1" customHeight="1" x14ac:dyDescent="0.15">
      <c r="B190" s="146">
        <f>IF(AND('Jrnl Rev'!G195&lt;&gt;"",'Jrnl Rev'!C195&lt;&gt;""),1,0)</f>
        <v>0</v>
      </c>
      <c r="C190" s="146">
        <f>'Jrnl Rev'!$C195</f>
        <v>0</v>
      </c>
      <c r="D190" s="147">
        <f>'Jrnl Rev'!$D195</f>
        <v>0</v>
      </c>
      <c r="E190" s="1510">
        <f>'Jrnl Rev'!$F195</f>
        <v>0</v>
      </c>
      <c r="F190" s="1510"/>
      <c r="G190" s="951" t="str">
        <f>IF('Jrnl Rev'!$E195="","",'Jrnl Rev'!$E195)</f>
        <v/>
      </c>
      <c r="H190" s="147">
        <f>'Jrnl Rev'!H195</f>
        <v>0</v>
      </c>
      <c r="I190" s="147" t="str">
        <f t="shared" si="4"/>
        <v>0</v>
      </c>
      <c r="J190" s="148" t="b">
        <f t="shared" si="5"/>
        <v>0</v>
      </c>
      <c r="K190" s="149">
        <f>'Jrnl Rev'!$G195</f>
        <v>0</v>
      </c>
      <c r="L190" s="150"/>
      <c r="M190" s="151"/>
      <c r="N190" s="152"/>
    </row>
    <row r="191" spans="2:14" s="1" customFormat="1" ht="30" hidden="1" customHeight="1" x14ac:dyDescent="0.15">
      <c r="B191" s="146">
        <f>IF(AND('Jrnl Rev'!G196&lt;&gt;"",'Jrnl Rev'!C196&lt;&gt;""),1,0)</f>
        <v>0</v>
      </c>
      <c r="C191" s="146">
        <f>'Jrnl Rev'!$C196</f>
        <v>0</v>
      </c>
      <c r="D191" s="147">
        <f>'Jrnl Rev'!$D196</f>
        <v>0</v>
      </c>
      <c r="E191" s="1510">
        <f>'Jrnl Rev'!$F196</f>
        <v>0</v>
      </c>
      <c r="F191" s="1510"/>
      <c r="G191" s="951" t="str">
        <f>IF('Jrnl Rev'!$E196="","",'Jrnl Rev'!$E196)</f>
        <v/>
      </c>
      <c r="H191" s="147">
        <f>'Jrnl Rev'!H196</f>
        <v>0</v>
      </c>
      <c r="I191" s="147" t="str">
        <f t="shared" si="4"/>
        <v>0</v>
      </c>
      <c r="J191" s="148" t="b">
        <f t="shared" si="5"/>
        <v>0</v>
      </c>
      <c r="K191" s="149">
        <f>'Jrnl Rev'!$G196</f>
        <v>0</v>
      </c>
      <c r="L191" s="150"/>
      <c r="M191" s="151"/>
      <c r="N191" s="152"/>
    </row>
    <row r="192" spans="2:14" s="1" customFormat="1" ht="30" hidden="1" customHeight="1" x14ac:dyDescent="0.15">
      <c r="B192" s="146">
        <f>IF(AND('Jrnl Rev'!G197&lt;&gt;"",'Jrnl Rev'!C197&lt;&gt;""),1,0)</f>
        <v>0</v>
      </c>
      <c r="C192" s="146">
        <f>'Jrnl Rev'!$C197</f>
        <v>0</v>
      </c>
      <c r="D192" s="147">
        <f>'Jrnl Rev'!$D197</f>
        <v>0</v>
      </c>
      <c r="E192" s="1510">
        <f>'Jrnl Rev'!$F197</f>
        <v>0</v>
      </c>
      <c r="F192" s="1510"/>
      <c r="G192" s="951" t="str">
        <f>IF('Jrnl Rev'!$E197="","",'Jrnl Rev'!$E197)</f>
        <v/>
      </c>
      <c r="H192" s="147">
        <f>'Jrnl Rev'!H197</f>
        <v>0</v>
      </c>
      <c r="I192" s="147" t="str">
        <f t="shared" si="4"/>
        <v>0</v>
      </c>
      <c r="J192" s="148" t="b">
        <f t="shared" si="5"/>
        <v>0</v>
      </c>
      <c r="K192" s="149">
        <f>'Jrnl Rev'!$G197</f>
        <v>0</v>
      </c>
      <c r="L192" s="150"/>
      <c r="M192" s="151"/>
      <c r="N192" s="152"/>
    </row>
    <row r="193" spans="2:14" s="1" customFormat="1" ht="30" hidden="1" customHeight="1" x14ac:dyDescent="0.15">
      <c r="B193" s="146">
        <f>IF(AND('Jrnl Rev'!G198&lt;&gt;"",'Jrnl Rev'!C198&lt;&gt;""),1,0)</f>
        <v>0</v>
      </c>
      <c r="C193" s="146">
        <f>'Jrnl Rev'!$C198</f>
        <v>0</v>
      </c>
      <c r="D193" s="147">
        <f>'Jrnl Rev'!$D198</f>
        <v>0</v>
      </c>
      <c r="E193" s="1510">
        <f>'Jrnl Rev'!$F198</f>
        <v>0</v>
      </c>
      <c r="F193" s="1510"/>
      <c r="G193" s="951" t="str">
        <f>IF('Jrnl Rev'!$E198="","",'Jrnl Rev'!$E198)</f>
        <v/>
      </c>
      <c r="H193" s="147">
        <f>'Jrnl Rev'!H198</f>
        <v>0</v>
      </c>
      <c r="I193" s="147" t="str">
        <f t="shared" si="4"/>
        <v>0</v>
      </c>
      <c r="J193" s="148" t="b">
        <f t="shared" si="5"/>
        <v>0</v>
      </c>
      <c r="K193" s="149">
        <f>'Jrnl Rev'!$G198</f>
        <v>0</v>
      </c>
      <c r="L193" s="150"/>
      <c r="M193" s="151"/>
      <c r="N193" s="152"/>
    </row>
    <row r="194" spans="2:14" s="1" customFormat="1" ht="30" hidden="1" customHeight="1" x14ac:dyDescent="0.15">
      <c r="B194" s="146">
        <f>IF(AND('Jrnl Rev'!G199&lt;&gt;"",'Jrnl Rev'!C199&lt;&gt;""),1,0)</f>
        <v>0</v>
      </c>
      <c r="C194" s="146">
        <f>'Jrnl Rev'!$C199</f>
        <v>0</v>
      </c>
      <c r="D194" s="147">
        <f>'Jrnl Rev'!$D199</f>
        <v>0</v>
      </c>
      <c r="E194" s="1510">
        <f>'Jrnl Rev'!$F199</f>
        <v>0</v>
      </c>
      <c r="F194" s="1510"/>
      <c r="G194" s="951" t="str">
        <f>IF('Jrnl Rev'!$E199="","",'Jrnl Rev'!$E199)</f>
        <v/>
      </c>
      <c r="H194" s="147">
        <f>'Jrnl Rev'!H199</f>
        <v>0</v>
      </c>
      <c r="I194" s="147" t="str">
        <f t="shared" si="4"/>
        <v>0</v>
      </c>
      <c r="J194" s="148" t="b">
        <f t="shared" si="5"/>
        <v>0</v>
      </c>
      <c r="K194" s="149">
        <f>'Jrnl Rev'!$G199</f>
        <v>0</v>
      </c>
      <c r="L194" s="150"/>
      <c r="M194" s="151"/>
      <c r="N194" s="152"/>
    </row>
    <row r="195" spans="2:14" s="1" customFormat="1" ht="30" hidden="1" customHeight="1" x14ac:dyDescent="0.15">
      <c r="B195" s="146">
        <f>IF(AND('Jrnl Rev'!G200&lt;&gt;"",'Jrnl Rev'!C200&lt;&gt;""),1,0)</f>
        <v>0</v>
      </c>
      <c r="C195" s="146">
        <f>'Jrnl Rev'!$C200</f>
        <v>0</v>
      </c>
      <c r="D195" s="147">
        <f>'Jrnl Rev'!$D200</f>
        <v>0</v>
      </c>
      <c r="E195" s="1510">
        <f>'Jrnl Rev'!$F200</f>
        <v>0</v>
      </c>
      <c r="F195" s="1510"/>
      <c r="G195" s="951" t="str">
        <f>IF('Jrnl Rev'!$E200="","",'Jrnl Rev'!$E200)</f>
        <v/>
      </c>
      <c r="H195" s="147">
        <f>'Jrnl Rev'!H200</f>
        <v>0</v>
      </c>
      <c r="I195" s="147" t="str">
        <f t="shared" si="4"/>
        <v>0</v>
      </c>
      <c r="J195" s="148" t="b">
        <f t="shared" si="5"/>
        <v>0</v>
      </c>
      <c r="K195" s="149">
        <f>'Jrnl Rev'!$G200</f>
        <v>0</v>
      </c>
      <c r="L195" s="150"/>
      <c r="M195" s="151"/>
      <c r="N195" s="152"/>
    </row>
    <row r="196" spans="2:14" s="1" customFormat="1" ht="30" hidden="1" customHeight="1" x14ac:dyDescent="0.15">
      <c r="B196" s="146">
        <f>IF(AND('Jrnl Rev'!G201&lt;&gt;"",'Jrnl Rev'!C201&lt;&gt;""),1,0)</f>
        <v>0</v>
      </c>
      <c r="C196" s="146">
        <f>'Jrnl Rev'!$C201</f>
        <v>0</v>
      </c>
      <c r="D196" s="147">
        <f>'Jrnl Rev'!$D201</f>
        <v>0</v>
      </c>
      <c r="E196" s="1510">
        <f>'Jrnl Rev'!$F201</f>
        <v>0</v>
      </c>
      <c r="F196" s="1510"/>
      <c r="G196" s="951" t="str">
        <f>IF('Jrnl Rev'!$E201="","",'Jrnl Rev'!$E201)</f>
        <v/>
      </c>
      <c r="H196" s="147">
        <f>'Jrnl Rev'!H201</f>
        <v>0</v>
      </c>
      <c r="I196" s="147" t="str">
        <f t="shared" si="4"/>
        <v>0</v>
      </c>
      <c r="J196" s="148" t="b">
        <f t="shared" si="5"/>
        <v>0</v>
      </c>
      <c r="K196" s="149">
        <f>'Jrnl Rev'!$G201</f>
        <v>0</v>
      </c>
      <c r="L196" s="150"/>
      <c r="M196" s="151"/>
      <c r="N196" s="152"/>
    </row>
    <row r="197" spans="2:14" s="1" customFormat="1" ht="30" hidden="1" customHeight="1" x14ac:dyDescent="0.15">
      <c r="B197" s="146">
        <f>IF(AND('Jrnl Rev'!G202&lt;&gt;"",'Jrnl Rev'!C202&lt;&gt;""),1,0)</f>
        <v>0</v>
      </c>
      <c r="C197" s="146">
        <f>'Jrnl Rev'!$C202</f>
        <v>0</v>
      </c>
      <c r="D197" s="147">
        <f>'Jrnl Rev'!$D202</f>
        <v>0</v>
      </c>
      <c r="E197" s="1510">
        <f>'Jrnl Rev'!$F202</f>
        <v>0</v>
      </c>
      <c r="F197" s="1510"/>
      <c r="G197" s="951" t="str">
        <f>IF('Jrnl Rev'!$E202="","",'Jrnl Rev'!$E202)</f>
        <v/>
      </c>
      <c r="H197" s="147">
        <f>'Jrnl Rev'!H202</f>
        <v>0</v>
      </c>
      <c r="I197" s="147" t="str">
        <f t="shared" si="4"/>
        <v>0</v>
      </c>
      <c r="J197" s="148" t="b">
        <f t="shared" si="5"/>
        <v>0</v>
      </c>
      <c r="K197" s="149">
        <f>'Jrnl Rev'!$G202</f>
        <v>0</v>
      </c>
      <c r="L197" s="150"/>
      <c r="M197" s="151"/>
      <c r="N197" s="152"/>
    </row>
    <row r="198" spans="2:14" s="1" customFormat="1" ht="30" hidden="1" customHeight="1" x14ac:dyDescent="0.15">
      <c r="B198" s="146">
        <f>IF(AND('Jrnl Rev'!G203&lt;&gt;"",'Jrnl Rev'!C203&lt;&gt;""),1,0)</f>
        <v>0</v>
      </c>
      <c r="C198" s="146">
        <f>'Jrnl Rev'!$C203</f>
        <v>0</v>
      </c>
      <c r="D198" s="147">
        <f>'Jrnl Rev'!$D203</f>
        <v>0</v>
      </c>
      <c r="E198" s="1510">
        <f>'Jrnl Rev'!$F203</f>
        <v>0</v>
      </c>
      <c r="F198" s="1510"/>
      <c r="G198" s="951" t="str">
        <f>IF('Jrnl Rev'!$E203="","",'Jrnl Rev'!$E203)</f>
        <v/>
      </c>
      <c r="H198" s="147">
        <f>'Jrnl Rev'!H203</f>
        <v>0</v>
      </c>
      <c r="I198" s="147" t="str">
        <f t="shared" si="4"/>
        <v>0</v>
      </c>
      <c r="J198" s="148" t="b">
        <f t="shared" si="5"/>
        <v>0</v>
      </c>
      <c r="K198" s="149">
        <f>'Jrnl Rev'!$G203</f>
        <v>0</v>
      </c>
      <c r="L198" s="150"/>
      <c r="M198" s="151"/>
      <c r="N198" s="152"/>
    </row>
    <row r="199" spans="2:14" s="1" customFormat="1" ht="30" hidden="1" customHeight="1" x14ac:dyDescent="0.15">
      <c r="B199" s="146">
        <f>IF(AND('Jrnl Rev'!G204&lt;&gt;"",'Jrnl Rev'!C204&lt;&gt;""),1,0)</f>
        <v>0</v>
      </c>
      <c r="C199" s="146">
        <f>'Jrnl Rev'!$C204</f>
        <v>0</v>
      </c>
      <c r="D199" s="147">
        <f>'Jrnl Rev'!$D204</f>
        <v>0</v>
      </c>
      <c r="E199" s="1510">
        <f>'Jrnl Rev'!$F204</f>
        <v>0</v>
      </c>
      <c r="F199" s="1510"/>
      <c r="G199" s="951" t="str">
        <f>IF('Jrnl Rev'!$E204="","",'Jrnl Rev'!$E204)</f>
        <v/>
      </c>
      <c r="H199" s="147">
        <f>'Jrnl Rev'!H204</f>
        <v>0</v>
      </c>
      <c r="I199" s="147" t="str">
        <f t="shared" si="4"/>
        <v>0</v>
      </c>
      <c r="J199" s="148" t="b">
        <f t="shared" si="5"/>
        <v>0</v>
      </c>
      <c r="K199" s="149">
        <f>'Jrnl Rev'!$G204</f>
        <v>0</v>
      </c>
      <c r="L199" s="150"/>
      <c r="M199" s="151"/>
      <c r="N199" s="152"/>
    </row>
    <row r="200" spans="2:14" s="1" customFormat="1" ht="30" hidden="1" customHeight="1" x14ac:dyDescent="0.15">
      <c r="B200" s="146">
        <f>IF(AND('Jrnl Rev'!G205&lt;&gt;"",'Jrnl Rev'!C205&lt;&gt;""),1,0)</f>
        <v>0</v>
      </c>
      <c r="C200" s="146">
        <f>'Jrnl Rev'!$C205</f>
        <v>0</v>
      </c>
      <c r="D200" s="147">
        <f>'Jrnl Rev'!$D205</f>
        <v>0</v>
      </c>
      <c r="E200" s="1510">
        <f>'Jrnl Rev'!$F205</f>
        <v>0</v>
      </c>
      <c r="F200" s="1510"/>
      <c r="G200" s="951" t="str">
        <f>IF('Jrnl Rev'!$E205="","",'Jrnl Rev'!$E205)</f>
        <v/>
      </c>
      <c r="H200" s="147">
        <f>'Jrnl Rev'!H205</f>
        <v>0</v>
      </c>
      <c r="I200" s="147" t="str">
        <f t="shared" si="4"/>
        <v>0</v>
      </c>
      <c r="J200" s="148" t="b">
        <f t="shared" si="5"/>
        <v>0</v>
      </c>
      <c r="K200" s="149">
        <f>'Jrnl Rev'!$G205</f>
        <v>0</v>
      </c>
      <c r="L200" s="150"/>
      <c r="M200" s="151"/>
      <c r="N200" s="152"/>
    </row>
    <row r="201" spans="2:14" s="1" customFormat="1" ht="30" hidden="1" customHeight="1" x14ac:dyDescent="0.15">
      <c r="B201" s="146">
        <f>IF(AND('Jrnl Rev'!G206&lt;&gt;"",'Jrnl Rev'!C206&lt;&gt;""),1,0)</f>
        <v>0</v>
      </c>
      <c r="C201" s="146">
        <f>'Jrnl Rev'!$C206</f>
        <v>0</v>
      </c>
      <c r="D201" s="147">
        <f>'Jrnl Rev'!$D206</f>
        <v>0</v>
      </c>
      <c r="E201" s="1510">
        <f>'Jrnl Rev'!$F206</f>
        <v>0</v>
      </c>
      <c r="F201" s="1510"/>
      <c r="G201" s="951" t="str">
        <f>IF('Jrnl Rev'!$E206="","",'Jrnl Rev'!$E206)</f>
        <v/>
      </c>
      <c r="H201" s="147">
        <f>'Jrnl Rev'!H206</f>
        <v>0</v>
      </c>
      <c r="I201" s="147" t="str">
        <f t="shared" si="4"/>
        <v>0</v>
      </c>
      <c r="J201" s="148" t="b">
        <f t="shared" si="5"/>
        <v>0</v>
      </c>
      <c r="K201" s="149">
        <f>'Jrnl Rev'!$G206</f>
        <v>0</v>
      </c>
      <c r="L201" s="150"/>
      <c r="M201" s="151"/>
      <c r="N201" s="152"/>
    </row>
    <row r="202" spans="2:14" s="1" customFormat="1" ht="30" hidden="1" customHeight="1" x14ac:dyDescent="0.15">
      <c r="B202" s="146">
        <f>IF(AND('Jrnl Rev'!G207&lt;&gt;"",'Jrnl Rev'!C207&lt;&gt;""),1,0)</f>
        <v>0</v>
      </c>
      <c r="C202" s="146">
        <f>'Jrnl Rev'!$C207</f>
        <v>0</v>
      </c>
      <c r="D202" s="147">
        <f>'Jrnl Rev'!$D207</f>
        <v>0</v>
      </c>
      <c r="E202" s="1510">
        <f>'Jrnl Rev'!$F207</f>
        <v>0</v>
      </c>
      <c r="F202" s="1510"/>
      <c r="G202" s="951" t="str">
        <f>IF('Jrnl Rev'!$E207="","",'Jrnl Rev'!$E207)</f>
        <v/>
      </c>
      <c r="H202" s="147">
        <f>'Jrnl Rev'!H207</f>
        <v>0</v>
      </c>
      <c r="I202" s="147" t="str">
        <f t="shared" si="4"/>
        <v>0</v>
      </c>
      <c r="J202" s="148" t="b">
        <f t="shared" si="5"/>
        <v>0</v>
      </c>
      <c r="K202" s="149">
        <f>'Jrnl Rev'!$G207</f>
        <v>0</v>
      </c>
      <c r="L202" s="150"/>
      <c r="M202" s="151"/>
      <c r="N202" s="152"/>
    </row>
    <row r="203" spans="2:14" s="1" customFormat="1" ht="30" hidden="1" customHeight="1" x14ac:dyDescent="0.15">
      <c r="B203" s="146">
        <f>IF(AND('Jrnl Rev'!G208&lt;&gt;"",'Jrnl Rev'!C208&lt;&gt;""),1,0)</f>
        <v>0</v>
      </c>
      <c r="C203" s="146">
        <f>'Jrnl Rev'!$C208</f>
        <v>0</v>
      </c>
      <c r="D203" s="147">
        <f>'Jrnl Rev'!$D208</f>
        <v>0</v>
      </c>
      <c r="E203" s="1510">
        <f>'Jrnl Rev'!$F208</f>
        <v>0</v>
      </c>
      <c r="F203" s="1510"/>
      <c r="G203" s="951" t="str">
        <f>IF('Jrnl Rev'!$E208="","",'Jrnl Rev'!$E208)</f>
        <v/>
      </c>
      <c r="H203" s="147">
        <f>'Jrnl Rev'!H208</f>
        <v>0</v>
      </c>
      <c r="I203" s="147" t="str">
        <f t="shared" ref="I203:I266" si="6">LEFT(H203,4)</f>
        <v>0</v>
      </c>
      <c r="J203" s="148" t="b">
        <f t="shared" si="5"/>
        <v>0</v>
      </c>
      <c r="K203" s="149">
        <f>'Jrnl Rev'!$G208</f>
        <v>0</v>
      </c>
      <c r="L203" s="150"/>
      <c r="M203" s="151"/>
      <c r="N203" s="152"/>
    </row>
    <row r="204" spans="2:14" s="1" customFormat="1" ht="30" hidden="1" customHeight="1" x14ac:dyDescent="0.15">
      <c r="B204" s="146">
        <f>IF(AND('Jrnl Rev'!G209&lt;&gt;"",'Jrnl Rev'!C209&lt;&gt;""),1,0)</f>
        <v>0</v>
      </c>
      <c r="C204" s="146">
        <f>'Jrnl Rev'!$C209</f>
        <v>0</v>
      </c>
      <c r="D204" s="147">
        <f>'Jrnl Rev'!$D209</f>
        <v>0</v>
      </c>
      <c r="E204" s="1510">
        <f>'Jrnl Rev'!$F209</f>
        <v>0</v>
      </c>
      <c r="F204" s="1510"/>
      <c r="G204" s="951" t="str">
        <f>IF('Jrnl Rev'!$E209="","",'Jrnl Rev'!$E209)</f>
        <v/>
      </c>
      <c r="H204" s="147">
        <f>'Jrnl Rev'!H209</f>
        <v>0</v>
      </c>
      <c r="I204" s="147" t="str">
        <f t="shared" si="6"/>
        <v>0</v>
      </c>
      <c r="J204" s="148" t="b">
        <f t="shared" ref="J204:J267" si="7">IF(I204="1020",IF(G204&gt;=$E$3,IF(G204&lt;=$G$3,K204,0)))</f>
        <v>0</v>
      </c>
      <c r="K204" s="149">
        <f>'Jrnl Rev'!$G209</f>
        <v>0</v>
      </c>
      <c r="L204" s="150"/>
      <c r="M204" s="151"/>
      <c r="N204" s="152"/>
    </row>
    <row r="205" spans="2:14" s="1" customFormat="1" ht="30" hidden="1" customHeight="1" x14ac:dyDescent="0.15">
      <c r="B205" s="146">
        <f>IF(AND('Jrnl Rev'!G210&lt;&gt;"",'Jrnl Rev'!C210&lt;&gt;""),1,0)</f>
        <v>0</v>
      </c>
      <c r="C205" s="146">
        <f>'Jrnl Rev'!$C210</f>
        <v>0</v>
      </c>
      <c r="D205" s="147">
        <f>'Jrnl Rev'!$D210</f>
        <v>0</v>
      </c>
      <c r="E205" s="1510">
        <f>'Jrnl Rev'!$F210</f>
        <v>0</v>
      </c>
      <c r="F205" s="1510"/>
      <c r="G205" s="951" t="str">
        <f>IF('Jrnl Rev'!$E210="","",'Jrnl Rev'!$E210)</f>
        <v/>
      </c>
      <c r="H205" s="147">
        <f>'Jrnl Rev'!H210</f>
        <v>0</v>
      </c>
      <c r="I205" s="147" t="str">
        <f t="shared" si="6"/>
        <v>0</v>
      </c>
      <c r="J205" s="148" t="b">
        <f t="shared" si="7"/>
        <v>0</v>
      </c>
      <c r="K205" s="149">
        <f>'Jrnl Rev'!$G210</f>
        <v>0</v>
      </c>
      <c r="L205" s="150"/>
      <c r="M205" s="151"/>
      <c r="N205" s="152"/>
    </row>
    <row r="206" spans="2:14" s="1" customFormat="1" ht="30" hidden="1" customHeight="1" x14ac:dyDescent="0.15">
      <c r="B206" s="146">
        <f>IF(AND('Jrnl Rev'!G211&lt;&gt;"",'Jrnl Rev'!C211&lt;&gt;""),1,0)</f>
        <v>0</v>
      </c>
      <c r="C206" s="146">
        <f>'Jrnl Rev'!$C211</f>
        <v>0</v>
      </c>
      <c r="D206" s="147">
        <f>'Jrnl Rev'!$D211</f>
        <v>0</v>
      </c>
      <c r="E206" s="1510">
        <f>'Jrnl Rev'!$F211</f>
        <v>0</v>
      </c>
      <c r="F206" s="1510"/>
      <c r="G206" s="951" t="str">
        <f>IF('Jrnl Rev'!$E211="","",'Jrnl Rev'!$E211)</f>
        <v/>
      </c>
      <c r="H206" s="147">
        <f>'Jrnl Rev'!H211</f>
        <v>0</v>
      </c>
      <c r="I206" s="147" t="str">
        <f t="shared" si="6"/>
        <v>0</v>
      </c>
      <c r="J206" s="148" t="b">
        <f t="shared" si="7"/>
        <v>0</v>
      </c>
      <c r="K206" s="149">
        <f>'Jrnl Rev'!$G211</f>
        <v>0</v>
      </c>
      <c r="L206" s="150"/>
      <c r="M206" s="151"/>
      <c r="N206" s="152"/>
    </row>
    <row r="207" spans="2:14" s="1" customFormat="1" ht="30" hidden="1" customHeight="1" x14ac:dyDescent="0.15">
      <c r="B207" s="146">
        <f>IF(AND('Jrnl Rev'!G212&lt;&gt;"",'Jrnl Rev'!C212&lt;&gt;""),1,0)</f>
        <v>0</v>
      </c>
      <c r="C207" s="146">
        <f>'Jrnl Rev'!$C212</f>
        <v>0</v>
      </c>
      <c r="D207" s="147">
        <f>'Jrnl Rev'!$D212</f>
        <v>0</v>
      </c>
      <c r="E207" s="1510">
        <f>'Jrnl Rev'!$F212</f>
        <v>0</v>
      </c>
      <c r="F207" s="1510"/>
      <c r="G207" s="951" t="str">
        <f>IF('Jrnl Rev'!$E212="","",'Jrnl Rev'!$E212)</f>
        <v/>
      </c>
      <c r="H207" s="147">
        <f>'Jrnl Rev'!H212</f>
        <v>0</v>
      </c>
      <c r="I207" s="147" t="str">
        <f t="shared" si="6"/>
        <v>0</v>
      </c>
      <c r="J207" s="148" t="b">
        <f t="shared" si="7"/>
        <v>0</v>
      </c>
      <c r="K207" s="149">
        <f>'Jrnl Rev'!$G212</f>
        <v>0</v>
      </c>
      <c r="L207" s="150"/>
      <c r="M207" s="151"/>
      <c r="N207" s="152"/>
    </row>
    <row r="208" spans="2:14" s="1" customFormat="1" ht="30" hidden="1" customHeight="1" x14ac:dyDescent="0.15">
      <c r="B208" s="146">
        <f>IF(AND('Jrnl Rev'!G213&lt;&gt;"",'Jrnl Rev'!C213&lt;&gt;""),1,0)</f>
        <v>0</v>
      </c>
      <c r="C208" s="146">
        <f>'Jrnl Rev'!$C213</f>
        <v>0</v>
      </c>
      <c r="D208" s="147">
        <f>'Jrnl Rev'!$D213</f>
        <v>0</v>
      </c>
      <c r="E208" s="1510">
        <f>'Jrnl Rev'!$F213</f>
        <v>0</v>
      </c>
      <c r="F208" s="1510"/>
      <c r="G208" s="951" t="str">
        <f>IF('Jrnl Rev'!$E213="","",'Jrnl Rev'!$E213)</f>
        <v/>
      </c>
      <c r="H208" s="147">
        <f>'Jrnl Rev'!H213</f>
        <v>0</v>
      </c>
      <c r="I208" s="147" t="str">
        <f t="shared" si="6"/>
        <v>0</v>
      </c>
      <c r="J208" s="148" t="b">
        <f t="shared" si="7"/>
        <v>0</v>
      </c>
      <c r="K208" s="149">
        <f>'Jrnl Rev'!$G213</f>
        <v>0</v>
      </c>
      <c r="L208" s="150"/>
      <c r="M208" s="151"/>
      <c r="N208" s="152"/>
    </row>
    <row r="209" spans="2:14" s="1" customFormat="1" ht="30" hidden="1" customHeight="1" x14ac:dyDescent="0.15">
      <c r="B209" s="146">
        <f>IF(AND('Jrnl Rev'!G214&lt;&gt;"",'Jrnl Rev'!C214&lt;&gt;""),1,0)</f>
        <v>0</v>
      </c>
      <c r="C209" s="146">
        <f>'Jrnl Rev'!$C214</f>
        <v>0</v>
      </c>
      <c r="D209" s="147">
        <f>'Jrnl Rev'!$D214</f>
        <v>0</v>
      </c>
      <c r="E209" s="1510">
        <f>'Jrnl Rev'!$F214</f>
        <v>0</v>
      </c>
      <c r="F209" s="1510"/>
      <c r="G209" s="951" t="str">
        <f>IF('Jrnl Rev'!$E214="","",'Jrnl Rev'!$E214)</f>
        <v/>
      </c>
      <c r="H209" s="147">
        <f>'Jrnl Rev'!H214</f>
        <v>0</v>
      </c>
      <c r="I209" s="147" t="str">
        <f t="shared" si="6"/>
        <v>0</v>
      </c>
      <c r="J209" s="148" t="b">
        <f t="shared" si="7"/>
        <v>0</v>
      </c>
      <c r="K209" s="149">
        <f>'Jrnl Rev'!$G214</f>
        <v>0</v>
      </c>
      <c r="L209" s="150"/>
      <c r="M209" s="151"/>
      <c r="N209" s="152"/>
    </row>
    <row r="210" spans="2:14" s="1" customFormat="1" ht="30" hidden="1" customHeight="1" x14ac:dyDescent="0.15">
      <c r="B210" s="146">
        <f>IF(AND('Jrnl Rev'!G215&lt;&gt;"",'Jrnl Rev'!C215&lt;&gt;""),1,0)</f>
        <v>0</v>
      </c>
      <c r="C210" s="146">
        <f>'Jrnl Rev'!$C215</f>
        <v>0</v>
      </c>
      <c r="D210" s="147">
        <f>'Jrnl Rev'!$D215</f>
        <v>0</v>
      </c>
      <c r="E210" s="1510">
        <f>'Jrnl Rev'!$F215</f>
        <v>0</v>
      </c>
      <c r="F210" s="1510"/>
      <c r="G210" s="951" t="str">
        <f>IF('Jrnl Rev'!$E215="","",'Jrnl Rev'!$E215)</f>
        <v/>
      </c>
      <c r="H210" s="147">
        <f>'Jrnl Rev'!H215</f>
        <v>0</v>
      </c>
      <c r="I210" s="147" t="str">
        <f t="shared" si="6"/>
        <v>0</v>
      </c>
      <c r="J210" s="148" t="b">
        <f t="shared" si="7"/>
        <v>0</v>
      </c>
      <c r="K210" s="149">
        <f>'Jrnl Rev'!$G215</f>
        <v>0</v>
      </c>
      <c r="L210" s="150"/>
      <c r="M210" s="151"/>
      <c r="N210" s="152"/>
    </row>
    <row r="211" spans="2:14" s="1" customFormat="1" ht="30" hidden="1" customHeight="1" x14ac:dyDescent="0.15">
      <c r="B211" s="146">
        <f>IF(AND('Jrnl Rev'!G216&lt;&gt;"",'Jrnl Rev'!C216&lt;&gt;""),1,0)</f>
        <v>0</v>
      </c>
      <c r="C211" s="146">
        <f>'Jrnl Rev'!$C216</f>
        <v>0</v>
      </c>
      <c r="D211" s="147">
        <f>'Jrnl Rev'!$D216</f>
        <v>0</v>
      </c>
      <c r="E211" s="1510">
        <f>'Jrnl Rev'!$F216</f>
        <v>0</v>
      </c>
      <c r="F211" s="1510"/>
      <c r="G211" s="951" t="str">
        <f>IF('Jrnl Rev'!$E216="","",'Jrnl Rev'!$E216)</f>
        <v/>
      </c>
      <c r="H211" s="147">
        <f>'Jrnl Rev'!H216</f>
        <v>0</v>
      </c>
      <c r="I211" s="147" t="str">
        <f t="shared" si="6"/>
        <v>0</v>
      </c>
      <c r="J211" s="148" t="b">
        <f t="shared" si="7"/>
        <v>0</v>
      </c>
      <c r="K211" s="149">
        <f>'Jrnl Rev'!$G216</f>
        <v>0</v>
      </c>
      <c r="L211" s="150"/>
      <c r="M211" s="151"/>
      <c r="N211" s="152"/>
    </row>
    <row r="212" spans="2:14" s="1" customFormat="1" ht="30" hidden="1" customHeight="1" x14ac:dyDescent="0.15">
      <c r="B212" s="146">
        <f>IF(AND('Jrnl Rev'!G217&lt;&gt;"",'Jrnl Rev'!C217&lt;&gt;""),1,0)</f>
        <v>0</v>
      </c>
      <c r="C212" s="146">
        <f>'Jrnl Rev'!$C217</f>
        <v>0</v>
      </c>
      <c r="D212" s="147">
        <f>'Jrnl Rev'!$D217</f>
        <v>0</v>
      </c>
      <c r="E212" s="1510">
        <f>'Jrnl Rev'!$F217</f>
        <v>0</v>
      </c>
      <c r="F212" s="1510"/>
      <c r="G212" s="951" t="str">
        <f>IF('Jrnl Rev'!$E217="","",'Jrnl Rev'!$E217)</f>
        <v/>
      </c>
      <c r="H212" s="147">
        <f>'Jrnl Rev'!H217</f>
        <v>0</v>
      </c>
      <c r="I212" s="147" t="str">
        <f t="shared" si="6"/>
        <v>0</v>
      </c>
      <c r="J212" s="148" t="b">
        <f t="shared" si="7"/>
        <v>0</v>
      </c>
      <c r="K212" s="149">
        <f>'Jrnl Rev'!$G217</f>
        <v>0</v>
      </c>
      <c r="L212" s="150"/>
      <c r="M212" s="151"/>
      <c r="N212" s="152"/>
    </row>
    <row r="213" spans="2:14" s="1" customFormat="1" ht="30" hidden="1" customHeight="1" x14ac:dyDescent="0.15">
      <c r="B213" s="146">
        <f>IF(AND('Jrnl Rev'!G218&lt;&gt;"",'Jrnl Rev'!C218&lt;&gt;""),1,0)</f>
        <v>0</v>
      </c>
      <c r="C213" s="146">
        <f>'Jrnl Rev'!$C218</f>
        <v>0</v>
      </c>
      <c r="D213" s="147">
        <f>'Jrnl Rev'!$D218</f>
        <v>0</v>
      </c>
      <c r="E213" s="1510">
        <f>'Jrnl Rev'!$F218</f>
        <v>0</v>
      </c>
      <c r="F213" s="1510"/>
      <c r="G213" s="951" t="str">
        <f>IF('Jrnl Rev'!$E218="","",'Jrnl Rev'!$E218)</f>
        <v/>
      </c>
      <c r="H213" s="147">
        <f>'Jrnl Rev'!H218</f>
        <v>0</v>
      </c>
      <c r="I213" s="147" t="str">
        <f t="shared" si="6"/>
        <v>0</v>
      </c>
      <c r="J213" s="148" t="b">
        <f t="shared" si="7"/>
        <v>0</v>
      </c>
      <c r="K213" s="149">
        <f>'Jrnl Rev'!$G218</f>
        <v>0</v>
      </c>
      <c r="L213" s="150"/>
      <c r="M213" s="151"/>
      <c r="N213" s="152"/>
    </row>
    <row r="214" spans="2:14" s="1" customFormat="1" ht="30" hidden="1" customHeight="1" x14ac:dyDescent="0.15">
      <c r="B214" s="146">
        <f>IF(AND('Jrnl Rev'!G219&lt;&gt;"",'Jrnl Rev'!C219&lt;&gt;""),1,0)</f>
        <v>0</v>
      </c>
      <c r="C214" s="146">
        <f>'Jrnl Rev'!$C219</f>
        <v>0</v>
      </c>
      <c r="D214" s="147">
        <f>'Jrnl Rev'!$D219</f>
        <v>0</v>
      </c>
      <c r="E214" s="1510">
        <f>'Jrnl Rev'!$F219</f>
        <v>0</v>
      </c>
      <c r="F214" s="1510"/>
      <c r="G214" s="951" t="str">
        <f>IF('Jrnl Rev'!$E219="","",'Jrnl Rev'!$E219)</f>
        <v/>
      </c>
      <c r="H214" s="147">
        <f>'Jrnl Rev'!H219</f>
        <v>0</v>
      </c>
      <c r="I214" s="147" t="str">
        <f t="shared" si="6"/>
        <v>0</v>
      </c>
      <c r="J214" s="148" t="b">
        <f t="shared" si="7"/>
        <v>0</v>
      </c>
      <c r="K214" s="149">
        <f>'Jrnl Rev'!$G219</f>
        <v>0</v>
      </c>
      <c r="L214" s="150"/>
      <c r="M214" s="151"/>
      <c r="N214" s="152"/>
    </row>
    <row r="215" spans="2:14" s="1" customFormat="1" ht="30" hidden="1" customHeight="1" x14ac:dyDescent="0.15">
      <c r="B215" s="146">
        <f>IF(AND('Jrnl Rev'!G220&lt;&gt;"",'Jrnl Rev'!C220&lt;&gt;""),1,0)</f>
        <v>0</v>
      </c>
      <c r="C215" s="146">
        <f>'Jrnl Rev'!$C220</f>
        <v>0</v>
      </c>
      <c r="D215" s="147">
        <f>'Jrnl Rev'!$D220</f>
        <v>0</v>
      </c>
      <c r="E215" s="1510">
        <f>'Jrnl Rev'!$F220</f>
        <v>0</v>
      </c>
      <c r="F215" s="1510"/>
      <c r="G215" s="951" t="str">
        <f>IF('Jrnl Rev'!$E220="","",'Jrnl Rev'!$E220)</f>
        <v/>
      </c>
      <c r="H215" s="147">
        <f>'Jrnl Rev'!H220</f>
        <v>0</v>
      </c>
      <c r="I215" s="147" t="str">
        <f t="shared" si="6"/>
        <v>0</v>
      </c>
      <c r="J215" s="148" t="b">
        <f t="shared" si="7"/>
        <v>0</v>
      </c>
      <c r="K215" s="149">
        <f>'Jrnl Rev'!$G220</f>
        <v>0</v>
      </c>
      <c r="L215" s="150"/>
      <c r="M215" s="151"/>
      <c r="N215" s="152"/>
    </row>
    <row r="216" spans="2:14" s="1" customFormat="1" ht="30" hidden="1" customHeight="1" x14ac:dyDescent="0.15">
      <c r="B216" s="146">
        <f>IF(AND('Jrnl Rev'!G221&lt;&gt;"",'Jrnl Rev'!C221&lt;&gt;""),1,0)</f>
        <v>0</v>
      </c>
      <c r="C216" s="146">
        <f>'Jrnl Rev'!$C221</f>
        <v>0</v>
      </c>
      <c r="D216" s="147">
        <f>'Jrnl Rev'!$D221</f>
        <v>0</v>
      </c>
      <c r="E216" s="1510">
        <f>'Jrnl Rev'!$F221</f>
        <v>0</v>
      </c>
      <c r="F216" s="1510"/>
      <c r="G216" s="951" t="str">
        <f>IF('Jrnl Rev'!$E221="","",'Jrnl Rev'!$E221)</f>
        <v/>
      </c>
      <c r="H216" s="147">
        <f>'Jrnl Rev'!H221</f>
        <v>0</v>
      </c>
      <c r="I216" s="147" t="str">
        <f t="shared" si="6"/>
        <v>0</v>
      </c>
      <c r="J216" s="148" t="b">
        <f t="shared" si="7"/>
        <v>0</v>
      </c>
      <c r="K216" s="149">
        <f>'Jrnl Rev'!$G221</f>
        <v>0</v>
      </c>
      <c r="L216" s="150"/>
      <c r="M216" s="151"/>
      <c r="N216" s="152"/>
    </row>
    <row r="217" spans="2:14" s="1" customFormat="1" ht="30" hidden="1" customHeight="1" x14ac:dyDescent="0.15">
      <c r="B217" s="146">
        <f>IF(AND('Jrnl Rev'!G222&lt;&gt;"",'Jrnl Rev'!C222&lt;&gt;""),1,0)</f>
        <v>0</v>
      </c>
      <c r="C217" s="146">
        <f>'Jrnl Rev'!$C222</f>
        <v>0</v>
      </c>
      <c r="D217" s="147">
        <f>'Jrnl Rev'!$D222</f>
        <v>0</v>
      </c>
      <c r="E217" s="1510">
        <f>'Jrnl Rev'!$F222</f>
        <v>0</v>
      </c>
      <c r="F217" s="1510"/>
      <c r="G217" s="951" t="str">
        <f>IF('Jrnl Rev'!$E222="","",'Jrnl Rev'!$E222)</f>
        <v/>
      </c>
      <c r="H217" s="147">
        <f>'Jrnl Rev'!H222</f>
        <v>0</v>
      </c>
      <c r="I217" s="147" t="str">
        <f t="shared" si="6"/>
        <v>0</v>
      </c>
      <c r="J217" s="148" t="b">
        <f t="shared" si="7"/>
        <v>0</v>
      </c>
      <c r="K217" s="149">
        <f>'Jrnl Rev'!$G222</f>
        <v>0</v>
      </c>
      <c r="L217" s="150"/>
      <c r="M217" s="151"/>
      <c r="N217" s="152"/>
    </row>
    <row r="218" spans="2:14" s="1" customFormat="1" ht="30" hidden="1" customHeight="1" x14ac:dyDescent="0.15">
      <c r="B218" s="146">
        <f>IF(AND('Jrnl Rev'!G223&lt;&gt;"",'Jrnl Rev'!C223&lt;&gt;""),1,0)</f>
        <v>0</v>
      </c>
      <c r="C218" s="146">
        <f>'Jrnl Rev'!$C223</f>
        <v>0</v>
      </c>
      <c r="D218" s="147">
        <f>'Jrnl Rev'!$D223</f>
        <v>0</v>
      </c>
      <c r="E218" s="1510">
        <f>'Jrnl Rev'!$F223</f>
        <v>0</v>
      </c>
      <c r="F218" s="1510"/>
      <c r="G218" s="951" t="str">
        <f>IF('Jrnl Rev'!$E223="","",'Jrnl Rev'!$E223)</f>
        <v/>
      </c>
      <c r="H218" s="147">
        <f>'Jrnl Rev'!H223</f>
        <v>0</v>
      </c>
      <c r="I218" s="147" t="str">
        <f t="shared" si="6"/>
        <v>0</v>
      </c>
      <c r="J218" s="148" t="b">
        <f t="shared" si="7"/>
        <v>0</v>
      </c>
      <c r="K218" s="149">
        <f>'Jrnl Rev'!$G223</f>
        <v>0</v>
      </c>
      <c r="L218" s="150"/>
      <c r="M218" s="151"/>
      <c r="N218" s="152"/>
    </row>
    <row r="219" spans="2:14" s="1" customFormat="1" ht="30" hidden="1" customHeight="1" x14ac:dyDescent="0.15">
      <c r="B219" s="146">
        <f>IF(AND('Jrnl Rev'!G224&lt;&gt;"",'Jrnl Rev'!C224&lt;&gt;""),1,0)</f>
        <v>0</v>
      </c>
      <c r="C219" s="146">
        <f>'Jrnl Rev'!$C224</f>
        <v>0</v>
      </c>
      <c r="D219" s="147">
        <f>'Jrnl Rev'!$D224</f>
        <v>0</v>
      </c>
      <c r="E219" s="1510">
        <f>'Jrnl Rev'!$F224</f>
        <v>0</v>
      </c>
      <c r="F219" s="1510"/>
      <c r="G219" s="951" t="str">
        <f>IF('Jrnl Rev'!$E224="","",'Jrnl Rev'!$E224)</f>
        <v/>
      </c>
      <c r="H219" s="147">
        <f>'Jrnl Rev'!H224</f>
        <v>0</v>
      </c>
      <c r="I219" s="147" t="str">
        <f t="shared" si="6"/>
        <v>0</v>
      </c>
      <c r="J219" s="148" t="b">
        <f t="shared" si="7"/>
        <v>0</v>
      </c>
      <c r="K219" s="149">
        <f>'Jrnl Rev'!$G224</f>
        <v>0</v>
      </c>
      <c r="L219" s="150"/>
      <c r="M219" s="151"/>
      <c r="N219" s="152"/>
    </row>
    <row r="220" spans="2:14" s="1" customFormat="1" ht="30" hidden="1" customHeight="1" x14ac:dyDescent="0.15">
      <c r="B220" s="146">
        <f>IF(AND('Jrnl Rev'!G225&lt;&gt;"",'Jrnl Rev'!C225&lt;&gt;""),1,0)</f>
        <v>0</v>
      </c>
      <c r="C220" s="146">
        <f>'Jrnl Rev'!$C225</f>
        <v>0</v>
      </c>
      <c r="D220" s="147">
        <f>'Jrnl Rev'!$D225</f>
        <v>0</v>
      </c>
      <c r="E220" s="1510">
        <f>'Jrnl Rev'!$F225</f>
        <v>0</v>
      </c>
      <c r="F220" s="1510"/>
      <c r="G220" s="951" t="str">
        <f>IF('Jrnl Rev'!$E225="","",'Jrnl Rev'!$E225)</f>
        <v/>
      </c>
      <c r="H220" s="147">
        <f>'Jrnl Rev'!H225</f>
        <v>0</v>
      </c>
      <c r="I220" s="147" t="str">
        <f t="shared" si="6"/>
        <v>0</v>
      </c>
      <c r="J220" s="148" t="b">
        <f t="shared" si="7"/>
        <v>0</v>
      </c>
      <c r="K220" s="149">
        <f>'Jrnl Rev'!$G225</f>
        <v>0</v>
      </c>
      <c r="L220" s="150"/>
      <c r="M220" s="151"/>
      <c r="N220" s="152"/>
    </row>
    <row r="221" spans="2:14" s="1" customFormat="1" ht="30" hidden="1" customHeight="1" x14ac:dyDescent="0.15">
      <c r="B221" s="146">
        <f>IF(AND('Jrnl Rev'!G226&lt;&gt;"",'Jrnl Rev'!C226&lt;&gt;""),1,0)</f>
        <v>0</v>
      </c>
      <c r="C221" s="146">
        <f>'Jrnl Rev'!$C226</f>
        <v>0</v>
      </c>
      <c r="D221" s="147">
        <f>'Jrnl Rev'!$D226</f>
        <v>0</v>
      </c>
      <c r="E221" s="1510">
        <f>'Jrnl Rev'!$F226</f>
        <v>0</v>
      </c>
      <c r="F221" s="1510"/>
      <c r="G221" s="951" t="str">
        <f>IF('Jrnl Rev'!$E226="","",'Jrnl Rev'!$E226)</f>
        <v/>
      </c>
      <c r="H221" s="147">
        <f>'Jrnl Rev'!H226</f>
        <v>0</v>
      </c>
      <c r="I221" s="147" t="str">
        <f t="shared" si="6"/>
        <v>0</v>
      </c>
      <c r="J221" s="148" t="b">
        <f t="shared" si="7"/>
        <v>0</v>
      </c>
      <c r="K221" s="149">
        <f>'Jrnl Rev'!$G226</f>
        <v>0</v>
      </c>
      <c r="L221" s="150"/>
      <c r="M221" s="151"/>
      <c r="N221" s="152"/>
    </row>
    <row r="222" spans="2:14" s="1" customFormat="1" ht="30" hidden="1" customHeight="1" x14ac:dyDescent="0.15">
      <c r="B222" s="146">
        <f>IF(AND('Jrnl Rev'!G227&lt;&gt;"",'Jrnl Rev'!C227&lt;&gt;""),1,0)</f>
        <v>0</v>
      </c>
      <c r="C222" s="146">
        <f>'Jrnl Rev'!$C227</f>
        <v>0</v>
      </c>
      <c r="D222" s="147">
        <f>'Jrnl Rev'!$D227</f>
        <v>0</v>
      </c>
      <c r="E222" s="1510">
        <f>'Jrnl Rev'!$F227</f>
        <v>0</v>
      </c>
      <c r="F222" s="1510"/>
      <c r="G222" s="951" t="str">
        <f>IF('Jrnl Rev'!$E227="","",'Jrnl Rev'!$E227)</f>
        <v/>
      </c>
      <c r="H222" s="147">
        <f>'Jrnl Rev'!H227</f>
        <v>0</v>
      </c>
      <c r="I222" s="147" t="str">
        <f t="shared" si="6"/>
        <v>0</v>
      </c>
      <c r="J222" s="148" t="b">
        <f t="shared" si="7"/>
        <v>0</v>
      </c>
      <c r="K222" s="149">
        <f>'Jrnl Rev'!$G227</f>
        <v>0</v>
      </c>
      <c r="L222" s="150"/>
      <c r="M222" s="151"/>
      <c r="N222" s="152"/>
    </row>
    <row r="223" spans="2:14" s="1" customFormat="1" ht="30" hidden="1" customHeight="1" x14ac:dyDescent="0.15">
      <c r="B223" s="146">
        <f>IF(AND('Jrnl Rev'!G228&lt;&gt;"",'Jrnl Rev'!C228&lt;&gt;""),1,0)</f>
        <v>0</v>
      </c>
      <c r="C223" s="146">
        <f>'Jrnl Rev'!$C228</f>
        <v>0</v>
      </c>
      <c r="D223" s="147">
        <f>'Jrnl Rev'!$D228</f>
        <v>0</v>
      </c>
      <c r="E223" s="1510">
        <f>'Jrnl Rev'!$F228</f>
        <v>0</v>
      </c>
      <c r="F223" s="1510"/>
      <c r="G223" s="951" t="str">
        <f>IF('Jrnl Rev'!$E228="","",'Jrnl Rev'!$E228)</f>
        <v/>
      </c>
      <c r="H223" s="147">
        <f>'Jrnl Rev'!H228</f>
        <v>0</v>
      </c>
      <c r="I223" s="147" t="str">
        <f t="shared" si="6"/>
        <v>0</v>
      </c>
      <c r="J223" s="148" t="b">
        <f t="shared" si="7"/>
        <v>0</v>
      </c>
      <c r="K223" s="149">
        <f>'Jrnl Rev'!$G228</f>
        <v>0</v>
      </c>
      <c r="L223" s="150"/>
      <c r="M223" s="151"/>
      <c r="N223" s="152"/>
    </row>
    <row r="224" spans="2:14" s="1" customFormat="1" ht="30" hidden="1" customHeight="1" x14ac:dyDescent="0.15">
      <c r="B224" s="146">
        <f>IF(AND('Jrnl Rev'!G229&lt;&gt;"",'Jrnl Rev'!C229&lt;&gt;""),1,0)</f>
        <v>0</v>
      </c>
      <c r="C224" s="146">
        <f>'Jrnl Rev'!$C229</f>
        <v>0</v>
      </c>
      <c r="D224" s="147">
        <f>'Jrnl Rev'!$D229</f>
        <v>0</v>
      </c>
      <c r="E224" s="1510">
        <f>'Jrnl Rev'!$F229</f>
        <v>0</v>
      </c>
      <c r="F224" s="1510"/>
      <c r="G224" s="951" t="str">
        <f>IF('Jrnl Rev'!$E229="","",'Jrnl Rev'!$E229)</f>
        <v/>
      </c>
      <c r="H224" s="147">
        <f>'Jrnl Rev'!H229</f>
        <v>0</v>
      </c>
      <c r="I224" s="147" t="str">
        <f t="shared" si="6"/>
        <v>0</v>
      </c>
      <c r="J224" s="148" t="b">
        <f t="shared" si="7"/>
        <v>0</v>
      </c>
      <c r="K224" s="149">
        <f>'Jrnl Rev'!$G229</f>
        <v>0</v>
      </c>
      <c r="L224" s="150"/>
      <c r="M224" s="151"/>
      <c r="N224" s="152"/>
    </row>
    <row r="225" spans="2:14" s="1" customFormat="1" ht="30" hidden="1" customHeight="1" x14ac:dyDescent="0.15">
      <c r="B225" s="146">
        <f>IF(AND('Jrnl Rev'!G230&lt;&gt;"",'Jrnl Rev'!C230&lt;&gt;""),1,0)</f>
        <v>0</v>
      </c>
      <c r="C225" s="146">
        <f>'Jrnl Rev'!$C230</f>
        <v>0</v>
      </c>
      <c r="D225" s="147">
        <f>'Jrnl Rev'!$D230</f>
        <v>0</v>
      </c>
      <c r="E225" s="1510">
        <f>'Jrnl Rev'!$F230</f>
        <v>0</v>
      </c>
      <c r="F225" s="1510"/>
      <c r="G225" s="951" t="str">
        <f>IF('Jrnl Rev'!$E230="","",'Jrnl Rev'!$E230)</f>
        <v/>
      </c>
      <c r="H225" s="147">
        <f>'Jrnl Rev'!H230</f>
        <v>0</v>
      </c>
      <c r="I225" s="147" t="str">
        <f t="shared" si="6"/>
        <v>0</v>
      </c>
      <c r="J225" s="148" t="b">
        <f t="shared" si="7"/>
        <v>0</v>
      </c>
      <c r="K225" s="149">
        <f>'Jrnl Rev'!$G230</f>
        <v>0</v>
      </c>
      <c r="L225" s="150"/>
      <c r="M225" s="151"/>
      <c r="N225" s="152"/>
    </row>
    <row r="226" spans="2:14" s="1" customFormat="1" ht="30" hidden="1" customHeight="1" x14ac:dyDescent="0.15">
      <c r="B226" s="146">
        <f>IF(AND('Jrnl Rev'!G231&lt;&gt;"",'Jrnl Rev'!C231&lt;&gt;""),1,0)</f>
        <v>0</v>
      </c>
      <c r="C226" s="146">
        <f>'Jrnl Rev'!$C231</f>
        <v>0</v>
      </c>
      <c r="D226" s="147">
        <f>'Jrnl Rev'!$D231</f>
        <v>0</v>
      </c>
      <c r="E226" s="1510">
        <f>'Jrnl Rev'!$F231</f>
        <v>0</v>
      </c>
      <c r="F226" s="1510"/>
      <c r="G226" s="951" t="str">
        <f>IF('Jrnl Rev'!$E231="","",'Jrnl Rev'!$E231)</f>
        <v/>
      </c>
      <c r="H226" s="147">
        <f>'Jrnl Rev'!H231</f>
        <v>0</v>
      </c>
      <c r="I226" s="147" t="str">
        <f t="shared" si="6"/>
        <v>0</v>
      </c>
      <c r="J226" s="148" t="b">
        <f t="shared" si="7"/>
        <v>0</v>
      </c>
      <c r="K226" s="149">
        <f>'Jrnl Rev'!$G231</f>
        <v>0</v>
      </c>
      <c r="L226" s="150"/>
      <c r="M226" s="151"/>
      <c r="N226" s="152"/>
    </row>
    <row r="227" spans="2:14" s="1" customFormat="1" ht="30" hidden="1" customHeight="1" x14ac:dyDescent="0.15">
      <c r="B227" s="146">
        <f>IF(AND('Jrnl Rev'!G232&lt;&gt;"",'Jrnl Rev'!C232&lt;&gt;""),1,0)</f>
        <v>0</v>
      </c>
      <c r="C227" s="146">
        <f>'Jrnl Rev'!$C232</f>
        <v>0</v>
      </c>
      <c r="D227" s="147">
        <f>'Jrnl Rev'!$D232</f>
        <v>0</v>
      </c>
      <c r="E227" s="1510">
        <f>'Jrnl Rev'!$F232</f>
        <v>0</v>
      </c>
      <c r="F227" s="1510"/>
      <c r="G227" s="951" t="str">
        <f>IF('Jrnl Rev'!$E232="","",'Jrnl Rev'!$E232)</f>
        <v/>
      </c>
      <c r="H227" s="147">
        <f>'Jrnl Rev'!H232</f>
        <v>0</v>
      </c>
      <c r="I227" s="147" t="str">
        <f t="shared" si="6"/>
        <v>0</v>
      </c>
      <c r="J227" s="148" t="b">
        <f t="shared" si="7"/>
        <v>0</v>
      </c>
      <c r="K227" s="149">
        <f>'Jrnl Rev'!$G232</f>
        <v>0</v>
      </c>
      <c r="L227" s="150"/>
      <c r="M227" s="151"/>
      <c r="N227" s="152"/>
    </row>
    <row r="228" spans="2:14" s="1" customFormat="1" ht="30" hidden="1" customHeight="1" x14ac:dyDescent="0.15">
      <c r="B228" s="146">
        <f>IF(AND('Jrnl Rev'!G233&lt;&gt;"",'Jrnl Rev'!C233&lt;&gt;""),1,0)</f>
        <v>0</v>
      </c>
      <c r="C228" s="146">
        <f>'Jrnl Rev'!$C233</f>
        <v>0</v>
      </c>
      <c r="D228" s="147">
        <f>'Jrnl Rev'!$D233</f>
        <v>0</v>
      </c>
      <c r="E228" s="1510">
        <f>'Jrnl Rev'!$F233</f>
        <v>0</v>
      </c>
      <c r="F228" s="1510"/>
      <c r="G228" s="951" t="str">
        <f>IF('Jrnl Rev'!$E233="","",'Jrnl Rev'!$E233)</f>
        <v/>
      </c>
      <c r="H228" s="147">
        <f>'Jrnl Rev'!H233</f>
        <v>0</v>
      </c>
      <c r="I228" s="147" t="str">
        <f t="shared" si="6"/>
        <v>0</v>
      </c>
      <c r="J228" s="148" t="b">
        <f t="shared" si="7"/>
        <v>0</v>
      </c>
      <c r="K228" s="149">
        <f>'Jrnl Rev'!$G233</f>
        <v>0</v>
      </c>
      <c r="L228" s="150"/>
      <c r="M228" s="151"/>
      <c r="N228" s="152"/>
    </row>
    <row r="229" spans="2:14" s="1" customFormat="1" ht="30" hidden="1" customHeight="1" x14ac:dyDescent="0.15">
      <c r="B229" s="146">
        <f>IF(AND('Jrnl Rev'!G234&lt;&gt;"",'Jrnl Rev'!C234&lt;&gt;""),1,0)</f>
        <v>0</v>
      </c>
      <c r="C229" s="146">
        <f>'Jrnl Rev'!$C234</f>
        <v>0</v>
      </c>
      <c r="D229" s="147">
        <f>'Jrnl Rev'!$D234</f>
        <v>0</v>
      </c>
      <c r="E229" s="1510">
        <f>'Jrnl Rev'!$F234</f>
        <v>0</v>
      </c>
      <c r="F229" s="1510"/>
      <c r="G229" s="951" t="str">
        <f>IF('Jrnl Rev'!$E234="","",'Jrnl Rev'!$E234)</f>
        <v/>
      </c>
      <c r="H229" s="147">
        <f>'Jrnl Rev'!H234</f>
        <v>0</v>
      </c>
      <c r="I229" s="147" t="str">
        <f t="shared" si="6"/>
        <v>0</v>
      </c>
      <c r="J229" s="148" t="b">
        <f t="shared" si="7"/>
        <v>0</v>
      </c>
      <c r="K229" s="149">
        <f>'Jrnl Rev'!$G234</f>
        <v>0</v>
      </c>
      <c r="L229" s="150"/>
      <c r="M229" s="151"/>
      <c r="N229" s="152"/>
    </row>
    <row r="230" spans="2:14" s="1" customFormat="1" ht="30" hidden="1" customHeight="1" x14ac:dyDescent="0.15">
      <c r="B230" s="146">
        <f>IF(AND('Jrnl Rev'!G235&lt;&gt;"",'Jrnl Rev'!C235&lt;&gt;""),1,0)</f>
        <v>0</v>
      </c>
      <c r="C230" s="146">
        <f>'Jrnl Rev'!$C235</f>
        <v>0</v>
      </c>
      <c r="D230" s="147">
        <f>'Jrnl Rev'!$D235</f>
        <v>0</v>
      </c>
      <c r="E230" s="1510">
        <f>'Jrnl Rev'!$F235</f>
        <v>0</v>
      </c>
      <c r="F230" s="1510"/>
      <c r="G230" s="951" t="str">
        <f>IF('Jrnl Rev'!$E235="","",'Jrnl Rev'!$E235)</f>
        <v/>
      </c>
      <c r="H230" s="147">
        <f>'Jrnl Rev'!H235</f>
        <v>0</v>
      </c>
      <c r="I230" s="147" t="str">
        <f t="shared" si="6"/>
        <v>0</v>
      </c>
      <c r="J230" s="148" t="b">
        <f t="shared" si="7"/>
        <v>0</v>
      </c>
      <c r="K230" s="149">
        <f>'Jrnl Rev'!$G235</f>
        <v>0</v>
      </c>
      <c r="L230" s="150"/>
      <c r="M230" s="151"/>
      <c r="N230" s="152"/>
    </row>
    <row r="231" spans="2:14" s="1" customFormat="1" ht="30" hidden="1" customHeight="1" x14ac:dyDescent="0.15">
      <c r="B231" s="146">
        <f>IF(AND('Jrnl Rev'!G236&lt;&gt;"",'Jrnl Rev'!C236&lt;&gt;""),1,0)</f>
        <v>0</v>
      </c>
      <c r="C231" s="146">
        <f>'Jrnl Rev'!$C236</f>
        <v>0</v>
      </c>
      <c r="D231" s="147">
        <f>'Jrnl Rev'!$D236</f>
        <v>0</v>
      </c>
      <c r="E231" s="1510">
        <f>'Jrnl Rev'!$F236</f>
        <v>0</v>
      </c>
      <c r="F231" s="1510"/>
      <c r="G231" s="951" t="str">
        <f>IF('Jrnl Rev'!$E236="","",'Jrnl Rev'!$E236)</f>
        <v/>
      </c>
      <c r="H231" s="147">
        <f>'Jrnl Rev'!H236</f>
        <v>0</v>
      </c>
      <c r="I231" s="147" t="str">
        <f t="shared" si="6"/>
        <v>0</v>
      </c>
      <c r="J231" s="148" t="b">
        <f t="shared" si="7"/>
        <v>0</v>
      </c>
      <c r="K231" s="149">
        <f>'Jrnl Rev'!$G236</f>
        <v>0</v>
      </c>
      <c r="L231" s="150"/>
      <c r="M231" s="151"/>
      <c r="N231" s="152"/>
    </row>
    <row r="232" spans="2:14" s="1" customFormat="1" ht="30" hidden="1" customHeight="1" x14ac:dyDescent="0.15">
      <c r="B232" s="146">
        <f>IF(AND('Jrnl Rev'!G237&lt;&gt;"",'Jrnl Rev'!C237&lt;&gt;""),1,0)</f>
        <v>0</v>
      </c>
      <c r="C232" s="146">
        <f>'Jrnl Rev'!$C237</f>
        <v>0</v>
      </c>
      <c r="D232" s="147">
        <f>'Jrnl Rev'!$D237</f>
        <v>0</v>
      </c>
      <c r="E232" s="1510">
        <f>'Jrnl Rev'!$F237</f>
        <v>0</v>
      </c>
      <c r="F232" s="1510"/>
      <c r="G232" s="951" t="str">
        <f>IF('Jrnl Rev'!$E237="","",'Jrnl Rev'!$E237)</f>
        <v/>
      </c>
      <c r="H232" s="147">
        <f>'Jrnl Rev'!H237</f>
        <v>0</v>
      </c>
      <c r="I232" s="147" t="str">
        <f t="shared" si="6"/>
        <v>0</v>
      </c>
      <c r="J232" s="148" t="b">
        <f t="shared" si="7"/>
        <v>0</v>
      </c>
      <c r="K232" s="149">
        <f>'Jrnl Rev'!$G237</f>
        <v>0</v>
      </c>
      <c r="L232" s="150"/>
      <c r="M232" s="151"/>
      <c r="N232" s="152"/>
    </row>
    <row r="233" spans="2:14" s="1" customFormat="1" ht="30" hidden="1" customHeight="1" x14ac:dyDescent="0.15">
      <c r="B233" s="146">
        <f>IF(AND('Jrnl Rev'!G238&lt;&gt;"",'Jrnl Rev'!C238&lt;&gt;""),1,0)</f>
        <v>0</v>
      </c>
      <c r="C233" s="146">
        <f>'Jrnl Rev'!$C238</f>
        <v>0</v>
      </c>
      <c r="D233" s="147">
        <f>'Jrnl Rev'!$D238</f>
        <v>0</v>
      </c>
      <c r="E233" s="1510">
        <f>'Jrnl Rev'!$F238</f>
        <v>0</v>
      </c>
      <c r="F233" s="1510"/>
      <c r="G233" s="951" t="str">
        <f>IF('Jrnl Rev'!$E238="","",'Jrnl Rev'!$E238)</f>
        <v/>
      </c>
      <c r="H233" s="147">
        <f>'Jrnl Rev'!H238</f>
        <v>0</v>
      </c>
      <c r="I233" s="147" t="str">
        <f t="shared" si="6"/>
        <v>0</v>
      </c>
      <c r="J233" s="148" t="b">
        <f t="shared" si="7"/>
        <v>0</v>
      </c>
      <c r="K233" s="149">
        <f>'Jrnl Rev'!$G238</f>
        <v>0</v>
      </c>
      <c r="L233" s="150"/>
      <c r="M233" s="151"/>
      <c r="N233" s="152"/>
    </row>
    <row r="234" spans="2:14" s="1" customFormat="1" ht="30" hidden="1" customHeight="1" x14ac:dyDescent="0.15">
      <c r="B234" s="146">
        <f>IF(AND('Jrnl Rev'!G239&lt;&gt;"",'Jrnl Rev'!C239&lt;&gt;""),1,0)</f>
        <v>0</v>
      </c>
      <c r="C234" s="146">
        <f>'Jrnl Rev'!$C239</f>
        <v>0</v>
      </c>
      <c r="D234" s="147">
        <f>'Jrnl Rev'!$D239</f>
        <v>0</v>
      </c>
      <c r="E234" s="1510">
        <f>'Jrnl Rev'!$F239</f>
        <v>0</v>
      </c>
      <c r="F234" s="1510"/>
      <c r="G234" s="951" t="str">
        <f>IF('Jrnl Rev'!$E239="","",'Jrnl Rev'!$E239)</f>
        <v/>
      </c>
      <c r="H234" s="147">
        <f>'Jrnl Rev'!H239</f>
        <v>0</v>
      </c>
      <c r="I234" s="147" t="str">
        <f t="shared" si="6"/>
        <v>0</v>
      </c>
      <c r="J234" s="148" t="b">
        <f t="shared" si="7"/>
        <v>0</v>
      </c>
      <c r="K234" s="149">
        <f>'Jrnl Rev'!$G239</f>
        <v>0</v>
      </c>
      <c r="L234" s="150"/>
      <c r="M234" s="151"/>
      <c r="N234" s="152"/>
    </row>
    <row r="235" spans="2:14" s="1" customFormat="1" ht="30" hidden="1" customHeight="1" x14ac:dyDescent="0.15">
      <c r="B235" s="146">
        <f>IF(AND('Jrnl Rev'!G240&lt;&gt;"",'Jrnl Rev'!C240&lt;&gt;""),1,0)</f>
        <v>0</v>
      </c>
      <c r="C235" s="146">
        <f>'Jrnl Rev'!$C240</f>
        <v>0</v>
      </c>
      <c r="D235" s="147">
        <f>'Jrnl Rev'!$D240</f>
        <v>0</v>
      </c>
      <c r="E235" s="1510">
        <f>'Jrnl Rev'!$F240</f>
        <v>0</v>
      </c>
      <c r="F235" s="1510"/>
      <c r="G235" s="951" t="str">
        <f>IF('Jrnl Rev'!$E240="","",'Jrnl Rev'!$E240)</f>
        <v/>
      </c>
      <c r="H235" s="147">
        <f>'Jrnl Rev'!H240</f>
        <v>0</v>
      </c>
      <c r="I235" s="147" t="str">
        <f t="shared" si="6"/>
        <v>0</v>
      </c>
      <c r="J235" s="148" t="b">
        <f t="shared" si="7"/>
        <v>0</v>
      </c>
      <c r="K235" s="149">
        <f>'Jrnl Rev'!$G240</f>
        <v>0</v>
      </c>
      <c r="L235" s="150"/>
      <c r="M235" s="151"/>
      <c r="N235" s="152"/>
    </row>
    <row r="236" spans="2:14" s="1" customFormat="1" ht="30" hidden="1" customHeight="1" x14ac:dyDescent="0.15">
      <c r="B236" s="146">
        <f>IF(AND('Jrnl Rev'!G241&lt;&gt;"",'Jrnl Rev'!C241&lt;&gt;""),1,0)</f>
        <v>0</v>
      </c>
      <c r="C236" s="146">
        <f>'Jrnl Rev'!$C241</f>
        <v>0</v>
      </c>
      <c r="D236" s="147">
        <f>'Jrnl Rev'!$D241</f>
        <v>0</v>
      </c>
      <c r="E236" s="1510">
        <f>'Jrnl Rev'!$F241</f>
        <v>0</v>
      </c>
      <c r="F236" s="1510"/>
      <c r="G236" s="951" t="str">
        <f>IF('Jrnl Rev'!$E241="","",'Jrnl Rev'!$E241)</f>
        <v/>
      </c>
      <c r="H236" s="147">
        <f>'Jrnl Rev'!H241</f>
        <v>0</v>
      </c>
      <c r="I236" s="147" t="str">
        <f t="shared" si="6"/>
        <v>0</v>
      </c>
      <c r="J236" s="148" t="b">
        <f t="shared" si="7"/>
        <v>0</v>
      </c>
      <c r="K236" s="149">
        <f>'Jrnl Rev'!$G241</f>
        <v>0</v>
      </c>
      <c r="L236" s="150"/>
      <c r="M236" s="151"/>
      <c r="N236" s="152"/>
    </row>
    <row r="237" spans="2:14" s="1" customFormat="1" ht="30" hidden="1" customHeight="1" x14ac:dyDescent="0.15">
      <c r="B237" s="146">
        <f>IF(AND('Jrnl Rev'!G242&lt;&gt;"",'Jrnl Rev'!C242&lt;&gt;""),1,0)</f>
        <v>0</v>
      </c>
      <c r="C237" s="146">
        <f>'Jrnl Rev'!$C242</f>
        <v>0</v>
      </c>
      <c r="D237" s="147">
        <f>'Jrnl Rev'!$D242</f>
        <v>0</v>
      </c>
      <c r="E237" s="1510">
        <f>'Jrnl Rev'!$F242</f>
        <v>0</v>
      </c>
      <c r="F237" s="1510"/>
      <c r="G237" s="951" t="str">
        <f>IF('Jrnl Rev'!$E242="","",'Jrnl Rev'!$E242)</f>
        <v/>
      </c>
      <c r="H237" s="147">
        <f>'Jrnl Rev'!H242</f>
        <v>0</v>
      </c>
      <c r="I237" s="147" t="str">
        <f t="shared" si="6"/>
        <v>0</v>
      </c>
      <c r="J237" s="148" t="b">
        <f t="shared" si="7"/>
        <v>0</v>
      </c>
      <c r="K237" s="149">
        <f>'Jrnl Rev'!$G242</f>
        <v>0</v>
      </c>
      <c r="L237" s="150"/>
      <c r="M237" s="151"/>
      <c r="N237" s="152"/>
    </row>
    <row r="238" spans="2:14" s="1" customFormat="1" ht="30" hidden="1" customHeight="1" x14ac:dyDescent="0.15">
      <c r="B238" s="146">
        <f>IF(AND('Jrnl Rev'!G243&lt;&gt;"",'Jrnl Rev'!C243&lt;&gt;""),1,0)</f>
        <v>0</v>
      </c>
      <c r="C238" s="146">
        <f>'Jrnl Rev'!$C243</f>
        <v>0</v>
      </c>
      <c r="D238" s="147">
        <f>'Jrnl Rev'!$D243</f>
        <v>0</v>
      </c>
      <c r="E238" s="1510">
        <f>'Jrnl Rev'!$F243</f>
        <v>0</v>
      </c>
      <c r="F238" s="1510"/>
      <c r="G238" s="951" t="str">
        <f>IF('Jrnl Rev'!$E243="","",'Jrnl Rev'!$E243)</f>
        <v/>
      </c>
      <c r="H238" s="147">
        <f>'Jrnl Rev'!H243</f>
        <v>0</v>
      </c>
      <c r="I238" s="147" t="str">
        <f t="shared" si="6"/>
        <v>0</v>
      </c>
      <c r="J238" s="148" t="b">
        <f t="shared" si="7"/>
        <v>0</v>
      </c>
      <c r="K238" s="149">
        <f>'Jrnl Rev'!$G243</f>
        <v>0</v>
      </c>
      <c r="L238" s="150"/>
      <c r="M238" s="151"/>
      <c r="N238" s="152"/>
    </row>
    <row r="239" spans="2:14" s="1" customFormat="1" ht="30" hidden="1" customHeight="1" x14ac:dyDescent="0.15">
      <c r="B239" s="146">
        <f>IF(AND('Jrnl Rev'!G244&lt;&gt;"",'Jrnl Rev'!C244&lt;&gt;""),1,0)</f>
        <v>0</v>
      </c>
      <c r="C239" s="146">
        <f>'Jrnl Rev'!$C244</f>
        <v>0</v>
      </c>
      <c r="D239" s="147">
        <f>'Jrnl Rev'!$D244</f>
        <v>0</v>
      </c>
      <c r="E239" s="1510">
        <f>'Jrnl Rev'!$F244</f>
        <v>0</v>
      </c>
      <c r="F239" s="1510"/>
      <c r="G239" s="951" t="str">
        <f>IF('Jrnl Rev'!$E244="","",'Jrnl Rev'!$E244)</f>
        <v/>
      </c>
      <c r="H239" s="147">
        <f>'Jrnl Rev'!H244</f>
        <v>0</v>
      </c>
      <c r="I239" s="147" t="str">
        <f t="shared" si="6"/>
        <v>0</v>
      </c>
      <c r="J239" s="148" t="b">
        <f t="shared" si="7"/>
        <v>0</v>
      </c>
      <c r="K239" s="149">
        <f>'Jrnl Rev'!$G244</f>
        <v>0</v>
      </c>
      <c r="L239" s="150"/>
      <c r="M239" s="151"/>
      <c r="N239" s="152"/>
    </row>
    <row r="240" spans="2:14" s="1" customFormat="1" ht="30" hidden="1" customHeight="1" x14ac:dyDescent="0.15">
      <c r="B240" s="146">
        <f>IF(AND('Jrnl Rev'!G245&lt;&gt;"",'Jrnl Rev'!C245&lt;&gt;""),1,0)</f>
        <v>0</v>
      </c>
      <c r="C240" s="146">
        <f>'Jrnl Rev'!$C245</f>
        <v>0</v>
      </c>
      <c r="D240" s="147">
        <f>'Jrnl Rev'!$D245</f>
        <v>0</v>
      </c>
      <c r="E240" s="1510">
        <f>'Jrnl Rev'!$F245</f>
        <v>0</v>
      </c>
      <c r="F240" s="1510"/>
      <c r="G240" s="951" t="str">
        <f>IF('Jrnl Rev'!$E245="","",'Jrnl Rev'!$E245)</f>
        <v/>
      </c>
      <c r="H240" s="147">
        <f>'Jrnl Rev'!H245</f>
        <v>0</v>
      </c>
      <c r="I240" s="147" t="str">
        <f t="shared" si="6"/>
        <v>0</v>
      </c>
      <c r="J240" s="148" t="b">
        <f t="shared" si="7"/>
        <v>0</v>
      </c>
      <c r="K240" s="149">
        <f>'Jrnl Rev'!$G245</f>
        <v>0</v>
      </c>
      <c r="L240" s="150"/>
      <c r="M240" s="151"/>
      <c r="N240" s="152"/>
    </row>
    <row r="241" spans="2:14" s="1" customFormat="1" ht="30" hidden="1" customHeight="1" x14ac:dyDescent="0.15">
      <c r="B241" s="146">
        <f>IF(AND('Jrnl Rev'!G246&lt;&gt;"",'Jrnl Rev'!C246&lt;&gt;""),1,0)</f>
        <v>0</v>
      </c>
      <c r="C241" s="146">
        <f>'Jrnl Rev'!$C246</f>
        <v>0</v>
      </c>
      <c r="D241" s="147">
        <f>'Jrnl Rev'!$D246</f>
        <v>0</v>
      </c>
      <c r="E241" s="1510">
        <f>'Jrnl Rev'!$F246</f>
        <v>0</v>
      </c>
      <c r="F241" s="1510"/>
      <c r="G241" s="951" t="str">
        <f>IF('Jrnl Rev'!$E246="","",'Jrnl Rev'!$E246)</f>
        <v/>
      </c>
      <c r="H241" s="147">
        <f>'Jrnl Rev'!H246</f>
        <v>0</v>
      </c>
      <c r="I241" s="147" t="str">
        <f t="shared" si="6"/>
        <v>0</v>
      </c>
      <c r="J241" s="148" t="b">
        <f t="shared" si="7"/>
        <v>0</v>
      </c>
      <c r="K241" s="149">
        <f>'Jrnl Rev'!$G246</f>
        <v>0</v>
      </c>
      <c r="L241" s="150"/>
      <c r="M241" s="151"/>
      <c r="N241" s="152"/>
    </row>
    <row r="242" spans="2:14" s="1" customFormat="1" ht="30" hidden="1" customHeight="1" x14ac:dyDescent="0.15">
      <c r="B242" s="146">
        <f>IF(AND('Jrnl Rev'!G247&lt;&gt;"",'Jrnl Rev'!C247&lt;&gt;""),1,0)</f>
        <v>0</v>
      </c>
      <c r="C242" s="146">
        <f>'Jrnl Rev'!$C247</f>
        <v>0</v>
      </c>
      <c r="D242" s="147">
        <f>'Jrnl Rev'!$D247</f>
        <v>0</v>
      </c>
      <c r="E242" s="1510">
        <f>'Jrnl Rev'!$F247</f>
        <v>0</v>
      </c>
      <c r="F242" s="1510"/>
      <c r="G242" s="951" t="str">
        <f>IF('Jrnl Rev'!$E247="","",'Jrnl Rev'!$E247)</f>
        <v/>
      </c>
      <c r="H242" s="147">
        <f>'Jrnl Rev'!H247</f>
        <v>0</v>
      </c>
      <c r="I242" s="147" t="str">
        <f t="shared" si="6"/>
        <v>0</v>
      </c>
      <c r="J242" s="148" t="b">
        <f t="shared" si="7"/>
        <v>0</v>
      </c>
      <c r="K242" s="149">
        <f>'Jrnl Rev'!$G247</f>
        <v>0</v>
      </c>
      <c r="L242" s="150"/>
      <c r="M242" s="151"/>
      <c r="N242" s="152"/>
    </row>
    <row r="243" spans="2:14" s="1" customFormat="1" ht="30" hidden="1" customHeight="1" x14ac:dyDescent="0.15">
      <c r="B243" s="146">
        <f>IF(AND('Jrnl Rev'!G248&lt;&gt;"",'Jrnl Rev'!C248&lt;&gt;""),1,0)</f>
        <v>0</v>
      </c>
      <c r="C243" s="146">
        <f>'Jrnl Rev'!$C248</f>
        <v>0</v>
      </c>
      <c r="D243" s="147">
        <f>'Jrnl Rev'!$D248</f>
        <v>0</v>
      </c>
      <c r="E243" s="1510">
        <f>'Jrnl Rev'!$F248</f>
        <v>0</v>
      </c>
      <c r="F243" s="1510"/>
      <c r="G243" s="951" t="str">
        <f>IF('Jrnl Rev'!$E248="","",'Jrnl Rev'!$E248)</f>
        <v/>
      </c>
      <c r="H243" s="147">
        <f>'Jrnl Rev'!H248</f>
        <v>0</v>
      </c>
      <c r="I243" s="147" t="str">
        <f t="shared" si="6"/>
        <v>0</v>
      </c>
      <c r="J243" s="148" t="b">
        <f t="shared" si="7"/>
        <v>0</v>
      </c>
      <c r="K243" s="149">
        <f>'Jrnl Rev'!$G248</f>
        <v>0</v>
      </c>
      <c r="L243" s="150"/>
      <c r="M243" s="151"/>
      <c r="N243" s="152"/>
    </row>
    <row r="244" spans="2:14" s="1" customFormat="1" ht="30" hidden="1" customHeight="1" x14ac:dyDescent="0.15">
      <c r="B244" s="146">
        <f>IF(AND('Jrnl Rev'!G249&lt;&gt;"",'Jrnl Rev'!C249&lt;&gt;""),1,0)</f>
        <v>0</v>
      </c>
      <c r="C244" s="146">
        <f>'Jrnl Rev'!$C249</f>
        <v>0</v>
      </c>
      <c r="D244" s="147">
        <f>'Jrnl Rev'!$D249</f>
        <v>0</v>
      </c>
      <c r="E244" s="1510">
        <f>'Jrnl Rev'!$F249</f>
        <v>0</v>
      </c>
      <c r="F244" s="1510"/>
      <c r="G244" s="951" t="str">
        <f>IF('Jrnl Rev'!$E249="","",'Jrnl Rev'!$E249)</f>
        <v/>
      </c>
      <c r="H244" s="147">
        <f>'Jrnl Rev'!H249</f>
        <v>0</v>
      </c>
      <c r="I244" s="147" t="str">
        <f t="shared" si="6"/>
        <v>0</v>
      </c>
      <c r="J244" s="148" t="b">
        <f t="shared" si="7"/>
        <v>0</v>
      </c>
      <c r="K244" s="149">
        <f>'Jrnl Rev'!$G249</f>
        <v>0</v>
      </c>
      <c r="L244" s="150"/>
      <c r="M244" s="151"/>
      <c r="N244" s="152"/>
    </row>
    <row r="245" spans="2:14" s="1" customFormat="1" ht="30" hidden="1" customHeight="1" x14ac:dyDescent="0.15">
      <c r="B245" s="146">
        <f>IF(AND('Jrnl Rev'!G250&lt;&gt;"",'Jrnl Rev'!C250&lt;&gt;""),1,0)</f>
        <v>0</v>
      </c>
      <c r="C245" s="146">
        <f>'Jrnl Rev'!$C250</f>
        <v>0</v>
      </c>
      <c r="D245" s="147">
        <f>'Jrnl Rev'!$D250</f>
        <v>0</v>
      </c>
      <c r="E245" s="1510">
        <f>'Jrnl Rev'!$F250</f>
        <v>0</v>
      </c>
      <c r="F245" s="1510"/>
      <c r="G245" s="951" t="str">
        <f>IF('Jrnl Rev'!$E250="","",'Jrnl Rev'!$E250)</f>
        <v/>
      </c>
      <c r="H245" s="147">
        <f>'Jrnl Rev'!H250</f>
        <v>0</v>
      </c>
      <c r="I245" s="147" t="str">
        <f t="shared" si="6"/>
        <v>0</v>
      </c>
      <c r="J245" s="148" t="b">
        <f t="shared" si="7"/>
        <v>0</v>
      </c>
      <c r="K245" s="149">
        <f>'Jrnl Rev'!$G250</f>
        <v>0</v>
      </c>
      <c r="L245" s="150"/>
      <c r="M245" s="151"/>
      <c r="N245" s="152"/>
    </row>
    <row r="246" spans="2:14" s="1" customFormat="1" ht="30" hidden="1" customHeight="1" x14ac:dyDescent="0.15">
      <c r="B246" s="146">
        <f>IF(AND('Jrnl Rev'!G251&lt;&gt;"",'Jrnl Rev'!C251&lt;&gt;""),1,0)</f>
        <v>0</v>
      </c>
      <c r="C246" s="146">
        <f>'Jrnl Rev'!$C251</f>
        <v>0</v>
      </c>
      <c r="D246" s="147">
        <f>'Jrnl Rev'!$D251</f>
        <v>0</v>
      </c>
      <c r="E246" s="1510">
        <f>'Jrnl Rev'!$F251</f>
        <v>0</v>
      </c>
      <c r="F246" s="1510"/>
      <c r="G246" s="951" t="str">
        <f>IF('Jrnl Rev'!$E251="","",'Jrnl Rev'!$E251)</f>
        <v/>
      </c>
      <c r="H246" s="147">
        <f>'Jrnl Rev'!H251</f>
        <v>0</v>
      </c>
      <c r="I246" s="147" t="str">
        <f t="shared" si="6"/>
        <v>0</v>
      </c>
      <c r="J246" s="148" t="b">
        <f t="shared" si="7"/>
        <v>0</v>
      </c>
      <c r="K246" s="149">
        <f>'Jrnl Rev'!$G251</f>
        <v>0</v>
      </c>
      <c r="L246" s="150"/>
      <c r="M246" s="151"/>
      <c r="N246" s="152"/>
    </row>
    <row r="247" spans="2:14" s="1" customFormat="1" ht="30" hidden="1" customHeight="1" x14ac:dyDescent="0.15">
      <c r="B247" s="146">
        <f>IF(AND('Jrnl Rev'!G252&lt;&gt;"",'Jrnl Rev'!C252&lt;&gt;""),1,0)</f>
        <v>0</v>
      </c>
      <c r="C247" s="146">
        <f>'Jrnl Rev'!$C252</f>
        <v>0</v>
      </c>
      <c r="D247" s="147">
        <f>'Jrnl Rev'!$D252</f>
        <v>0</v>
      </c>
      <c r="E247" s="1510">
        <f>'Jrnl Rev'!$F252</f>
        <v>0</v>
      </c>
      <c r="F247" s="1510"/>
      <c r="G247" s="951" t="str">
        <f>IF('Jrnl Rev'!$E252="","",'Jrnl Rev'!$E252)</f>
        <v/>
      </c>
      <c r="H247" s="147">
        <f>'Jrnl Rev'!H252</f>
        <v>0</v>
      </c>
      <c r="I247" s="147" t="str">
        <f t="shared" si="6"/>
        <v>0</v>
      </c>
      <c r="J247" s="148" t="b">
        <f t="shared" si="7"/>
        <v>0</v>
      </c>
      <c r="K247" s="149">
        <f>'Jrnl Rev'!$G252</f>
        <v>0</v>
      </c>
      <c r="L247" s="150"/>
      <c r="M247" s="151"/>
      <c r="N247" s="152"/>
    </row>
    <row r="248" spans="2:14" s="1" customFormat="1" ht="30" hidden="1" customHeight="1" x14ac:dyDescent="0.15">
      <c r="B248" s="146">
        <f>IF(AND('Jrnl Rev'!G253&lt;&gt;"",'Jrnl Rev'!C253&lt;&gt;""),1,0)</f>
        <v>0</v>
      </c>
      <c r="C248" s="146">
        <f>'Jrnl Rev'!$C253</f>
        <v>0</v>
      </c>
      <c r="D248" s="147">
        <f>'Jrnl Rev'!$D253</f>
        <v>0</v>
      </c>
      <c r="E248" s="1510">
        <f>'Jrnl Rev'!$F253</f>
        <v>0</v>
      </c>
      <c r="F248" s="1510"/>
      <c r="G248" s="951" t="str">
        <f>IF('Jrnl Rev'!$E253="","",'Jrnl Rev'!$E253)</f>
        <v/>
      </c>
      <c r="H248" s="147">
        <f>'Jrnl Rev'!H253</f>
        <v>0</v>
      </c>
      <c r="I248" s="147" t="str">
        <f t="shared" si="6"/>
        <v>0</v>
      </c>
      <c r="J248" s="148" t="b">
        <f t="shared" si="7"/>
        <v>0</v>
      </c>
      <c r="K248" s="149">
        <f>'Jrnl Rev'!$G253</f>
        <v>0</v>
      </c>
      <c r="L248" s="150"/>
      <c r="M248" s="151"/>
      <c r="N248" s="152"/>
    </row>
    <row r="249" spans="2:14" s="1" customFormat="1" ht="30" hidden="1" customHeight="1" x14ac:dyDescent="0.15">
      <c r="B249" s="146">
        <f>IF(AND('Jrnl Rev'!G254&lt;&gt;"",'Jrnl Rev'!C254&lt;&gt;""),1,0)</f>
        <v>0</v>
      </c>
      <c r="C249" s="146">
        <f>'Jrnl Rev'!$C254</f>
        <v>0</v>
      </c>
      <c r="D249" s="147">
        <f>'Jrnl Rev'!$D254</f>
        <v>0</v>
      </c>
      <c r="E249" s="1510">
        <f>'Jrnl Rev'!$F254</f>
        <v>0</v>
      </c>
      <c r="F249" s="1510"/>
      <c r="G249" s="951" t="str">
        <f>IF('Jrnl Rev'!$E254="","",'Jrnl Rev'!$E254)</f>
        <v/>
      </c>
      <c r="H249" s="147">
        <f>'Jrnl Rev'!H254</f>
        <v>0</v>
      </c>
      <c r="I249" s="147" t="str">
        <f t="shared" si="6"/>
        <v>0</v>
      </c>
      <c r="J249" s="148" t="b">
        <f t="shared" si="7"/>
        <v>0</v>
      </c>
      <c r="K249" s="149">
        <f>'Jrnl Rev'!$G254</f>
        <v>0</v>
      </c>
      <c r="L249" s="150"/>
      <c r="M249" s="151"/>
      <c r="N249" s="152"/>
    </row>
    <row r="250" spans="2:14" s="1" customFormat="1" ht="30" hidden="1" customHeight="1" x14ac:dyDescent="0.15">
      <c r="B250" s="146">
        <f>IF(AND('Jrnl Rev'!G255&lt;&gt;"",'Jrnl Rev'!C255&lt;&gt;""),1,0)</f>
        <v>0</v>
      </c>
      <c r="C250" s="146">
        <f>'Jrnl Rev'!$C255</f>
        <v>0</v>
      </c>
      <c r="D250" s="147">
        <f>'Jrnl Rev'!$D255</f>
        <v>0</v>
      </c>
      <c r="E250" s="1510">
        <f>'Jrnl Rev'!$F255</f>
        <v>0</v>
      </c>
      <c r="F250" s="1510"/>
      <c r="G250" s="951" t="str">
        <f>IF('Jrnl Rev'!$E255="","",'Jrnl Rev'!$E255)</f>
        <v/>
      </c>
      <c r="H250" s="147">
        <f>'Jrnl Rev'!H255</f>
        <v>0</v>
      </c>
      <c r="I250" s="147" t="str">
        <f t="shared" si="6"/>
        <v>0</v>
      </c>
      <c r="J250" s="148" t="b">
        <f t="shared" si="7"/>
        <v>0</v>
      </c>
      <c r="K250" s="149">
        <f>'Jrnl Rev'!$G255</f>
        <v>0</v>
      </c>
      <c r="L250" s="150"/>
      <c r="M250" s="151"/>
      <c r="N250" s="152"/>
    </row>
    <row r="251" spans="2:14" s="1" customFormat="1" ht="30" hidden="1" customHeight="1" x14ac:dyDescent="0.15">
      <c r="B251" s="146">
        <f>IF(AND('Jrnl Rev'!G256&lt;&gt;"",'Jrnl Rev'!C256&lt;&gt;""),1,0)</f>
        <v>0</v>
      </c>
      <c r="C251" s="146">
        <f>'Jrnl Rev'!$C256</f>
        <v>0</v>
      </c>
      <c r="D251" s="147">
        <f>'Jrnl Rev'!$D256</f>
        <v>0</v>
      </c>
      <c r="E251" s="1510">
        <f>'Jrnl Rev'!$F256</f>
        <v>0</v>
      </c>
      <c r="F251" s="1510"/>
      <c r="G251" s="951" t="str">
        <f>IF('Jrnl Rev'!$E256="","",'Jrnl Rev'!$E256)</f>
        <v/>
      </c>
      <c r="H251" s="147">
        <f>'Jrnl Rev'!H256</f>
        <v>0</v>
      </c>
      <c r="I251" s="147" t="str">
        <f t="shared" si="6"/>
        <v>0</v>
      </c>
      <c r="J251" s="148" t="b">
        <f t="shared" si="7"/>
        <v>0</v>
      </c>
      <c r="K251" s="149">
        <f>'Jrnl Rev'!$G256</f>
        <v>0</v>
      </c>
      <c r="L251" s="150"/>
      <c r="M251" s="151"/>
      <c r="N251" s="152"/>
    </row>
    <row r="252" spans="2:14" s="1" customFormat="1" ht="30" hidden="1" customHeight="1" x14ac:dyDescent="0.15">
      <c r="B252" s="146">
        <f>IF(AND('Jrnl Rev'!G257&lt;&gt;"",'Jrnl Rev'!C257&lt;&gt;""),1,0)</f>
        <v>0</v>
      </c>
      <c r="C252" s="146">
        <f>'Jrnl Rev'!$C257</f>
        <v>0</v>
      </c>
      <c r="D252" s="147">
        <f>'Jrnl Rev'!$D257</f>
        <v>0</v>
      </c>
      <c r="E252" s="1510">
        <f>'Jrnl Rev'!$F257</f>
        <v>0</v>
      </c>
      <c r="F252" s="1510"/>
      <c r="G252" s="951" t="str">
        <f>IF('Jrnl Rev'!$E257="","",'Jrnl Rev'!$E257)</f>
        <v/>
      </c>
      <c r="H252" s="147">
        <f>'Jrnl Rev'!H257</f>
        <v>0</v>
      </c>
      <c r="I252" s="147" t="str">
        <f t="shared" si="6"/>
        <v>0</v>
      </c>
      <c r="J252" s="148" t="b">
        <f t="shared" si="7"/>
        <v>0</v>
      </c>
      <c r="K252" s="149">
        <f>'Jrnl Rev'!$G257</f>
        <v>0</v>
      </c>
      <c r="L252" s="150"/>
      <c r="M252" s="151"/>
      <c r="N252" s="152"/>
    </row>
    <row r="253" spans="2:14" s="1" customFormat="1" ht="30" hidden="1" customHeight="1" x14ac:dyDescent="0.15">
      <c r="B253" s="146">
        <f>IF(AND('Jrnl Rev'!G258&lt;&gt;"",'Jrnl Rev'!C258&lt;&gt;""),1,0)</f>
        <v>0</v>
      </c>
      <c r="C253" s="146">
        <f>'Jrnl Rev'!$C258</f>
        <v>0</v>
      </c>
      <c r="D253" s="147">
        <f>'Jrnl Rev'!$D258</f>
        <v>0</v>
      </c>
      <c r="E253" s="1510">
        <f>'Jrnl Rev'!$F258</f>
        <v>0</v>
      </c>
      <c r="F253" s="1510"/>
      <c r="G253" s="951" t="str">
        <f>IF('Jrnl Rev'!$E258="","",'Jrnl Rev'!$E258)</f>
        <v/>
      </c>
      <c r="H253" s="147">
        <f>'Jrnl Rev'!H258</f>
        <v>0</v>
      </c>
      <c r="I253" s="147" t="str">
        <f t="shared" si="6"/>
        <v>0</v>
      </c>
      <c r="J253" s="148" t="b">
        <f t="shared" si="7"/>
        <v>0</v>
      </c>
      <c r="K253" s="149">
        <f>'Jrnl Rev'!$G258</f>
        <v>0</v>
      </c>
      <c r="L253" s="150"/>
      <c r="M253" s="151"/>
      <c r="N253" s="152"/>
    </row>
    <row r="254" spans="2:14" s="1" customFormat="1" ht="30" hidden="1" customHeight="1" x14ac:dyDescent="0.15">
      <c r="B254" s="146">
        <f>IF(AND('Jrnl Rev'!G259&lt;&gt;"",'Jrnl Rev'!C259&lt;&gt;""),1,0)</f>
        <v>0</v>
      </c>
      <c r="C254" s="146">
        <f>'Jrnl Rev'!$C259</f>
        <v>0</v>
      </c>
      <c r="D254" s="147">
        <f>'Jrnl Rev'!$D259</f>
        <v>0</v>
      </c>
      <c r="E254" s="1510">
        <f>'Jrnl Rev'!$F259</f>
        <v>0</v>
      </c>
      <c r="F254" s="1510"/>
      <c r="G254" s="951" t="str">
        <f>IF('Jrnl Rev'!$E259="","",'Jrnl Rev'!$E259)</f>
        <v/>
      </c>
      <c r="H254" s="147">
        <f>'Jrnl Rev'!H259</f>
        <v>0</v>
      </c>
      <c r="I254" s="147" t="str">
        <f t="shared" si="6"/>
        <v>0</v>
      </c>
      <c r="J254" s="148" t="b">
        <f t="shared" si="7"/>
        <v>0</v>
      </c>
      <c r="K254" s="149">
        <f>'Jrnl Rev'!$G259</f>
        <v>0</v>
      </c>
      <c r="L254" s="150"/>
      <c r="M254" s="151"/>
      <c r="N254" s="152"/>
    </row>
    <row r="255" spans="2:14" s="1" customFormat="1" ht="30" hidden="1" customHeight="1" x14ac:dyDescent="0.15">
      <c r="B255" s="146">
        <f>IF(AND('Jrnl Rev'!G260&lt;&gt;"",'Jrnl Rev'!C260&lt;&gt;""),1,0)</f>
        <v>0</v>
      </c>
      <c r="C255" s="146">
        <f>'Jrnl Rev'!$C260</f>
        <v>0</v>
      </c>
      <c r="D255" s="147">
        <f>'Jrnl Rev'!$D260</f>
        <v>0</v>
      </c>
      <c r="E255" s="1510">
        <f>'Jrnl Rev'!$F260</f>
        <v>0</v>
      </c>
      <c r="F255" s="1510"/>
      <c r="G255" s="951" t="str">
        <f>IF('Jrnl Rev'!$E260="","",'Jrnl Rev'!$E260)</f>
        <v/>
      </c>
      <c r="H255" s="147">
        <f>'Jrnl Rev'!H260</f>
        <v>0</v>
      </c>
      <c r="I255" s="147" t="str">
        <f t="shared" si="6"/>
        <v>0</v>
      </c>
      <c r="J255" s="148" t="b">
        <f t="shared" si="7"/>
        <v>0</v>
      </c>
      <c r="K255" s="149">
        <f>'Jrnl Rev'!$G260</f>
        <v>0</v>
      </c>
      <c r="L255" s="150"/>
      <c r="M255" s="151"/>
      <c r="N255" s="152"/>
    </row>
    <row r="256" spans="2:14" s="1" customFormat="1" ht="30" hidden="1" customHeight="1" x14ac:dyDescent="0.15">
      <c r="B256" s="146">
        <f>IF(AND('Jrnl Rev'!G261&lt;&gt;"",'Jrnl Rev'!C261&lt;&gt;""),1,0)</f>
        <v>0</v>
      </c>
      <c r="C256" s="146">
        <f>'Jrnl Rev'!$C261</f>
        <v>0</v>
      </c>
      <c r="D256" s="147">
        <f>'Jrnl Rev'!$D261</f>
        <v>0</v>
      </c>
      <c r="E256" s="1510">
        <f>'Jrnl Rev'!$F261</f>
        <v>0</v>
      </c>
      <c r="F256" s="1510"/>
      <c r="G256" s="951" t="str">
        <f>IF('Jrnl Rev'!$E261="","",'Jrnl Rev'!$E261)</f>
        <v/>
      </c>
      <c r="H256" s="147">
        <f>'Jrnl Rev'!H261</f>
        <v>0</v>
      </c>
      <c r="I256" s="147" t="str">
        <f t="shared" si="6"/>
        <v>0</v>
      </c>
      <c r="J256" s="148" t="b">
        <f t="shared" si="7"/>
        <v>0</v>
      </c>
      <c r="K256" s="149">
        <f>'Jrnl Rev'!$G261</f>
        <v>0</v>
      </c>
      <c r="L256" s="150"/>
      <c r="M256" s="151"/>
      <c r="N256" s="152"/>
    </row>
    <row r="257" spans="2:14" s="1" customFormat="1" ht="30" hidden="1" customHeight="1" x14ac:dyDescent="0.15">
      <c r="B257" s="146">
        <f>IF(AND('Jrnl Rev'!G262&lt;&gt;"",'Jrnl Rev'!C262&lt;&gt;""),1,0)</f>
        <v>0</v>
      </c>
      <c r="C257" s="146">
        <f>'Jrnl Rev'!$C262</f>
        <v>0</v>
      </c>
      <c r="D257" s="147">
        <f>'Jrnl Rev'!$D262</f>
        <v>0</v>
      </c>
      <c r="E257" s="1510">
        <f>'Jrnl Rev'!$F262</f>
        <v>0</v>
      </c>
      <c r="F257" s="1510"/>
      <c r="G257" s="951" t="str">
        <f>IF('Jrnl Rev'!$E262="","",'Jrnl Rev'!$E262)</f>
        <v/>
      </c>
      <c r="H257" s="147">
        <f>'Jrnl Rev'!H262</f>
        <v>0</v>
      </c>
      <c r="I257" s="147" t="str">
        <f t="shared" si="6"/>
        <v>0</v>
      </c>
      <c r="J257" s="148" t="b">
        <f t="shared" si="7"/>
        <v>0</v>
      </c>
      <c r="K257" s="149">
        <f>'Jrnl Rev'!$G262</f>
        <v>0</v>
      </c>
      <c r="L257" s="150"/>
      <c r="M257" s="151"/>
      <c r="N257" s="152"/>
    </row>
    <row r="258" spans="2:14" s="1" customFormat="1" ht="30" hidden="1" customHeight="1" x14ac:dyDescent="0.15">
      <c r="B258" s="146">
        <f>IF(AND('Jrnl Rev'!G263&lt;&gt;"",'Jrnl Rev'!C263&lt;&gt;""),1,0)</f>
        <v>0</v>
      </c>
      <c r="C258" s="146">
        <f>'Jrnl Rev'!$C263</f>
        <v>0</v>
      </c>
      <c r="D258" s="147">
        <f>'Jrnl Rev'!$D263</f>
        <v>0</v>
      </c>
      <c r="E258" s="1510">
        <f>'Jrnl Rev'!$F263</f>
        <v>0</v>
      </c>
      <c r="F258" s="1510"/>
      <c r="G258" s="951" t="str">
        <f>IF('Jrnl Rev'!$E263="","",'Jrnl Rev'!$E263)</f>
        <v/>
      </c>
      <c r="H258" s="147">
        <f>'Jrnl Rev'!H263</f>
        <v>0</v>
      </c>
      <c r="I258" s="147" t="str">
        <f t="shared" si="6"/>
        <v>0</v>
      </c>
      <c r="J258" s="148" t="b">
        <f t="shared" si="7"/>
        <v>0</v>
      </c>
      <c r="K258" s="149">
        <f>'Jrnl Rev'!$G263</f>
        <v>0</v>
      </c>
      <c r="L258" s="150"/>
      <c r="M258" s="151"/>
      <c r="N258" s="152"/>
    </row>
    <row r="259" spans="2:14" s="1" customFormat="1" ht="30" hidden="1" customHeight="1" x14ac:dyDescent="0.15">
      <c r="B259" s="146">
        <f>IF(AND('Jrnl Rev'!G264&lt;&gt;"",'Jrnl Rev'!C264&lt;&gt;""),1,0)</f>
        <v>0</v>
      </c>
      <c r="C259" s="146">
        <f>'Jrnl Rev'!$C264</f>
        <v>0</v>
      </c>
      <c r="D259" s="147">
        <f>'Jrnl Rev'!$D264</f>
        <v>0</v>
      </c>
      <c r="E259" s="1510">
        <f>'Jrnl Rev'!$F264</f>
        <v>0</v>
      </c>
      <c r="F259" s="1510"/>
      <c r="G259" s="951" t="str">
        <f>IF('Jrnl Rev'!$E264="","",'Jrnl Rev'!$E264)</f>
        <v/>
      </c>
      <c r="H259" s="147">
        <f>'Jrnl Rev'!H264</f>
        <v>0</v>
      </c>
      <c r="I259" s="147" t="str">
        <f t="shared" si="6"/>
        <v>0</v>
      </c>
      <c r="J259" s="148" t="b">
        <f t="shared" si="7"/>
        <v>0</v>
      </c>
      <c r="K259" s="149">
        <f>'Jrnl Rev'!$G264</f>
        <v>0</v>
      </c>
      <c r="L259" s="150"/>
      <c r="M259" s="151"/>
      <c r="N259" s="152"/>
    </row>
    <row r="260" spans="2:14" s="1" customFormat="1" ht="30" hidden="1" customHeight="1" x14ac:dyDescent="0.15">
      <c r="B260" s="146">
        <f>IF(AND('Jrnl Rev'!G265&lt;&gt;"",'Jrnl Rev'!C265&lt;&gt;""),1,0)</f>
        <v>0</v>
      </c>
      <c r="C260" s="146">
        <f>'Jrnl Rev'!$C265</f>
        <v>0</v>
      </c>
      <c r="D260" s="147">
        <f>'Jrnl Rev'!$D265</f>
        <v>0</v>
      </c>
      <c r="E260" s="1510">
        <f>'Jrnl Rev'!$F265</f>
        <v>0</v>
      </c>
      <c r="F260" s="1510"/>
      <c r="G260" s="951" t="str">
        <f>IF('Jrnl Rev'!$E265="","",'Jrnl Rev'!$E265)</f>
        <v/>
      </c>
      <c r="H260" s="147">
        <f>'Jrnl Rev'!H265</f>
        <v>0</v>
      </c>
      <c r="I260" s="147" t="str">
        <f t="shared" si="6"/>
        <v>0</v>
      </c>
      <c r="J260" s="148" t="b">
        <f t="shared" si="7"/>
        <v>0</v>
      </c>
      <c r="K260" s="149">
        <f>'Jrnl Rev'!$G265</f>
        <v>0</v>
      </c>
      <c r="L260" s="150"/>
      <c r="M260" s="151"/>
      <c r="N260" s="152"/>
    </row>
    <row r="261" spans="2:14" s="1" customFormat="1" ht="30" hidden="1" customHeight="1" x14ac:dyDescent="0.15">
      <c r="B261" s="146">
        <f>IF(AND('Jrnl Rev'!G266&lt;&gt;"",'Jrnl Rev'!C266&lt;&gt;""),1,0)</f>
        <v>0</v>
      </c>
      <c r="C261" s="146">
        <f>'Jrnl Rev'!$C266</f>
        <v>0</v>
      </c>
      <c r="D261" s="147">
        <f>'Jrnl Rev'!$D266</f>
        <v>0</v>
      </c>
      <c r="E261" s="1510">
        <f>'Jrnl Rev'!$F266</f>
        <v>0</v>
      </c>
      <c r="F261" s="1510"/>
      <c r="G261" s="951" t="str">
        <f>IF('Jrnl Rev'!$E266="","",'Jrnl Rev'!$E266)</f>
        <v/>
      </c>
      <c r="H261" s="147">
        <f>'Jrnl Rev'!H266</f>
        <v>0</v>
      </c>
      <c r="I261" s="147" t="str">
        <f t="shared" si="6"/>
        <v>0</v>
      </c>
      <c r="J261" s="148" t="b">
        <f t="shared" si="7"/>
        <v>0</v>
      </c>
      <c r="K261" s="149">
        <f>'Jrnl Rev'!$G266</f>
        <v>0</v>
      </c>
      <c r="L261" s="150"/>
      <c r="M261" s="151"/>
      <c r="N261" s="152"/>
    </row>
    <row r="262" spans="2:14" s="1" customFormat="1" ht="30" hidden="1" customHeight="1" x14ac:dyDescent="0.15">
      <c r="B262" s="146">
        <f>IF(AND('Jrnl Rev'!G267&lt;&gt;"",'Jrnl Rev'!C267&lt;&gt;""),1,0)</f>
        <v>0</v>
      </c>
      <c r="C262" s="146">
        <f>'Jrnl Rev'!$C267</f>
        <v>0</v>
      </c>
      <c r="D262" s="147">
        <f>'Jrnl Rev'!$D267</f>
        <v>0</v>
      </c>
      <c r="E262" s="1510">
        <f>'Jrnl Rev'!$F267</f>
        <v>0</v>
      </c>
      <c r="F262" s="1510"/>
      <c r="G262" s="951" t="str">
        <f>IF('Jrnl Rev'!$E267="","",'Jrnl Rev'!$E267)</f>
        <v/>
      </c>
      <c r="H262" s="147">
        <f>'Jrnl Rev'!H267</f>
        <v>0</v>
      </c>
      <c r="I262" s="147" t="str">
        <f t="shared" si="6"/>
        <v>0</v>
      </c>
      <c r="J262" s="148" t="b">
        <f t="shared" si="7"/>
        <v>0</v>
      </c>
      <c r="K262" s="149">
        <f>'Jrnl Rev'!$G267</f>
        <v>0</v>
      </c>
      <c r="L262" s="150"/>
      <c r="M262" s="151"/>
      <c r="N262" s="152"/>
    </row>
    <row r="263" spans="2:14" s="1" customFormat="1" ht="30" hidden="1" customHeight="1" x14ac:dyDescent="0.15">
      <c r="B263" s="146">
        <f>IF(AND('Jrnl Rev'!G268&lt;&gt;"",'Jrnl Rev'!C268&lt;&gt;""),1,0)</f>
        <v>0</v>
      </c>
      <c r="C263" s="146">
        <f>'Jrnl Rev'!$C268</f>
        <v>0</v>
      </c>
      <c r="D263" s="147">
        <f>'Jrnl Rev'!$D268</f>
        <v>0</v>
      </c>
      <c r="E263" s="1510">
        <f>'Jrnl Rev'!$F268</f>
        <v>0</v>
      </c>
      <c r="F263" s="1510"/>
      <c r="G263" s="951" t="str">
        <f>IF('Jrnl Rev'!$E268="","",'Jrnl Rev'!$E268)</f>
        <v/>
      </c>
      <c r="H263" s="147">
        <f>'Jrnl Rev'!H268</f>
        <v>0</v>
      </c>
      <c r="I263" s="147" t="str">
        <f t="shared" si="6"/>
        <v>0</v>
      </c>
      <c r="J263" s="148" t="b">
        <f t="shared" si="7"/>
        <v>0</v>
      </c>
      <c r="K263" s="149">
        <f>'Jrnl Rev'!$G268</f>
        <v>0</v>
      </c>
      <c r="L263" s="150"/>
      <c r="M263" s="151"/>
      <c r="N263" s="152"/>
    </row>
    <row r="264" spans="2:14" s="1" customFormat="1" ht="30" hidden="1" customHeight="1" x14ac:dyDescent="0.15">
      <c r="B264" s="146">
        <f>IF(AND('Jrnl Rev'!G269&lt;&gt;"",'Jrnl Rev'!C269&lt;&gt;""),1,0)</f>
        <v>0</v>
      </c>
      <c r="C264" s="146">
        <f>'Jrnl Rev'!$C269</f>
        <v>0</v>
      </c>
      <c r="D264" s="147">
        <f>'Jrnl Rev'!$D269</f>
        <v>0</v>
      </c>
      <c r="E264" s="1510">
        <f>'Jrnl Rev'!$F269</f>
        <v>0</v>
      </c>
      <c r="F264" s="1510"/>
      <c r="G264" s="951" t="str">
        <f>IF('Jrnl Rev'!$E269="","",'Jrnl Rev'!$E269)</f>
        <v/>
      </c>
      <c r="H264" s="147">
        <f>'Jrnl Rev'!H269</f>
        <v>0</v>
      </c>
      <c r="I264" s="147" t="str">
        <f t="shared" si="6"/>
        <v>0</v>
      </c>
      <c r="J264" s="148" t="b">
        <f t="shared" si="7"/>
        <v>0</v>
      </c>
      <c r="K264" s="149">
        <f>'Jrnl Rev'!$G269</f>
        <v>0</v>
      </c>
      <c r="L264" s="150"/>
      <c r="M264" s="151"/>
      <c r="N264" s="152"/>
    </row>
    <row r="265" spans="2:14" s="1" customFormat="1" ht="30" hidden="1" customHeight="1" x14ac:dyDescent="0.15">
      <c r="B265" s="146">
        <f>IF(AND('Jrnl Rev'!G270&lt;&gt;"",'Jrnl Rev'!C270&lt;&gt;""),1,0)</f>
        <v>0</v>
      </c>
      <c r="C265" s="146">
        <f>'Jrnl Rev'!$C270</f>
        <v>0</v>
      </c>
      <c r="D265" s="147">
        <f>'Jrnl Rev'!$D270</f>
        <v>0</v>
      </c>
      <c r="E265" s="1510">
        <f>'Jrnl Rev'!$F270</f>
        <v>0</v>
      </c>
      <c r="F265" s="1510"/>
      <c r="G265" s="951" t="str">
        <f>IF('Jrnl Rev'!$E270="","",'Jrnl Rev'!$E270)</f>
        <v/>
      </c>
      <c r="H265" s="147">
        <f>'Jrnl Rev'!H270</f>
        <v>0</v>
      </c>
      <c r="I265" s="147" t="str">
        <f t="shared" si="6"/>
        <v>0</v>
      </c>
      <c r="J265" s="148" t="b">
        <f t="shared" si="7"/>
        <v>0</v>
      </c>
      <c r="K265" s="149">
        <f>'Jrnl Rev'!$G270</f>
        <v>0</v>
      </c>
      <c r="L265" s="150"/>
      <c r="M265" s="151"/>
      <c r="N265" s="152"/>
    </row>
    <row r="266" spans="2:14" s="1" customFormat="1" ht="30" hidden="1" customHeight="1" x14ac:dyDescent="0.15">
      <c r="B266" s="146">
        <f>IF(AND('Jrnl Rev'!G271&lt;&gt;"",'Jrnl Rev'!C271&lt;&gt;""),1,0)</f>
        <v>0</v>
      </c>
      <c r="C266" s="146">
        <f>'Jrnl Rev'!$C271</f>
        <v>0</v>
      </c>
      <c r="D266" s="147">
        <f>'Jrnl Rev'!$D271</f>
        <v>0</v>
      </c>
      <c r="E266" s="1510">
        <f>'Jrnl Rev'!$F271</f>
        <v>0</v>
      </c>
      <c r="F266" s="1510"/>
      <c r="G266" s="951" t="str">
        <f>IF('Jrnl Rev'!$E271="","",'Jrnl Rev'!$E271)</f>
        <v/>
      </c>
      <c r="H266" s="147">
        <f>'Jrnl Rev'!H271</f>
        <v>0</v>
      </c>
      <c r="I266" s="147" t="str">
        <f t="shared" si="6"/>
        <v>0</v>
      </c>
      <c r="J266" s="148" t="b">
        <f t="shared" si="7"/>
        <v>0</v>
      </c>
      <c r="K266" s="149">
        <f>'Jrnl Rev'!$G271</f>
        <v>0</v>
      </c>
      <c r="L266" s="150"/>
      <c r="M266" s="151"/>
      <c r="N266" s="152"/>
    </row>
    <row r="267" spans="2:14" s="1" customFormat="1" ht="30" hidden="1" customHeight="1" x14ac:dyDescent="0.15">
      <c r="B267" s="146">
        <f>IF(AND('Jrnl Rev'!G272&lt;&gt;"",'Jrnl Rev'!C272&lt;&gt;""),1,0)</f>
        <v>0</v>
      </c>
      <c r="C267" s="146">
        <f>'Jrnl Rev'!$C272</f>
        <v>0</v>
      </c>
      <c r="D267" s="147">
        <f>'Jrnl Rev'!$D272</f>
        <v>0</v>
      </c>
      <c r="E267" s="1510">
        <f>'Jrnl Rev'!$F272</f>
        <v>0</v>
      </c>
      <c r="F267" s="1510"/>
      <c r="G267" s="951" t="str">
        <f>IF('Jrnl Rev'!$E272="","",'Jrnl Rev'!$E272)</f>
        <v/>
      </c>
      <c r="H267" s="147">
        <f>'Jrnl Rev'!H272</f>
        <v>0</v>
      </c>
      <c r="I267" s="147" t="str">
        <f t="shared" ref="I267:I330" si="8">LEFT(H267,4)</f>
        <v>0</v>
      </c>
      <c r="J267" s="148" t="b">
        <f t="shared" si="7"/>
        <v>0</v>
      </c>
      <c r="K267" s="149">
        <f>'Jrnl Rev'!$G272</f>
        <v>0</v>
      </c>
      <c r="L267" s="150"/>
      <c r="M267" s="151"/>
      <c r="N267" s="152"/>
    </row>
    <row r="268" spans="2:14" s="1" customFormat="1" ht="30" hidden="1" customHeight="1" x14ac:dyDescent="0.15">
      <c r="B268" s="146">
        <f>IF(AND('Jrnl Rev'!G273&lt;&gt;"",'Jrnl Rev'!C273&lt;&gt;""),1,0)</f>
        <v>0</v>
      </c>
      <c r="C268" s="146">
        <f>'Jrnl Rev'!$C273</f>
        <v>0</v>
      </c>
      <c r="D268" s="147">
        <f>'Jrnl Rev'!$D273</f>
        <v>0</v>
      </c>
      <c r="E268" s="1510">
        <f>'Jrnl Rev'!$F273</f>
        <v>0</v>
      </c>
      <c r="F268" s="1510"/>
      <c r="G268" s="951" t="str">
        <f>IF('Jrnl Rev'!$E273="","",'Jrnl Rev'!$E273)</f>
        <v/>
      </c>
      <c r="H268" s="147">
        <f>'Jrnl Rev'!H273</f>
        <v>0</v>
      </c>
      <c r="I268" s="147" t="str">
        <f t="shared" si="8"/>
        <v>0</v>
      </c>
      <c r="J268" s="148" t="b">
        <f t="shared" ref="J268:J331" si="9">IF(I268="1020",IF(G268&gt;=$E$3,IF(G268&lt;=$G$3,K268,0)))</f>
        <v>0</v>
      </c>
      <c r="K268" s="149">
        <f>'Jrnl Rev'!$G273</f>
        <v>0</v>
      </c>
      <c r="L268" s="150"/>
      <c r="M268" s="151"/>
      <c r="N268" s="152"/>
    </row>
    <row r="269" spans="2:14" s="1" customFormat="1" ht="30" hidden="1" customHeight="1" x14ac:dyDescent="0.15">
      <c r="B269" s="146">
        <f>IF(AND('Jrnl Rev'!G274&lt;&gt;"",'Jrnl Rev'!C274&lt;&gt;""),1,0)</f>
        <v>0</v>
      </c>
      <c r="C269" s="146">
        <f>'Jrnl Rev'!$C274</f>
        <v>0</v>
      </c>
      <c r="D269" s="147">
        <f>'Jrnl Rev'!$D274</f>
        <v>0</v>
      </c>
      <c r="E269" s="1510">
        <f>'Jrnl Rev'!$F274</f>
        <v>0</v>
      </c>
      <c r="F269" s="1510"/>
      <c r="G269" s="951" t="str">
        <f>IF('Jrnl Rev'!$E274="","",'Jrnl Rev'!$E274)</f>
        <v/>
      </c>
      <c r="H269" s="147">
        <f>'Jrnl Rev'!H274</f>
        <v>0</v>
      </c>
      <c r="I269" s="147" t="str">
        <f t="shared" si="8"/>
        <v>0</v>
      </c>
      <c r="J269" s="148" t="b">
        <f t="shared" si="9"/>
        <v>0</v>
      </c>
      <c r="K269" s="149">
        <f>'Jrnl Rev'!$G274</f>
        <v>0</v>
      </c>
      <c r="L269" s="150"/>
      <c r="M269" s="151"/>
      <c r="N269" s="152"/>
    </row>
    <row r="270" spans="2:14" s="1" customFormat="1" ht="30" hidden="1" customHeight="1" x14ac:dyDescent="0.15">
      <c r="B270" s="146">
        <f>IF(AND('Jrnl Rev'!G275&lt;&gt;"",'Jrnl Rev'!C275&lt;&gt;""),1,0)</f>
        <v>0</v>
      </c>
      <c r="C270" s="146">
        <f>'Jrnl Rev'!$C275</f>
        <v>0</v>
      </c>
      <c r="D270" s="147">
        <f>'Jrnl Rev'!$D275</f>
        <v>0</v>
      </c>
      <c r="E270" s="1510">
        <f>'Jrnl Rev'!$F275</f>
        <v>0</v>
      </c>
      <c r="F270" s="1510"/>
      <c r="G270" s="951" t="str">
        <f>IF('Jrnl Rev'!$E275="","",'Jrnl Rev'!$E275)</f>
        <v/>
      </c>
      <c r="H270" s="147">
        <f>'Jrnl Rev'!H275</f>
        <v>0</v>
      </c>
      <c r="I270" s="147" t="str">
        <f t="shared" si="8"/>
        <v>0</v>
      </c>
      <c r="J270" s="148" t="b">
        <f t="shared" si="9"/>
        <v>0</v>
      </c>
      <c r="K270" s="149">
        <f>'Jrnl Rev'!$G275</f>
        <v>0</v>
      </c>
      <c r="L270" s="150"/>
      <c r="M270" s="151"/>
      <c r="N270" s="152"/>
    </row>
    <row r="271" spans="2:14" s="1" customFormat="1" ht="30" hidden="1" customHeight="1" x14ac:dyDescent="0.15">
      <c r="B271" s="146">
        <f>IF(AND('Jrnl Rev'!G276&lt;&gt;"",'Jrnl Rev'!C276&lt;&gt;""),1,0)</f>
        <v>0</v>
      </c>
      <c r="C271" s="146">
        <f>'Jrnl Rev'!$C276</f>
        <v>0</v>
      </c>
      <c r="D271" s="147">
        <f>'Jrnl Rev'!$D276</f>
        <v>0</v>
      </c>
      <c r="E271" s="1510">
        <f>'Jrnl Rev'!$F276</f>
        <v>0</v>
      </c>
      <c r="F271" s="1510"/>
      <c r="G271" s="951" t="str">
        <f>IF('Jrnl Rev'!$E276="","",'Jrnl Rev'!$E276)</f>
        <v/>
      </c>
      <c r="H271" s="147">
        <f>'Jrnl Rev'!H276</f>
        <v>0</v>
      </c>
      <c r="I271" s="147" t="str">
        <f t="shared" si="8"/>
        <v>0</v>
      </c>
      <c r="J271" s="148" t="b">
        <f t="shared" si="9"/>
        <v>0</v>
      </c>
      <c r="K271" s="149">
        <f>'Jrnl Rev'!$G276</f>
        <v>0</v>
      </c>
      <c r="L271" s="150"/>
      <c r="M271" s="151"/>
      <c r="N271" s="152"/>
    </row>
    <row r="272" spans="2:14" s="1" customFormat="1" ht="30" hidden="1" customHeight="1" x14ac:dyDescent="0.15">
      <c r="B272" s="146">
        <f>IF(AND('Jrnl Rev'!G277&lt;&gt;"",'Jrnl Rev'!C277&lt;&gt;""),1,0)</f>
        <v>0</v>
      </c>
      <c r="C272" s="146">
        <f>'Jrnl Rev'!$C277</f>
        <v>0</v>
      </c>
      <c r="D272" s="147">
        <f>'Jrnl Rev'!$D277</f>
        <v>0</v>
      </c>
      <c r="E272" s="1510">
        <f>'Jrnl Rev'!$F277</f>
        <v>0</v>
      </c>
      <c r="F272" s="1510"/>
      <c r="G272" s="951" t="str">
        <f>IF('Jrnl Rev'!$E277="","",'Jrnl Rev'!$E277)</f>
        <v/>
      </c>
      <c r="H272" s="147">
        <f>'Jrnl Rev'!H277</f>
        <v>0</v>
      </c>
      <c r="I272" s="147" t="str">
        <f t="shared" si="8"/>
        <v>0</v>
      </c>
      <c r="J272" s="148" t="b">
        <f t="shared" si="9"/>
        <v>0</v>
      </c>
      <c r="K272" s="149">
        <f>'Jrnl Rev'!$G277</f>
        <v>0</v>
      </c>
      <c r="L272" s="150"/>
      <c r="M272" s="151"/>
      <c r="N272" s="152"/>
    </row>
    <row r="273" spans="2:14" s="1" customFormat="1" ht="30" hidden="1" customHeight="1" x14ac:dyDescent="0.15">
      <c r="B273" s="146">
        <f>IF(AND('Jrnl Rev'!G278&lt;&gt;"",'Jrnl Rev'!C278&lt;&gt;""),1,0)</f>
        <v>0</v>
      </c>
      <c r="C273" s="146">
        <f>'Jrnl Rev'!$C278</f>
        <v>0</v>
      </c>
      <c r="D273" s="147">
        <f>'Jrnl Rev'!$D278</f>
        <v>0</v>
      </c>
      <c r="E273" s="1510">
        <f>'Jrnl Rev'!$F278</f>
        <v>0</v>
      </c>
      <c r="F273" s="1510"/>
      <c r="G273" s="951" t="str">
        <f>IF('Jrnl Rev'!$E278="","",'Jrnl Rev'!$E278)</f>
        <v/>
      </c>
      <c r="H273" s="147">
        <f>'Jrnl Rev'!H278</f>
        <v>0</v>
      </c>
      <c r="I273" s="147" t="str">
        <f t="shared" si="8"/>
        <v>0</v>
      </c>
      <c r="J273" s="148" t="b">
        <f t="shared" si="9"/>
        <v>0</v>
      </c>
      <c r="K273" s="149">
        <f>'Jrnl Rev'!$G278</f>
        <v>0</v>
      </c>
      <c r="L273" s="150"/>
      <c r="M273" s="151"/>
      <c r="N273" s="152"/>
    </row>
    <row r="274" spans="2:14" s="1" customFormat="1" ht="30" hidden="1" customHeight="1" x14ac:dyDescent="0.15">
      <c r="B274" s="146">
        <f>IF(AND('Jrnl Rev'!G279&lt;&gt;"",'Jrnl Rev'!C279&lt;&gt;""),1,0)</f>
        <v>0</v>
      </c>
      <c r="C274" s="146">
        <f>'Jrnl Rev'!$C279</f>
        <v>0</v>
      </c>
      <c r="D274" s="147">
        <f>'Jrnl Rev'!$D279</f>
        <v>0</v>
      </c>
      <c r="E274" s="1510">
        <f>'Jrnl Rev'!$F279</f>
        <v>0</v>
      </c>
      <c r="F274" s="1510"/>
      <c r="G274" s="951" t="str">
        <f>IF('Jrnl Rev'!$E279="","",'Jrnl Rev'!$E279)</f>
        <v/>
      </c>
      <c r="H274" s="147">
        <f>'Jrnl Rev'!H279</f>
        <v>0</v>
      </c>
      <c r="I274" s="147" t="str">
        <f t="shared" si="8"/>
        <v>0</v>
      </c>
      <c r="J274" s="148" t="b">
        <f t="shared" si="9"/>
        <v>0</v>
      </c>
      <c r="K274" s="149">
        <f>'Jrnl Rev'!$G279</f>
        <v>0</v>
      </c>
      <c r="L274" s="150"/>
      <c r="M274" s="151"/>
      <c r="N274" s="152"/>
    </row>
    <row r="275" spans="2:14" s="1" customFormat="1" ht="30" hidden="1" customHeight="1" x14ac:dyDescent="0.15">
      <c r="B275" s="146">
        <f>IF(AND('Jrnl Rev'!G280&lt;&gt;"",'Jrnl Rev'!C280&lt;&gt;""),1,0)</f>
        <v>0</v>
      </c>
      <c r="C275" s="146">
        <f>'Jrnl Rev'!$C280</f>
        <v>0</v>
      </c>
      <c r="D275" s="147">
        <f>'Jrnl Rev'!$D280</f>
        <v>0</v>
      </c>
      <c r="E275" s="1510">
        <f>'Jrnl Rev'!$F280</f>
        <v>0</v>
      </c>
      <c r="F275" s="1510"/>
      <c r="G275" s="951" t="str">
        <f>IF('Jrnl Rev'!$E280="","",'Jrnl Rev'!$E280)</f>
        <v/>
      </c>
      <c r="H275" s="147">
        <f>'Jrnl Rev'!H280</f>
        <v>0</v>
      </c>
      <c r="I275" s="147" t="str">
        <f t="shared" si="8"/>
        <v>0</v>
      </c>
      <c r="J275" s="148" t="b">
        <f t="shared" si="9"/>
        <v>0</v>
      </c>
      <c r="K275" s="149">
        <f>'Jrnl Rev'!$G280</f>
        <v>0</v>
      </c>
      <c r="L275" s="150"/>
      <c r="M275" s="151"/>
      <c r="N275" s="152"/>
    </row>
    <row r="276" spans="2:14" s="1" customFormat="1" ht="30" hidden="1" customHeight="1" x14ac:dyDescent="0.15">
      <c r="B276" s="146">
        <f>IF(AND('Jrnl Rev'!G281&lt;&gt;"",'Jrnl Rev'!C281&lt;&gt;""),1,0)</f>
        <v>0</v>
      </c>
      <c r="C276" s="146">
        <f>'Jrnl Rev'!$C281</f>
        <v>0</v>
      </c>
      <c r="D276" s="147">
        <f>'Jrnl Rev'!$D281</f>
        <v>0</v>
      </c>
      <c r="E276" s="1510">
        <f>'Jrnl Rev'!$F281</f>
        <v>0</v>
      </c>
      <c r="F276" s="1510"/>
      <c r="G276" s="951" t="str">
        <f>IF('Jrnl Rev'!$E281="","",'Jrnl Rev'!$E281)</f>
        <v/>
      </c>
      <c r="H276" s="147">
        <f>'Jrnl Rev'!H281</f>
        <v>0</v>
      </c>
      <c r="I276" s="147" t="str">
        <f t="shared" si="8"/>
        <v>0</v>
      </c>
      <c r="J276" s="148" t="b">
        <f t="shared" si="9"/>
        <v>0</v>
      </c>
      <c r="K276" s="149">
        <f>'Jrnl Rev'!$G281</f>
        <v>0</v>
      </c>
      <c r="L276" s="150"/>
      <c r="M276" s="151"/>
      <c r="N276" s="152"/>
    </row>
    <row r="277" spans="2:14" s="1" customFormat="1" ht="30" hidden="1" customHeight="1" x14ac:dyDescent="0.15">
      <c r="B277" s="146">
        <f>IF(AND('Jrnl Rev'!G282&lt;&gt;"",'Jrnl Rev'!C282&lt;&gt;""),1,0)</f>
        <v>0</v>
      </c>
      <c r="C277" s="146">
        <f>'Jrnl Rev'!$C282</f>
        <v>0</v>
      </c>
      <c r="D277" s="147">
        <f>'Jrnl Rev'!$D282</f>
        <v>0</v>
      </c>
      <c r="E277" s="1510">
        <f>'Jrnl Rev'!$F282</f>
        <v>0</v>
      </c>
      <c r="F277" s="1510"/>
      <c r="G277" s="951" t="str">
        <f>IF('Jrnl Rev'!$E282="","",'Jrnl Rev'!$E282)</f>
        <v/>
      </c>
      <c r="H277" s="147">
        <f>'Jrnl Rev'!H282</f>
        <v>0</v>
      </c>
      <c r="I277" s="147" t="str">
        <f t="shared" si="8"/>
        <v>0</v>
      </c>
      <c r="J277" s="148" t="b">
        <f t="shared" si="9"/>
        <v>0</v>
      </c>
      <c r="K277" s="149">
        <f>'Jrnl Rev'!$G282</f>
        <v>0</v>
      </c>
      <c r="L277" s="150"/>
      <c r="M277" s="151"/>
      <c r="N277" s="152"/>
    </row>
    <row r="278" spans="2:14" s="1" customFormat="1" ht="30" hidden="1" customHeight="1" x14ac:dyDescent="0.15">
      <c r="B278" s="146">
        <f>IF(AND('Jrnl Rev'!G283&lt;&gt;"",'Jrnl Rev'!C283&lt;&gt;""),1,0)</f>
        <v>0</v>
      </c>
      <c r="C278" s="146">
        <f>'Jrnl Rev'!$C283</f>
        <v>0</v>
      </c>
      <c r="D278" s="147">
        <f>'Jrnl Rev'!$D283</f>
        <v>0</v>
      </c>
      <c r="E278" s="1510">
        <f>'Jrnl Rev'!$F283</f>
        <v>0</v>
      </c>
      <c r="F278" s="1510"/>
      <c r="G278" s="951" t="str">
        <f>IF('Jrnl Rev'!$E283="","",'Jrnl Rev'!$E283)</f>
        <v/>
      </c>
      <c r="H278" s="147">
        <f>'Jrnl Rev'!H283</f>
        <v>0</v>
      </c>
      <c r="I278" s="147" t="str">
        <f t="shared" si="8"/>
        <v>0</v>
      </c>
      <c r="J278" s="148" t="b">
        <f t="shared" si="9"/>
        <v>0</v>
      </c>
      <c r="K278" s="149">
        <f>'Jrnl Rev'!$G283</f>
        <v>0</v>
      </c>
      <c r="L278" s="150"/>
      <c r="M278" s="151"/>
      <c r="N278" s="152"/>
    </row>
    <row r="279" spans="2:14" s="1" customFormat="1" ht="30" hidden="1" customHeight="1" x14ac:dyDescent="0.15">
      <c r="B279" s="146">
        <f>IF(AND('Jrnl Rev'!G284&lt;&gt;"",'Jrnl Rev'!C284&lt;&gt;""),1,0)</f>
        <v>0</v>
      </c>
      <c r="C279" s="146">
        <f>'Jrnl Rev'!$C284</f>
        <v>0</v>
      </c>
      <c r="D279" s="147">
        <f>'Jrnl Rev'!$D284</f>
        <v>0</v>
      </c>
      <c r="E279" s="1510">
        <f>'Jrnl Rev'!$F284</f>
        <v>0</v>
      </c>
      <c r="F279" s="1510"/>
      <c r="G279" s="951" t="str">
        <f>IF('Jrnl Rev'!$E284="","",'Jrnl Rev'!$E284)</f>
        <v/>
      </c>
      <c r="H279" s="147">
        <f>'Jrnl Rev'!H284</f>
        <v>0</v>
      </c>
      <c r="I279" s="147" t="str">
        <f t="shared" si="8"/>
        <v>0</v>
      </c>
      <c r="J279" s="148" t="b">
        <f t="shared" si="9"/>
        <v>0</v>
      </c>
      <c r="K279" s="149">
        <f>'Jrnl Rev'!$G284</f>
        <v>0</v>
      </c>
      <c r="L279" s="150"/>
      <c r="M279" s="151"/>
      <c r="N279" s="152"/>
    </row>
    <row r="280" spans="2:14" s="1" customFormat="1" ht="30" hidden="1" customHeight="1" x14ac:dyDescent="0.15">
      <c r="B280" s="146">
        <f>IF(AND('Jrnl Rev'!G285&lt;&gt;"",'Jrnl Rev'!C285&lt;&gt;""),1,0)</f>
        <v>0</v>
      </c>
      <c r="C280" s="146">
        <f>'Jrnl Rev'!$C285</f>
        <v>0</v>
      </c>
      <c r="D280" s="147">
        <f>'Jrnl Rev'!$D285</f>
        <v>0</v>
      </c>
      <c r="E280" s="1510">
        <f>'Jrnl Rev'!$F285</f>
        <v>0</v>
      </c>
      <c r="F280" s="1510"/>
      <c r="G280" s="951" t="str">
        <f>IF('Jrnl Rev'!$E285="","",'Jrnl Rev'!$E285)</f>
        <v/>
      </c>
      <c r="H280" s="147">
        <f>'Jrnl Rev'!H285</f>
        <v>0</v>
      </c>
      <c r="I280" s="147" t="str">
        <f t="shared" si="8"/>
        <v>0</v>
      </c>
      <c r="J280" s="148" t="b">
        <f t="shared" si="9"/>
        <v>0</v>
      </c>
      <c r="K280" s="149">
        <f>'Jrnl Rev'!$G285</f>
        <v>0</v>
      </c>
      <c r="L280" s="150"/>
      <c r="M280" s="151"/>
      <c r="N280" s="152"/>
    </row>
    <row r="281" spans="2:14" s="1" customFormat="1" ht="30" hidden="1" customHeight="1" x14ac:dyDescent="0.15">
      <c r="B281" s="146">
        <f>IF(AND('Jrnl Rev'!G286&lt;&gt;"",'Jrnl Rev'!C286&lt;&gt;""),1,0)</f>
        <v>0</v>
      </c>
      <c r="C281" s="146">
        <f>'Jrnl Rev'!$C286</f>
        <v>0</v>
      </c>
      <c r="D281" s="147">
        <f>'Jrnl Rev'!$D286</f>
        <v>0</v>
      </c>
      <c r="E281" s="1510">
        <f>'Jrnl Rev'!$F286</f>
        <v>0</v>
      </c>
      <c r="F281" s="1510"/>
      <c r="G281" s="951" t="str">
        <f>IF('Jrnl Rev'!$E286="","",'Jrnl Rev'!$E286)</f>
        <v/>
      </c>
      <c r="H281" s="147">
        <f>'Jrnl Rev'!H286</f>
        <v>0</v>
      </c>
      <c r="I281" s="147" t="str">
        <f t="shared" si="8"/>
        <v>0</v>
      </c>
      <c r="J281" s="148" t="b">
        <f t="shared" si="9"/>
        <v>0</v>
      </c>
      <c r="K281" s="149">
        <f>'Jrnl Rev'!$G286</f>
        <v>0</v>
      </c>
      <c r="L281" s="150"/>
      <c r="M281" s="151"/>
      <c r="N281" s="152"/>
    </row>
    <row r="282" spans="2:14" s="1" customFormat="1" ht="30" hidden="1" customHeight="1" x14ac:dyDescent="0.15">
      <c r="B282" s="146">
        <f>IF(AND('Jrnl Rev'!G287&lt;&gt;"",'Jrnl Rev'!C287&lt;&gt;""),1,0)</f>
        <v>0</v>
      </c>
      <c r="C282" s="146">
        <f>'Jrnl Rev'!$C287</f>
        <v>0</v>
      </c>
      <c r="D282" s="147">
        <f>'Jrnl Rev'!$D287</f>
        <v>0</v>
      </c>
      <c r="E282" s="1510">
        <f>'Jrnl Rev'!$F287</f>
        <v>0</v>
      </c>
      <c r="F282" s="1510"/>
      <c r="G282" s="951" t="str">
        <f>IF('Jrnl Rev'!$E287="","",'Jrnl Rev'!$E287)</f>
        <v/>
      </c>
      <c r="H282" s="147">
        <f>'Jrnl Rev'!H287</f>
        <v>0</v>
      </c>
      <c r="I282" s="147" t="str">
        <f t="shared" si="8"/>
        <v>0</v>
      </c>
      <c r="J282" s="148" t="b">
        <f t="shared" si="9"/>
        <v>0</v>
      </c>
      <c r="K282" s="149">
        <f>'Jrnl Rev'!$G287</f>
        <v>0</v>
      </c>
      <c r="L282" s="150"/>
      <c r="M282" s="151"/>
      <c r="N282" s="152"/>
    </row>
    <row r="283" spans="2:14" s="1" customFormat="1" ht="30" hidden="1" customHeight="1" x14ac:dyDescent="0.15">
      <c r="B283" s="146">
        <f>IF(AND('Jrnl Rev'!G288&lt;&gt;"",'Jrnl Rev'!C288&lt;&gt;""),1,0)</f>
        <v>0</v>
      </c>
      <c r="C283" s="146">
        <f>'Jrnl Rev'!$C288</f>
        <v>0</v>
      </c>
      <c r="D283" s="147">
        <f>'Jrnl Rev'!$D288</f>
        <v>0</v>
      </c>
      <c r="E283" s="1510">
        <f>'Jrnl Rev'!$F288</f>
        <v>0</v>
      </c>
      <c r="F283" s="1510"/>
      <c r="G283" s="951" t="str">
        <f>IF('Jrnl Rev'!$E288="","",'Jrnl Rev'!$E288)</f>
        <v/>
      </c>
      <c r="H283" s="147">
        <f>'Jrnl Rev'!H288</f>
        <v>0</v>
      </c>
      <c r="I283" s="147" t="str">
        <f t="shared" si="8"/>
        <v>0</v>
      </c>
      <c r="J283" s="148" t="b">
        <f t="shared" si="9"/>
        <v>0</v>
      </c>
      <c r="K283" s="149">
        <f>'Jrnl Rev'!$G288</f>
        <v>0</v>
      </c>
      <c r="L283" s="150"/>
      <c r="M283" s="151"/>
      <c r="N283" s="152"/>
    </row>
    <row r="284" spans="2:14" s="1" customFormat="1" ht="30" hidden="1" customHeight="1" x14ac:dyDescent="0.15">
      <c r="B284" s="146">
        <f>IF(AND('Jrnl Rev'!G289&lt;&gt;"",'Jrnl Rev'!C289&lt;&gt;""),1,0)</f>
        <v>0</v>
      </c>
      <c r="C284" s="146">
        <f>'Jrnl Rev'!$C289</f>
        <v>0</v>
      </c>
      <c r="D284" s="147">
        <f>'Jrnl Rev'!$D289</f>
        <v>0</v>
      </c>
      <c r="E284" s="1510">
        <f>'Jrnl Rev'!$F289</f>
        <v>0</v>
      </c>
      <c r="F284" s="1510"/>
      <c r="G284" s="951" t="str">
        <f>IF('Jrnl Rev'!$E289="","",'Jrnl Rev'!$E289)</f>
        <v/>
      </c>
      <c r="H284" s="147">
        <f>'Jrnl Rev'!H289</f>
        <v>0</v>
      </c>
      <c r="I284" s="147" t="str">
        <f t="shared" si="8"/>
        <v>0</v>
      </c>
      <c r="J284" s="148" t="b">
        <f t="shared" si="9"/>
        <v>0</v>
      </c>
      <c r="K284" s="149">
        <f>'Jrnl Rev'!$G289</f>
        <v>0</v>
      </c>
      <c r="L284" s="150"/>
      <c r="M284" s="151"/>
      <c r="N284" s="152"/>
    </row>
    <row r="285" spans="2:14" s="1" customFormat="1" ht="30" hidden="1" customHeight="1" x14ac:dyDescent="0.15">
      <c r="B285" s="146">
        <f>IF(AND('Jrnl Rev'!G290&lt;&gt;"",'Jrnl Rev'!C290&lt;&gt;""),1,0)</f>
        <v>0</v>
      </c>
      <c r="C285" s="146">
        <f>'Jrnl Rev'!$C290</f>
        <v>0</v>
      </c>
      <c r="D285" s="147">
        <f>'Jrnl Rev'!$D290</f>
        <v>0</v>
      </c>
      <c r="E285" s="1510">
        <f>'Jrnl Rev'!$F290</f>
        <v>0</v>
      </c>
      <c r="F285" s="1510"/>
      <c r="G285" s="951" t="str">
        <f>IF('Jrnl Rev'!$E290="","",'Jrnl Rev'!$E290)</f>
        <v/>
      </c>
      <c r="H285" s="147">
        <f>'Jrnl Rev'!H290</f>
        <v>0</v>
      </c>
      <c r="I285" s="147" t="str">
        <f t="shared" si="8"/>
        <v>0</v>
      </c>
      <c r="J285" s="148" t="b">
        <f t="shared" si="9"/>
        <v>0</v>
      </c>
      <c r="K285" s="149">
        <f>'Jrnl Rev'!$G290</f>
        <v>0</v>
      </c>
      <c r="L285" s="150"/>
      <c r="M285" s="151"/>
      <c r="N285" s="152"/>
    </row>
    <row r="286" spans="2:14" s="1" customFormat="1" ht="30" hidden="1" customHeight="1" x14ac:dyDescent="0.15">
      <c r="B286" s="146">
        <f>IF(AND('Jrnl Rev'!G291&lt;&gt;"",'Jrnl Rev'!C291&lt;&gt;""),1,0)</f>
        <v>0</v>
      </c>
      <c r="C286" s="146">
        <f>'Jrnl Rev'!$C291</f>
        <v>0</v>
      </c>
      <c r="D286" s="147">
        <f>'Jrnl Rev'!$D291</f>
        <v>0</v>
      </c>
      <c r="E286" s="1510">
        <f>'Jrnl Rev'!$F291</f>
        <v>0</v>
      </c>
      <c r="F286" s="1510"/>
      <c r="G286" s="951" t="str">
        <f>IF('Jrnl Rev'!$E291="","",'Jrnl Rev'!$E291)</f>
        <v/>
      </c>
      <c r="H286" s="147">
        <f>'Jrnl Rev'!H291</f>
        <v>0</v>
      </c>
      <c r="I286" s="147" t="str">
        <f t="shared" si="8"/>
        <v>0</v>
      </c>
      <c r="J286" s="148" t="b">
        <f t="shared" si="9"/>
        <v>0</v>
      </c>
      <c r="K286" s="149">
        <f>'Jrnl Rev'!$G291</f>
        <v>0</v>
      </c>
      <c r="L286" s="150"/>
      <c r="M286" s="151"/>
      <c r="N286" s="152"/>
    </row>
    <row r="287" spans="2:14" s="1" customFormat="1" ht="30" hidden="1" customHeight="1" x14ac:dyDescent="0.15">
      <c r="B287" s="146">
        <f>IF(AND('Jrnl Rev'!G292&lt;&gt;"",'Jrnl Rev'!C292&lt;&gt;""),1,0)</f>
        <v>0</v>
      </c>
      <c r="C287" s="146">
        <f>'Jrnl Rev'!$C292</f>
        <v>0</v>
      </c>
      <c r="D287" s="147">
        <f>'Jrnl Rev'!$D292</f>
        <v>0</v>
      </c>
      <c r="E287" s="1510">
        <f>'Jrnl Rev'!$F292</f>
        <v>0</v>
      </c>
      <c r="F287" s="1510"/>
      <c r="G287" s="951" t="str">
        <f>IF('Jrnl Rev'!$E292="","",'Jrnl Rev'!$E292)</f>
        <v/>
      </c>
      <c r="H287" s="147">
        <f>'Jrnl Rev'!H292</f>
        <v>0</v>
      </c>
      <c r="I287" s="147" t="str">
        <f t="shared" si="8"/>
        <v>0</v>
      </c>
      <c r="J287" s="148" t="b">
        <f t="shared" si="9"/>
        <v>0</v>
      </c>
      <c r="K287" s="149">
        <f>'Jrnl Rev'!$G292</f>
        <v>0</v>
      </c>
      <c r="L287" s="150"/>
      <c r="M287" s="151"/>
      <c r="N287" s="152"/>
    </row>
    <row r="288" spans="2:14" s="1" customFormat="1" ht="30" hidden="1" customHeight="1" x14ac:dyDescent="0.15">
      <c r="B288" s="146">
        <f>IF(AND('Jrnl Rev'!G293&lt;&gt;"",'Jrnl Rev'!C293&lt;&gt;""),1,0)</f>
        <v>0</v>
      </c>
      <c r="C288" s="146">
        <f>'Jrnl Rev'!$C293</f>
        <v>0</v>
      </c>
      <c r="D288" s="147">
        <f>'Jrnl Rev'!$D293</f>
        <v>0</v>
      </c>
      <c r="E288" s="1510">
        <f>'Jrnl Rev'!$F293</f>
        <v>0</v>
      </c>
      <c r="F288" s="1510"/>
      <c r="G288" s="951" t="str">
        <f>IF('Jrnl Rev'!$E293="","",'Jrnl Rev'!$E293)</f>
        <v/>
      </c>
      <c r="H288" s="147">
        <f>'Jrnl Rev'!H293</f>
        <v>0</v>
      </c>
      <c r="I288" s="147" t="str">
        <f t="shared" si="8"/>
        <v>0</v>
      </c>
      <c r="J288" s="148" t="b">
        <f t="shared" si="9"/>
        <v>0</v>
      </c>
      <c r="K288" s="149">
        <f>'Jrnl Rev'!$G293</f>
        <v>0</v>
      </c>
      <c r="L288" s="150"/>
      <c r="M288" s="151"/>
      <c r="N288" s="152"/>
    </row>
    <row r="289" spans="2:14" s="1" customFormat="1" ht="30" hidden="1" customHeight="1" x14ac:dyDescent="0.15">
      <c r="B289" s="146">
        <f>IF(AND('Jrnl Rev'!G294&lt;&gt;"",'Jrnl Rev'!C294&lt;&gt;""),1,0)</f>
        <v>0</v>
      </c>
      <c r="C289" s="146">
        <f>'Jrnl Rev'!$C294</f>
        <v>0</v>
      </c>
      <c r="D289" s="147">
        <f>'Jrnl Rev'!$D294</f>
        <v>0</v>
      </c>
      <c r="E289" s="1510">
        <f>'Jrnl Rev'!$F294</f>
        <v>0</v>
      </c>
      <c r="F289" s="1510"/>
      <c r="G289" s="951" t="str">
        <f>IF('Jrnl Rev'!$E294="","",'Jrnl Rev'!$E294)</f>
        <v/>
      </c>
      <c r="H289" s="147">
        <f>'Jrnl Rev'!H294</f>
        <v>0</v>
      </c>
      <c r="I289" s="147" t="str">
        <f t="shared" si="8"/>
        <v>0</v>
      </c>
      <c r="J289" s="148" t="b">
        <f t="shared" si="9"/>
        <v>0</v>
      </c>
      <c r="K289" s="149">
        <f>'Jrnl Rev'!$G294</f>
        <v>0</v>
      </c>
      <c r="L289" s="150"/>
      <c r="M289" s="151"/>
      <c r="N289" s="152"/>
    </row>
    <row r="290" spans="2:14" s="1" customFormat="1" ht="30" hidden="1" customHeight="1" x14ac:dyDescent="0.15">
      <c r="B290" s="146">
        <f>IF(AND('Jrnl Rev'!G295&lt;&gt;"",'Jrnl Rev'!C295&lt;&gt;""),1,0)</f>
        <v>0</v>
      </c>
      <c r="C290" s="146">
        <f>'Jrnl Rev'!$C295</f>
        <v>0</v>
      </c>
      <c r="D290" s="147">
        <f>'Jrnl Rev'!$D295</f>
        <v>0</v>
      </c>
      <c r="E290" s="1510">
        <f>'Jrnl Rev'!$F295</f>
        <v>0</v>
      </c>
      <c r="F290" s="1510"/>
      <c r="G290" s="951" t="str">
        <f>IF('Jrnl Rev'!$E295="","",'Jrnl Rev'!$E295)</f>
        <v/>
      </c>
      <c r="H290" s="147">
        <f>'Jrnl Rev'!H295</f>
        <v>0</v>
      </c>
      <c r="I290" s="147" t="str">
        <f t="shared" si="8"/>
        <v>0</v>
      </c>
      <c r="J290" s="148" t="b">
        <f t="shared" si="9"/>
        <v>0</v>
      </c>
      <c r="K290" s="149">
        <f>'Jrnl Rev'!$G295</f>
        <v>0</v>
      </c>
      <c r="L290" s="150"/>
      <c r="M290" s="151"/>
      <c r="N290" s="152"/>
    </row>
    <row r="291" spans="2:14" s="1" customFormat="1" ht="30" hidden="1" customHeight="1" x14ac:dyDescent="0.15">
      <c r="B291" s="146">
        <f>IF(AND('Jrnl Rev'!G296&lt;&gt;"",'Jrnl Rev'!C296&lt;&gt;""),1,0)</f>
        <v>0</v>
      </c>
      <c r="C291" s="146">
        <f>'Jrnl Rev'!$C296</f>
        <v>0</v>
      </c>
      <c r="D291" s="147">
        <f>'Jrnl Rev'!$D296</f>
        <v>0</v>
      </c>
      <c r="E291" s="1510">
        <f>'Jrnl Rev'!$F296</f>
        <v>0</v>
      </c>
      <c r="F291" s="1510"/>
      <c r="G291" s="951" t="str">
        <f>IF('Jrnl Rev'!$E296="","",'Jrnl Rev'!$E296)</f>
        <v/>
      </c>
      <c r="H291" s="147">
        <f>'Jrnl Rev'!H296</f>
        <v>0</v>
      </c>
      <c r="I291" s="147" t="str">
        <f t="shared" si="8"/>
        <v>0</v>
      </c>
      <c r="J291" s="148" t="b">
        <f t="shared" si="9"/>
        <v>0</v>
      </c>
      <c r="K291" s="149">
        <f>'Jrnl Rev'!$G296</f>
        <v>0</v>
      </c>
      <c r="L291" s="150"/>
      <c r="M291" s="151"/>
      <c r="N291" s="152"/>
    </row>
    <row r="292" spans="2:14" s="1" customFormat="1" ht="30" hidden="1" customHeight="1" x14ac:dyDescent="0.15">
      <c r="B292" s="146">
        <f>IF(AND('Jrnl Rev'!G297&lt;&gt;"",'Jrnl Rev'!C297&lt;&gt;""),1,0)</f>
        <v>0</v>
      </c>
      <c r="C292" s="146">
        <f>'Jrnl Rev'!$C297</f>
        <v>0</v>
      </c>
      <c r="D292" s="147">
        <f>'Jrnl Rev'!$D297</f>
        <v>0</v>
      </c>
      <c r="E292" s="1510">
        <f>'Jrnl Rev'!$F297</f>
        <v>0</v>
      </c>
      <c r="F292" s="1510"/>
      <c r="G292" s="951" t="str">
        <f>IF('Jrnl Rev'!$E297="","",'Jrnl Rev'!$E297)</f>
        <v/>
      </c>
      <c r="H292" s="147">
        <f>'Jrnl Rev'!H297</f>
        <v>0</v>
      </c>
      <c r="I292" s="147" t="str">
        <f t="shared" si="8"/>
        <v>0</v>
      </c>
      <c r="J292" s="148" t="b">
        <f t="shared" si="9"/>
        <v>0</v>
      </c>
      <c r="K292" s="149">
        <f>'Jrnl Rev'!$G297</f>
        <v>0</v>
      </c>
      <c r="L292" s="150"/>
      <c r="M292" s="151"/>
      <c r="N292" s="152"/>
    </row>
    <row r="293" spans="2:14" s="1" customFormat="1" ht="30" hidden="1" customHeight="1" x14ac:dyDescent="0.15">
      <c r="B293" s="146">
        <f>IF(AND('Jrnl Rev'!G298&lt;&gt;"",'Jrnl Rev'!C298&lt;&gt;""),1,0)</f>
        <v>0</v>
      </c>
      <c r="C293" s="146">
        <f>'Jrnl Rev'!$C298</f>
        <v>0</v>
      </c>
      <c r="D293" s="147">
        <f>'Jrnl Rev'!$D298</f>
        <v>0</v>
      </c>
      <c r="E293" s="1510">
        <f>'Jrnl Rev'!$F298</f>
        <v>0</v>
      </c>
      <c r="F293" s="1510"/>
      <c r="G293" s="951" t="str">
        <f>IF('Jrnl Rev'!$E298="","",'Jrnl Rev'!$E298)</f>
        <v/>
      </c>
      <c r="H293" s="147">
        <f>'Jrnl Rev'!H298</f>
        <v>0</v>
      </c>
      <c r="I293" s="147" t="str">
        <f t="shared" si="8"/>
        <v>0</v>
      </c>
      <c r="J293" s="148" t="b">
        <f t="shared" si="9"/>
        <v>0</v>
      </c>
      <c r="K293" s="149">
        <f>'Jrnl Rev'!$G298</f>
        <v>0</v>
      </c>
      <c r="L293" s="150"/>
      <c r="M293" s="151"/>
      <c r="N293" s="152"/>
    </row>
    <row r="294" spans="2:14" s="1" customFormat="1" ht="30" hidden="1" customHeight="1" x14ac:dyDescent="0.15">
      <c r="B294" s="146">
        <f>IF(AND('Jrnl Rev'!G299&lt;&gt;"",'Jrnl Rev'!C299&lt;&gt;""),1,0)</f>
        <v>0</v>
      </c>
      <c r="C294" s="146">
        <f>'Jrnl Rev'!$C299</f>
        <v>0</v>
      </c>
      <c r="D294" s="147">
        <f>'Jrnl Rev'!$D299</f>
        <v>0</v>
      </c>
      <c r="E294" s="1510">
        <f>'Jrnl Rev'!$F299</f>
        <v>0</v>
      </c>
      <c r="F294" s="1510"/>
      <c r="G294" s="951" t="str">
        <f>IF('Jrnl Rev'!$E299="","",'Jrnl Rev'!$E299)</f>
        <v/>
      </c>
      <c r="H294" s="147">
        <f>'Jrnl Rev'!H299</f>
        <v>0</v>
      </c>
      <c r="I294" s="147" t="str">
        <f t="shared" si="8"/>
        <v>0</v>
      </c>
      <c r="J294" s="148" t="b">
        <f t="shared" si="9"/>
        <v>0</v>
      </c>
      <c r="K294" s="149">
        <f>'Jrnl Rev'!$G299</f>
        <v>0</v>
      </c>
      <c r="L294" s="150"/>
      <c r="M294" s="151"/>
      <c r="N294" s="152"/>
    </row>
    <row r="295" spans="2:14" s="1" customFormat="1" ht="30" hidden="1" customHeight="1" x14ac:dyDescent="0.15">
      <c r="B295" s="146">
        <f>IF(AND('Jrnl Rev'!G300&lt;&gt;"",'Jrnl Rev'!C300&lt;&gt;""),1,0)</f>
        <v>0</v>
      </c>
      <c r="C295" s="146">
        <f>'Jrnl Rev'!$C300</f>
        <v>0</v>
      </c>
      <c r="D295" s="147">
        <f>'Jrnl Rev'!$D300</f>
        <v>0</v>
      </c>
      <c r="E295" s="1510">
        <f>'Jrnl Rev'!$F300</f>
        <v>0</v>
      </c>
      <c r="F295" s="1510"/>
      <c r="G295" s="951" t="str">
        <f>IF('Jrnl Rev'!$E300="","",'Jrnl Rev'!$E300)</f>
        <v/>
      </c>
      <c r="H295" s="147">
        <f>'Jrnl Rev'!H300</f>
        <v>0</v>
      </c>
      <c r="I295" s="147" t="str">
        <f t="shared" si="8"/>
        <v>0</v>
      </c>
      <c r="J295" s="148" t="b">
        <f t="shared" si="9"/>
        <v>0</v>
      </c>
      <c r="K295" s="149">
        <f>'Jrnl Rev'!$G300</f>
        <v>0</v>
      </c>
      <c r="L295" s="150"/>
      <c r="M295" s="151"/>
      <c r="N295" s="152"/>
    </row>
    <row r="296" spans="2:14" s="1" customFormat="1" ht="30" hidden="1" customHeight="1" x14ac:dyDescent="0.15">
      <c r="B296" s="146">
        <f>IF(AND('Jrnl Rev'!G301&lt;&gt;"",'Jrnl Rev'!C301&lt;&gt;""),1,0)</f>
        <v>0</v>
      </c>
      <c r="C296" s="146">
        <f>'Jrnl Rev'!$C301</f>
        <v>0</v>
      </c>
      <c r="D296" s="147">
        <f>'Jrnl Rev'!$D301</f>
        <v>0</v>
      </c>
      <c r="E296" s="1510">
        <f>'Jrnl Rev'!$F301</f>
        <v>0</v>
      </c>
      <c r="F296" s="1510"/>
      <c r="G296" s="951" t="str">
        <f>IF('Jrnl Rev'!$E301="","",'Jrnl Rev'!$E301)</f>
        <v/>
      </c>
      <c r="H296" s="147">
        <f>'Jrnl Rev'!H301</f>
        <v>0</v>
      </c>
      <c r="I296" s="147" t="str">
        <f t="shared" si="8"/>
        <v>0</v>
      </c>
      <c r="J296" s="148" t="b">
        <f t="shared" si="9"/>
        <v>0</v>
      </c>
      <c r="K296" s="149">
        <f>'Jrnl Rev'!$G301</f>
        <v>0</v>
      </c>
      <c r="L296" s="150"/>
      <c r="M296" s="151"/>
      <c r="N296" s="152"/>
    </row>
    <row r="297" spans="2:14" s="1" customFormat="1" ht="30" hidden="1" customHeight="1" x14ac:dyDescent="0.15">
      <c r="B297" s="146">
        <f>IF(AND('Jrnl Rev'!G302&lt;&gt;"",'Jrnl Rev'!C302&lt;&gt;""),1,0)</f>
        <v>0</v>
      </c>
      <c r="C297" s="146">
        <f>'Jrnl Rev'!$C302</f>
        <v>0</v>
      </c>
      <c r="D297" s="147">
        <f>'Jrnl Rev'!$D302</f>
        <v>0</v>
      </c>
      <c r="E297" s="1510">
        <f>'Jrnl Rev'!$F302</f>
        <v>0</v>
      </c>
      <c r="F297" s="1510"/>
      <c r="G297" s="951" t="str">
        <f>IF('Jrnl Rev'!$E302="","",'Jrnl Rev'!$E302)</f>
        <v/>
      </c>
      <c r="H297" s="147">
        <f>'Jrnl Rev'!H302</f>
        <v>0</v>
      </c>
      <c r="I297" s="147" t="str">
        <f t="shared" si="8"/>
        <v>0</v>
      </c>
      <c r="J297" s="148" t="b">
        <f t="shared" si="9"/>
        <v>0</v>
      </c>
      <c r="K297" s="149">
        <f>'Jrnl Rev'!$G302</f>
        <v>0</v>
      </c>
      <c r="L297" s="150"/>
      <c r="M297" s="151"/>
      <c r="N297" s="152"/>
    </row>
    <row r="298" spans="2:14" s="1" customFormat="1" ht="30" hidden="1" customHeight="1" x14ac:dyDescent="0.15">
      <c r="B298" s="146">
        <f>IF(AND('Jrnl Rev'!G303&lt;&gt;"",'Jrnl Rev'!C303&lt;&gt;""),1,0)</f>
        <v>0</v>
      </c>
      <c r="C298" s="146">
        <f>'Jrnl Rev'!$C303</f>
        <v>0</v>
      </c>
      <c r="D298" s="147">
        <f>'Jrnl Rev'!$D303</f>
        <v>0</v>
      </c>
      <c r="E298" s="1510">
        <f>'Jrnl Rev'!$F303</f>
        <v>0</v>
      </c>
      <c r="F298" s="1510"/>
      <c r="G298" s="951" t="str">
        <f>IF('Jrnl Rev'!$E303="","",'Jrnl Rev'!$E303)</f>
        <v/>
      </c>
      <c r="H298" s="147">
        <f>'Jrnl Rev'!H303</f>
        <v>0</v>
      </c>
      <c r="I298" s="147" t="str">
        <f t="shared" si="8"/>
        <v>0</v>
      </c>
      <c r="J298" s="148" t="b">
        <f t="shared" si="9"/>
        <v>0</v>
      </c>
      <c r="K298" s="149">
        <f>'Jrnl Rev'!$G303</f>
        <v>0</v>
      </c>
      <c r="L298" s="150"/>
      <c r="M298" s="151"/>
      <c r="N298" s="152"/>
    </row>
    <row r="299" spans="2:14" s="1" customFormat="1" ht="30" hidden="1" customHeight="1" x14ac:dyDescent="0.15">
      <c r="B299" s="146">
        <f>IF(AND('Jrnl Rev'!G304&lt;&gt;"",'Jrnl Rev'!C304&lt;&gt;""),1,0)</f>
        <v>0</v>
      </c>
      <c r="C299" s="146">
        <f>'Jrnl Rev'!$C304</f>
        <v>0</v>
      </c>
      <c r="D299" s="147">
        <f>'Jrnl Rev'!$D304</f>
        <v>0</v>
      </c>
      <c r="E299" s="1510">
        <f>'Jrnl Rev'!$F304</f>
        <v>0</v>
      </c>
      <c r="F299" s="1510"/>
      <c r="G299" s="951" t="str">
        <f>IF('Jrnl Rev'!$E304="","",'Jrnl Rev'!$E304)</f>
        <v/>
      </c>
      <c r="H299" s="147">
        <f>'Jrnl Rev'!H304</f>
        <v>0</v>
      </c>
      <c r="I299" s="147" t="str">
        <f t="shared" si="8"/>
        <v>0</v>
      </c>
      <c r="J299" s="148" t="b">
        <f t="shared" si="9"/>
        <v>0</v>
      </c>
      <c r="K299" s="149">
        <f>'Jrnl Rev'!$G304</f>
        <v>0</v>
      </c>
      <c r="L299" s="150"/>
      <c r="M299" s="151"/>
      <c r="N299" s="152"/>
    </row>
    <row r="300" spans="2:14" s="1" customFormat="1" ht="30" hidden="1" customHeight="1" x14ac:dyDescent="0.15">
      <c r="B300" s="146">
        <f>IF(AND('Jrnl Rev'!G305&lt;&gt;"",'Jrnl Rev'!C305&lt;&gt;""),1,0)</f>
        <v>0</v>
      </c>
      <c r="C300" s="146">
        <f>'Jrnl Rev'!$C305</f>
        <v>0</v>
      </c>
      <c r="D300" s="147">
        <f>'Jrnl Rev'!$D305</f>
        <v>0</v>
      </c>
      <c r="E300" s="1510">
        <f>'Jrnl Rev'!$F305</f>
        <v>0</v>
      </c>
      <c r="F300" s="1510"/>
      <c r="G300" s="951" t="str">
        <f>IF('Jrnl Rev'!$E305="","",'Jrnl Rev'!$E305)</f>
        <v/>
      </c>
      <c r="H300" s="147">
        <f>'Jrnl Rev'!H305</f>
        <v>0</v>
      </c>
      <c r="I300" s="147" t="str">
        <f t="shared" si="8"/>
        <v>0</v>
      </c>
      <c r="J300" s="148" t="b">
        <f t="shared" si="9"/>
        <v>0</v>
      </c>
      <c r="K300" s="149">
        <f>'Jrnl Rev'!$G305</f>
        <v>0</v>
      </c>
      <c r="L300" s="150"/>
      <c r="M300" s="151"/>
      <c r="N300" s="152"/>
    </row>
    <row r="301" spans="2:14" s="1" customFormat="1" ht="30" hidden="1" customHeight="1" x14ac:dyDescent="0.15">
      <c r="B301" s="146">
        <f>IF(AND('Jrnl Rev'!G306&lt;&gt;"",'Jrnl Rev'!C306&lt;&gt;""),1,0)</f>
        <v>0</v>
      </c>
      <c r="C301" s="146">
        <f>'Jrnl Rev'!$C306</f>
        <v>0</v>
      </c>
      <c r="D301" s="147">
        <f>'Jrnl Rev'!$D306</f>
        <v>0</v>
      </c>
      <c r="E301" s="1510">
        <f>'Jrnl Rev'!$F306</f>
        <v>0</v>
      </c>
      <c r="F301" s="1510"/>
      <c r="G301" s="951" t="str">
        <f>IF('Jrnl Rev'!$E306="","",'Jrnl Rev'!$E306)</f>
        <v/>
      </c>
      <c r="H301" s="147">
        <f>'Jrnl Rev'!H306</f>
        <v>0</v>
      </c>
      <c r="I301" s="147" t="str">
        <f t="shared" si="8"/>
        <v>0</v>
      </c>
      <c r="J301" s="148" t="b">
        <f t="shared" si="9"/>
        <v>0</v>
      </c>
      <c r="K301" s="149">
        <f>'Jrnl Rev'!$G306</f>
        <v>0</v>
      </c>
      <c r="L301" s="150"/>
      <c r="M301" s="151"/>
      <c r="N301" s="152"/>
    </row>
    <row r="302" spans="2:14" s="1" customFormat="1" ht="30" hidden="1" customHeight="1" x14ac:dyDescent="0.15">
      <c r="B302" s="146">
        <f>IF(AND('Jrnl Rev'!G307&lt;&gt;"",'Jrnl Rev'!C307&lt;&gt;""),1,0)</f>
        <v>0</v>
      </c>
      <c r="C302" s="146">
        <f>'Jrnl Rev'!$C307</f>
        <v>0</v>
      </c>
      <c r="D302" s="147">
        <f>'Jrnl Rev'!$D307</f>
        <v>0</v>
      </c>
      <c r="E302" s="1510">
        <f>'Jrnl Rev'!$F307</f>
        <v>0</v>
      </c>
      <c r="F302" s="1510"/>
      <c r="G302" s="951" t="str">
        <f>IF('Jrnl Rev'!$E307="","",'Jrnl Rev'!$E307)</f>
        <v/>
      </c>
      <c r="H302" s="147">
        <f>'Jrnl Rev'!H307</f>
        <v>0</v>
      </c>
      <c r="I302" s="147" t="str">
        <f t="shared" si="8"/>
        <v>0</v>
      </c>
      <c r="J302" s="148" t="b">
        <f t="shared" si="9"/>
        <v>0</v>
      </c>
      <c r="K302" s="149">
        <f>'Jrnl Rev'!$G307</f>
        <v>0</v>
      </c>
      <c r="L302" s="150"/>
      <c r="M302" s="151"/>
      <c r="N302" s="152"/>
    </row>
    <row r="303" spans="2:14" s="1" customFormat="1" ht="30" hidden="1" customHeight="1" x14ac:dyDescent="0.15">
      <c r="B303" s="146">
        <f>IF(AND('Jrnl Rev'!G308&lt;&gt;"",'Jrnl Rev'!C308&lt;&gt;""),1,0)</f>
        <v>0</v>
      </c>
      <c r="C303" s="146">
        <f>'Jrnl Rev'!$C308</f>
        <v>0</v>
      </c>
      <c r="D303" s="147">
        <f>'Jrnl Rev'!$D308</f>
        <v>0</v>
      </c>
      <c r="E303" s="1510">
        <f>'Jrnl Rev'!$F308</f>
        <v>0</v>
      </c>
      <c r="F303" s="1510"/>
      <c r="G303" s="951" t="str">
        <f>IF('Jrnl Rev'!$E308="","",'Jrnl Rev'!$E308)</f>
        <v/>
      </c>
      <c r="H303" s="147">
        <f>'Jrnl Rev'!H308</f>
        <v>0</v>
      </c>
      <c r="I303" s="147" t="str">
        <f t="shared" si="8"/>
        <v>0</v>
      </c>
      <c r="J303" s="148" t="b">
        <f t="shared" si="9"/>
        <v>0</v>
      </c>
      <c r="K303" s="149">
        <f>'Jrnl Rev'!$G308</f>
        <v>0</v>
      </c>
      <c r="L303" s="150"/>
      <c r="M303" s="151"/>
      <c r="N303" s="152"/>
    </row>
    <row r="304" spans="2:14" s="1" customFormat="1" ht="30" hidden="1" customHeight="1" x14ac:dyDescent="0.15">
      <c r="B304" s="146">
        <f>IF(AND('Jrnl Rev'!G309&lt;&gt;"",'Jrnl Rev'!C309&lt;&gt;""),1,0)</f>
        <v>0</v>
      </c>
      <c r="C304" s="146">
        <f>'Jrnl Rev'!$C309</f>
        <v>0</v>
      </c>
      <c r="D304" s="147">
        <f>'Jrnl Rev'!$D309</f>
        <v>0</v>
      </c>
      <c r="E304" s="1510">
        <f>'Jrnl Rev'!$F309</f>
        <v>0</v>
      </c>
      <c r="F304" s="1510"/>
      <c r="G304" s="951" t="str">
        <f>IF('Jrnl Rev'!$E309="","",'Jrnl Rev'!$E309)</f>
        <v/>
      </c>
      <c r="H304" s="147">
        <f>'Jrnl Rev'!H309</f>
        <v>0</v>
      </c>
      <c r="I304" s="147" t="str">
        <f t="shared" si="8"/>
        <v>0</v>
      </c>
      <c r="J304" s="148" t="b">
        <f t="shared" si="9"/>
        <v>0</v>
      </c>
      <c r="K304" s="149">
        <f>'Jrnl Rev'!$G309</f>
        <v>0</v>
      </c>
      <c r="L304" s="150"/>
      <c r="M304" s="151"/>
      <c r="N304" s="152"/>
    </row>
    <row r="305" spans="2:14" s="1" customFormat="1" ht="30" hidden="1" customHeight="1" x14ac:dyDescent="0.15">
      <c r="B305" s="146">
        <f>IF(AND('Jrnl Rev'!G310&lt;&gt;"",'Jrnl Rev'!C310&lt;&gt;""),1,0)</f>
        <v>0</v>
      </c>
      <c r="C305" s="146">
        <f>'Jrnl Rev'!$C310</f>
        <v>0</v>
      </c>
      <c r="D305" s="147">
        <f>'Jrnl Rev'!$D310</f>
        <v>0</v>
      </c>
      <c r="E305" s="1510">
        <f>'Jrnl Rev'!$F310</f>
        <v>0</v>
      </c>
      <c r="F305" s="1510"/>
      <c r="G305" s="951" t="str">
        <f>IF('Jrnl Rev'!$E310="","",'Jrnl Rev'!$E310)</f>
        <v/>
      </c>
      <c r="H305" s="147">
        <f>'Jrnl Rev'!H310</f>
        <v>0</v>
      </c>
      <c r="I305" s="147" t="str">
        <f t="shared" si="8"/>
        <v>0</v>
      </c>
      <c r="J305" s="148" t="b">
        <f t="shared" si="9"/>
        <v>0</v>
      </c>
      <c r="K305" s="149">
        <f>'Jrnl Rev'!$G310</f>
        <v>0</v>
      </c>
      <c r="L305" s="150"/>
      <c r="M305" s="151"/>
      <c r="N305" s="152"/>
    </row>
    <row r="306" spans="2:14" s="1" customFormat="1" ht="30" hidden="1" customHeight="1" x14ac:dyDescent="0.15">
      <c r="B306" s="146">
        <f>IF(AND('Jrnl Rev'!G311&lt;&gt;"",'Jrnl Rev'!C311&lt;&gt;""),1,0)</f>
        <v>0</v>
      </c>
      <c r="C306" s="146">
        <f>'Jrnl Rev'!$C311</f>
        <v>0</v>
      </c>
      <c r="D306" s="147">
        <f>'Jrnl Rev'!$D311</f>
        <v>0</v>
      </c>
      <c r="E306" s="1510">
        <f>'Jrnl Rev'!$F311</f>
        <v>0</v>
      </c>
      <c r="F306" s="1510"/>
      <c r="G306" s="951" t="str">
        <f>IF('Jrnl Rev'!$E311="","",'Jrnl Rev'!$E311)</f>
        <v/>
      </c>
      <c r="H306" s="147">
        <f>'Jrnl Rev'!H311</f>
        <v>0</v>
      </c>
      <c r="I306" s="147" t="str">
        <f t="shared" si="8"/>
        <v>0</v>
      </c>
      <c r="J306" s="148" t="b">
        <f t="shared" si="9"/>
        <v>0</v>
      </c>
      <c r="K306" s="149">
        <f>'Jrnl Rev'!$G311</f>
        <v>0</v>
      </c>
      <c r="L306" s="150"/>
      <c r="M306" s="151"/>
      <c r="N306" s="152"/>
    </row>
    <row r="307" spans="2:14" s="1" customFormat="1" ht="30" hidden="1" customHeight="1" x14ac:dyDescent="0.15">
      <c r="B307" s="146">
        <f>IF(AND('Jrnl Rev'!G312&lt;&gt;"",'Jrnl Rev'!C312&lt;&gt;""),1,0)</f>
        <v>0</v>
      </c>
      <c r="C307" s="146">
        <f>'Jrnl Rev'!$C312</f>
        <v>0</v>
      </c>
      <c r="D307" s="147">
        <f>'Jrnl Rev'!$D312</f>
        <v>0</v>
      </c>
      <c r="E307" s="1510">
        <f>'Jrnl Rev'!$F312</f>
        <v>0</v>
      </c>
      <c r="F307" s="1510"/>
      <c r="G307" s="951" t="str">
        <f>IF('Jrnl Rev'!$E312="","",'Jrnl Rev'!$E312)</f>
        <v/>
      </c>
      <c r="H307" s="147">
        <f>'Jrnl Rev'!H312</f>
        <v>0</v>
      </c>
      <c r="I307" s="147" t="str">
        <f t="shared" si="8"/>
        <v>0</v>
      </c>
      <c r="J307" s="148" t="b">
        <f t="shared" si="9"/>
        <v>0</v>
      </c>
      <c r="K307" s="149">
        <f>'Jrnl Rev'!$G312</f>
        <v>0</v>
      </c>
      <c r="L307" s="150"/>
      <c r="M307" s="151"/>
      <c r="N307" s="152"/>
    </row>
    <row r="308" spans="2:14" s="1" customFormat="1" ht="30" hidden="1" customHeight="1" x14ac:dyDescent="0.15">
      <c r="B308" s="146">
        <f>IF(AND('Jrnl Rev'!G313&lt;&gt;"",'Jrnl Rev'!C313&lt;&gt;""),1,0)</f>
        <v>0</v>
      </c>
      <c r="C308" s="146">
        <f>'Jrnl Rev'!$C313</f>
        <v>0</v>
      </c>
      <c r="D308" s="147">
        <f>'Jrnl Rev'!$D313</f>
        <v>0</v>
      </c>
      <c r="E308" s="1510">
        <f>'Jrnl Rev'!$F313</f>
        <v>0</v>
      </c>
      <c r="F308" s="1510"/>
      <c r="G308" s="951" t="str">
        <f>IF('Jrnl Rev'!$E313="","",'Jrnl Rev'!$E313)</f>
        <v/>
      </c>
      <c r="H308" s="147">
        <f>'Jrnl Rev'!H313</f>
        <v>0</v>
      </c>
      <c r="I308" s="147" t="str">
        <f t="shared" si="8"/>
        <v>0</v>
      </c>
      <c r="J308" s="148" t="b">
        <f t="shared" si="9"/>
        <v>0</v>
      </c>
      <c r="K308" s="149">
        <f>'Jrnl Rev'!$G313</f>
        <v>0</v>
      </c>
      <c r="L308" s="150"/>
      <c r="M308" s="151"/>
      <c r="N308" s="152"/>
    </row>
    <row r="309" spans="2:14" s="1" customFormat="1" ht="30" hidden="1" customHeight="1" x14ac:dyDescent="0.15">
      <c r="B309" s="146">
        <f>IF(AND('Jrnl Rev'!G314&lt;&gt;"",'Jrnl Rev'!C314&lt;&gt;""),1,0)</f>
        <v>0</v>
      </c>
      <c r="C309" s="146">
        <f>'Jrnl Rev'!$C314</f>
        <v>0</v>
      </c>
      <c r="D309" s="147">
        <f>'Jrnl Rev'!$D314</f>
        <v>0</v>
      </c>
      <c r="E309" s="1510">
        <f>'Jrnl Rev'!$F314</f>
        <v>0</v>
      </c>
      <c r="F309" s="1510"/>
      <c r="G309" s="951" t="str">
        <f>IF('Jrnl Rev'!$E314="","",'Jrnl Rev'!$E314)</f>
        <v/>
      </c>
      <c r="H309" s="147">
        <f>'Jrnl Rev'!H314</f>
        <v>0</v>
      </c>
      <c r="I309" s="147" t="str">
        <f t="shared" si="8"/>
        <v>0</v>
      </c>
      <c r="J309" s="148" t="b">
        <f t="shared" si="9"/>
        <v>0</v>
      </c>
      <c r="K309" s="149">
        <f>'Jrnl Rev'!$G314</f>
        <v>0</v>
      </c>
      <c r="L309" s="150"/>
      <c r="M309" s="151"/>
      <c r="N309" s="152"/>
    </row>
    <row r="310" spans="2:14" s="1" customFormat="1" ht="30" hidden="1" customHeight="1" x14ac:dyDescent="0.15">
      <c r="B310" s="146">
        <f>IF(AND('Jrnl Rev'!G315&lt;&gt;"",'Jrnl Rev'!C315&lt;&gt;""),1,0)</f>
        <v>0</v>
      </c>
      <c r="C310" s="146">
        <f>'Jrnl Rev'!$C315</f>
        <v>0</v>
      </c>
      <c r="D310" s="147">
        <f>'Jrnl Rev'!$D315</f>
        <v>0</v>
      </c>
      <c r="E310" s="1510">
        <f>'Jrnl Rev'!$F315</f>
        <v>0</v>
      </c>
      <c r="F310" s="1510"/>
      <c r="G310" s="951" t="str">
        <f>IF('Jrnl Rev'!$E315="","",'Jrnl Rev'!$E315)</f>
        <v/>
      </c>
      <c r="H310" s="147">
        <f>'Jrnl Rev'!H315</f>
        <v>0</v>
      </c>
      <c r="I310" s="147" t="str">
        <f t="shared" si="8"/>
        <v>0</v>
      </c>
      <c r="J310" s="148" t="b">
        <f t="shared" si="9"/>
        <v>0</v>
      </c>
      <c r="K310" s="149">
        <f>'Jrnl Rev'!$G315</f>
        <v>0</v>
      </c>
      <c r="L310" s="150"/>
      <c r="M310" s="151"/>
      <c r="N310" s="152"/>
    </row>
    <row r="311" spans="2:14" s="1" customFormat="1" ht="30" hidden="1" customHeight="1" x14ac:dyDescent="0.15">
      <c r="B311" s="146">
        <f>IF(AND('Jrnl Rev'!G316&lt;&gt;"",'Jrnl Rev'!C316&lt;&gt;""),1,0)</f>
        <v>0</v>
      </c>
      <c r="C311" s="146">
        <f>'Jrnl Rev'!$C316</f>
        <v>0</v>
      </c>
      <c r="D311" s="147">
        <f>'Jrnl Rev'!$D316</f>
        <v>0</v>
      </c>
      <c r="E311" s="1510">
        <f>'Jrnl Rev'!$F316</f>
        <v>0</v>
      </c>
      <c r="F311" s="1510"/>
      <c r="G311" s="951" t="str">
        <f>IF('Jrnl Rev'!$E316="","",'Jrnl Rev'!$E316)</f>
        <v/>
      </c>
      <c r="H311" s="147">
        <f>'Jrnl Rev'!H316</f>
        <v>0</v>
      </c>
      <c r="I311" s="147" t="str">
        <f t="shared" si="8"/>
        <v>0</v>
      </c>
      <c r="J311" s="148" t="b">
        <f t="shared" si="9"/>
        <v>0</v>
      </c>
      <c r="K311" s="149">
        <f>'Jrnl Rev'!$G316</f>
        <v>0</v>
      </c>
      <c r="L311" s="150"/>
      <c r="M311" s="151">
        <f>'Jrnl Rev'!E106</f>
        <v>0</v>
      </c>
      <c r="N311" s="152">
        <f>'Jrnl Rev'!$H106</f>
        <v>0</v>
      </c>
    </row>
    <row r="312" spans="2:14" s="1" customFormat="1" ht="30" hidden="1" customHeight="1" x14ac:dyDescent="0.15">
      <c r="B312" s="146">
        <f>IF(AND('Jrnl Rev'!G317&lt;&gt;"",'Jrnl Rev'!C317&lt;&gt;""),1,0)</f>
        <v>0</v>
      </c>
      <c r="C312" s="146">
        <f>'Jrnl Rev'!$C317</f>
        <v>0</v>
      </c>
      <c r="D312" s="147">
        <f>'Jrnl Rev'!$D317</f>
        <v>0</v>
      </c>
      <c r="E312" s="1510">
        <f>'Jrnl Rev'!$F317</f>
        <v>0</v>
      </c>
      <c r="F312" s="1510"/>
      <c r="G312" s="951" t="str">
        <f>IF('Jrnl Rev'!$E317="","",'Jrnl Rev'!$E317)</f>
        <v/>
      </c>
      <c r="H312" s="147">
        <f>'Jrnl Rev'!H317</f>
        <v>0</v>
      </c>
      <c r="I312" s="147" t="str">
        <f t="shared" si="8"/>
        <v>0</v>
      </c>
      <c r="J312" s="148" t="b">
        <f t="shared" si="9"/>
        <v>0</v>
      </c>
      <c r="K312" s="149">
        <f>'Jrnl Rev'!$G317</f>
        <v>0</v>
      </c>
      <c r="L312" s="150"/>
      <c r="M312" s="151">
        <f>'Jrnl Rev'!E107</f>
        <v>0</v>
      </c>
      <c r="N312" s="152">
        <f>'Jrnl Rev'!$H107</f>
        <v>0</v>
      </c>
    </row>
    <row r="313" spans="2:14" s="1" customFormat="1" ht="30" hidden="1" customHeight="1" x14ac:dyDescent="0.15">
      <c r="B313" s="146">
        <f>IF(AND('Jrnl Rev'!G318&lt;&gt;"",'Jrnl Rev'!C318&lt;&gt;""),1,0)</f>
        <v>0</v>
      </c>
      <c r="C313" s="146">
        <f>'Jrnl Rev'!$C318</f>
        <v>0</v>
      </c>
      <c r="D313" s="147">
        <f>'Jrnl Rev'!$D318</f>
        <v>0</v>
      </c>
      <c r="E313" s="1510">
        <f>'Jrnl Rev'!$F318</f>
        <v>0</v>
      </c>
      <c r="F313" s="1510"/>
      <c r="G313" s="951" t="str">
        <f>IF('Jrnl Rev'!$E318="","",'Jrnl Rev'!$E318)</f>
        <v/>
      </c>
      <c r="H313" s="147">
        <f>'Jrnl Rev'!H318</f>
        <v>0</v>
      </c>
      <c r="I313" s="147" t="str">
        <f t="shared" si="8"/>
        <v>0</v>
      </c>
      <c r="J313" s="148" t="b">
        <f t="shared" si="9"/>
        <v>0</v>
      </c>
      <c r="K313" s="149">
        <f>'Jrnl Rev'!$G318</f>
        <v>0</v>
      </c>
      <c r="L313" s="150"/>
      <c r="M313" s="151">
        <f>'Jrnl Rev'!E108</f>
        <v>0</v>
      </c>
      <c r="N313" s="152">
        <f>'Jrnl Rev'!$H108</f>
        <v>0</v>
      </c>
    </row>
    <row r="314" spans="2:14" s="1" customFormat="1" ht="30" hidden="1" customHeight="1" x14ac:dyDescent="0.15">
      <c r="B314" s="146">
        <f>IF(AND('Jrnl Rev'!G319&lt;&gt;"",'Jrnl Rev'!C319&lt;&gt;""),1,0)</f>
        <v>0</v>
      </c>
      <c r="C314" s="146">
        <f>'Jrnl Rev'!$C319</f>
        <v>0</v>
      </c>
      <c r="D314" s="147">
        <f>'Jrnl Rev'!$D319</f>
        <v>0</v>
      </c>
      <c r="E314" s="1510">
        <f>'Jrnl Rev'!$F319</f>
        <v>0</v>
      </c>
      <c r="F314" s="1510"/>
      <c r="G314" s="951" t="str">
        <f>IF('Jrnl Rev'!$E319="","",'Jrnl Rev'!$E319)</f>
        <v/>
      </c>
      <c r="H314" s="147">
        <f>'Jrnl Rev'!H319</f>
        <v>0</v>
      </c>
      <c r="I314" s="147" t="str">
        <f t="shared" si="8"/>
        <v>0</v>
      </c>
      <c r="J314" s="148" t="b">
        <f t="shared" si="9"/>
        <v>0</v>
      </c>
      <c r="K314" s="149">
        <f>'Jrnl Rev'!$G319</f>
        <v>0</v>
      </c>
      <c r="L314" s="150"/>
      <c r="M314" s="151">
        <f>'Jrnl Rev'!E109</f>
        <v>0</v>
      </c>
      <c r="N314" s="152">
        <f>'Jrnl Rev'!$H109</f>
        <v>0</v>
      </c>
    </row>
    <row r="315" spans="2:14" s="1" customFormat="1" ht="30" hidden="1" customHeight="1" x14ac:dyDescent="0.15">
      <c r="B315" s="146">
        <f>IF(AND('Jrnl Rev'!G320&lt;&gt;"",'Jrnl Rev'!C320&lt;&gt;""),1,0)</f>
        <v>0</v>
      </c>
      <c r="C315" s="146">
        <f>'Jrnl Rev'!$C320</f>
        <v>0</v>
      </c>
      <c r="D315" s="147">
        <f>'Jrnl Rev'!$D320</f>
        <v>0</v>
      </c>
      <c r="E315" s="1510">
        <f>'Jrnl Rev'!$F320</f>
        <v>0</v>
      </c>
      <c r="F315" s="1510"/>
      <c r="G315" s="951" t="str">
        <f>IF('Jrnl Rev'!$E320="","",'Jrnl Rev'!$E320)</f>
        <v/>
      </c>
      <c r="H315" s="147">
        <f>'Jrnl Rev'!H320</f>
        <v>0</v>
      </c>
      <c r="I315" s="147" t="str">
        <f t="shared" si="8"/>
        <v>0</v>
      </c>
      <c r="J315" s="148" t="b">
        <f t="shared" si="9"/>
        <v>0</v>
      </c>
      <c r="K315" s="149">
        <f>'Jrnl Rev'!$G320</f>
        <v>0</v>
      </c>
      <c r="L315" s="150"/>
      <c r="M315" s="151">
        <f>'Jrnl Rev'!E110</f>
        <v>0</v>
      </c>
      <c r="N315" s="152">
        <f>'Jrnl Rev'!$H110</f>
        <v>0</v>
      </c>
    </row>
    <row r="316" spans="2:14" s="1" customFormat="1" ht="30" hidden="1" customHeight="1" x14ac:dyDescent="0.15">
      <c r="B316" s="146">
        <f>IF(AND('Jrnl Rev'!G321&lt;&gt;"",'Jrnl Rev'!C321&lt;&gt;""),1,0)</f>
        <v>0</v>
      </c>
      <c r="C316" s="146">
        <f>'Jrnl Rev'!$C321</f>
        <v>0</v>
      </c>
      <c r="D316" s="147">
        <f>'Jrnl Rev'!$D321</f>
        <v>0</v>
      </c>
      <c r="E316" s="1510">
        <f>'Jrnl Rev'!$F321</f>
        <v>0</v>
      </c>
      <c r="F316" s="1510"/>
      <c r="G316" s="951" t="str">
        <f>IF('Jrnl Rev'!$E321="","",'Jrnl Rev'!$E321)</f>
        <v/>
      </c>
      <c r="H316" s="147">
        <f>'Jrnl Rev'!H321</f>
        <v>0</v>
      </c>
      <c r="I316" s="147" t="str">
        <f t="shared" si="8"/>
        <v>0</v>
      </c>
      <c r="J316" s="148" t="b">
        <f t="shared" si="9"/>
        <v>0</v>
      </c>
      <c r="K316" s="149">
        <f>'Jrnl Rev'!$G321</f>
        <v>0</v>
      </c>
      <c r="L316" s="150"/>
      <c r="M316" s="151">
        <f>'Jrnl Rev'!E111</f>
        <v>0</v>
      </c>
      <c r="N316" s="152">
        <f>'Jrnl Rev'!$H111</f>
        <v>0</v>
      </c>
    </row>
    <row r="317" spans="2:14" s="1" customFormat="1" ht="30" hidden="1" customHeight="1" x14ac:dyDescent="0.15">
      <c r="B317" s="146">
        <f>IF(AND('Jrnl Rev'!G322&lt;&gt;"",'Jrnl Rev'!C322&lt;&gt;""),1,0)</f>
        <v>0</v>
      </c>
      <c r="C317" s="146">
        <f>'Jrnl Rev'!$C322</f>
        <v>0</v>
      </c>
      <c r="D317" s="147">
        <f>'Jrnl Rev'!$D322</f>
        <v>0</v>
      </c>
      <c r="E317" s="1510">
        <f>'Jrnl Rev'!$F322</f>
        <v>0</v>
      </c>
      <c r="F317" s="1510"/>
      <c r="G317" s="951" t="str">
        <f>IF('Jrnl Rev'!$E322="","",'Jrnl Rev'!$E322)</f>
        <v/>
      </c>
      <c r="H317" s="147">
        <f>'Jrnl Rev'!H322</f>
        <v>0</v>
      </c>
      <c r="I317" s="147" t="str">
        <f t="shared" si="8"/>
        <v>0</v>
      </c>
      <c r="J317" s="148" t="b">
        <f t="shared" si="9"/>
        <v>0</v>
      </c>
      <c r="K317" s="149">
        <f>'Jrnl Rev'!$G322</f>
        <v>0</v>
      </c>
      <c r="L317" s="150"/>
      <c r="M317" s="151">
        <f>'Jrnl Rev'!E112</f>
        <v>0</v>
      </c>
      <c r="N317" s="152">
        <f>'Jrnl Rev'!$H112</f>
        <v>0</v>
      </c>
    </row>
    <row r="318" spans="2:14" s="1" customFormat="1" ht="30" hidden="1" customHeight="1" x14ac:dyDescent="0.15">
      <c r="B318" s="146">
        <f>IF(AND('Jrnl Rev'!G323&lt;&gt;"",'Jrnl Rev'!C323&lt;&gt;""),1,0)</f>
        <v>0</v>
      </c>
      <c r="C318" s="146">
        <f>'Jrnl Rev'!$C323</f>
        <v>0</v>
      </c>
      <c r="D318" s="147">
        <f>'Jrnl Rev'!$D323</f>
        <v>0</v>
      </c>
      <c r="E318" s="1510">
        <f>'Jrnl Rev'!$F323</f>
        <v>0</v>
      </c>
      <c r="F318" s="1510"/>
      <c r="G318" s="951" t="str">
        <f>IF('Jrnl Rev'!$E323="","",'Jrnl Rev'!$E323)</f>
        <v/>
      </c>
      <c r="H318" s="147">
        <f>'Jrnl Rev'!H323</f>
        <v>0</v>
      </c>
      <c r="I318" s="147" t="str">
        <f t="shared" si="8"/>
        <v>0</v>
      </c>
      <c r="J318" s="148" t="b">
        <f t="shared" si="9"/>
        <v>0</v>
      </c>
      <c r="K318" s="149">
        <f>'Jrnl Rev'!$G323</f>
        <v>0</v>
      </c>
      <c r="L318" s="150"/>
      <c r="M318" s="151">
        <f>'Jrnl Rev'!E113</f>
        <v>0</v>
      </c>
      <c r="N318" s="152">
        <f>'Jrnl Rev'!$H113</f>
        <v>0</v>
      </c>
    </row>
    <row r="319" spans="2:14" s="1" customFormat="1" ht="30" hidden="1" customHeight="1" x14ac:dyDescent="0.15">
      <c r="B319" s="146">
        <f>IF(AND('Jrnl Rev'!G324&lt;&gt;"",'Jrnl Rev'!C324&lt;&gt;""),1,0)</f>
        <v>0</v>
      </c>
      <c r="C319" s="146">
        <f>'Jrnl Rev'!$C324</f>
        <v>0</v>
      </c>
      <c r="D319" s="147">
        <f>'Jrnl Rev'!$D324</f>
        <v>0</v>
      </c>
      <c r="E319" s="1510">
        <f>'Jrnl Rev'!$F324</f>
        <v>0</v>
      </c>
      <c r="F319" s="1510"/>
      <c r="G319" s="951" t="str">
        <f>IF('Jrnl Rev'!$E324="","",'Jrnl Rev'!$E324)</f>
        <v/>
      </c>
      <c r="H319" s="147">
        <f>'Jrnl Rev'!H324</f>
        <v>0</v>
      </c>
      <c r="I319" s="147" t="str">
        <f t="shared" si="8"/>
        <v>0</v>
      </c>
      <c r="J319" s="148" t="b">
        <f t="shared" si="9"/>
        <v>0</v>
      </c>
      <c r="K319" s="149">
        <f>'Jrnl Rev'!$G324</f>
        <v>0</v>
      </c>
      <c r="L319" s="150"/>
      <c r="M319" s="151">
        <f>'Jrnl Rev'!E114</f>
        <v>0</v>
      </c>
      <c r="N319" s="152">
        <f>'Jrnl Rev'!$H114</f>
        <v>0</v>
      </c>
    </row>
    <row r="320" spans="2:14" s="1" customFormat="1" ht="30" hidden="1" customHeight="1" x14ac:dyDescent="0.15">
      <c r="B320" s="146">
        <f>IF(AND('Jrnl Rev'!G325&lt;&gt;"",'Jrnl Rev'!C325&lt;&gt;""),1,0)</f>
        <v>0</v>
      </c>
      <c r="C320" s="146">
        <f>'Jrnl Rev'!$C325</f>
        <v>0</v>
      </c>
      <c r="D320" s="147">
        <f>'Jrnl Rev'!$D325</f>
        <v>0</v>
      </c>
      <c r="E320" s="1510">
        <f>'Jrnl Rev'!$F325</f>
        <v>0</v>
      </c>
      <c r="F320" s="1510"/>
      <c r="G320" s="951" t="str">
        <f>IF('Jrnl Rev'!$E325="","",'Jrnl Rev'!$E325)</f>
        <v/>
      </c>
      <c r="H320" s="147">
        <f>'Jrnl Rev'!H325</f>
        <v>0</v>
      </c>
      <c r="I320" s="147" t="str">
        <f t="shared" si="8"/>
        <v>0</v>
      </c>
      <c r="J320" s="148" t="b">
        <f t="shared" si="9"/>
        <v>0</v>
      </c>
      <c r="K320" s="149">
        <f>'Jrnl Rev'!$G325</f>
        <v>0</v>
      </c>
      <c r="L320" s="150"/>
      <c r="M320" s="151">
        <f>'Jrnl Rev'!E115</f>
        <v>0</v>
      </c>
      <c r="N320" s="152">
        <f>'Jrnl Rev'!$H115</f>
        <v>0</v>
      </c>
    </row>
    <row r="321" spans="2:14" s="1" customFormat="1" ht="30" hidden="1" customHeight="1" x14ac:dyDescent="0.15">
      <c r="B321" s="146">
        <f>IF(AND('Jrnl Rev'!G326&lt;&gt;"",'Jrnl Rev'!C326&lt;&gt;""),1,0)</f>
        <v>0</v>
      </c>
      <c r="C321" s="146">
        <f>'Jrnl Rev'!$C326</f>
        <v>0</v>
      </c>
      <c r="D321" s="147">
        <f>'Jrnl Rev'!$D326</f>
        <v>0</v>
      </c>
      <c r="E321" s="1510">
        <f>'Jrnl Rev'!$F326</f>
        <v>0</v>
      </c>
      <c r="F321" s="1510"/>
      <c r="G321" s="951" t="str">
        <f>IF('Jrnl Rev'!$E326="","",'Jrnl Rev'!$E326)</f>
        <v/>
      </c>
      <c r="H321" s="147">
        <f>'Jrnl Rev'!H326</f>
        <v>0</v>
      </c>
      <c r="I321" s="147" t="str">
        <f t="shared" si="8"/>
        <v>0</v>
      </c>
      <c r="J321" s="148" t="b">
        <f t="shared" si="9"/>
        <v>0</v>
      </c>
      <c r="K321" s="149">
        <f>'Jrnl Rev'!$G326</f>
        <v>0</v>
      </c>
      <c r="L321" s="150"/>
      <c r="M321" s="151">
        <f>'Jrnl Rev'!E116</f>
        <v>0</v>
      </c>
      <c r="N321" s="152">
        <f>'Jrnl Rev'!$H116</f>
        <v>0</v>
      </c>
    </row>
    <row r="322" spans="2:14" s="1" customFormat="1" ht="30" hidden="1" customHeight="1" x14ac:dyDescent="0.15">
      <c r="B322" s="146">
        <f>IF(AND('Jrnl Rev'!G327&lt;&gt;"",'Jrnl Rev'!C327&lt;&gt;""),1,0)</f>
        <v>0</v>
      </c>
      <c r="C322" s="146">
        <f>'Jrnl Rev'!$C327</f>
        <v>0</v>
      </c>
      <c r="D322" s="147">
        <f>'Jrnl Rev'!$D327</f>
        <v>0</v>
      </c>
      <c r="E322" s="1510">
        <f>'Jrnl Rev'!$F327</f>
        <v>0</v>
      </c>
      <c r="F322" s="1510"/>
      <c r="G322" s="951" t="str">
        <f>IF('Jrnl Rev'!$E327="","",'Jrnl Rev'!$E327)</f>
        <v/>
      </c>
      <c r="H322" s="147">
        <f>'Jrnl Rev'!H327</f>
        <v>0</v>
      </c>
      <c r="I322" s="147" t="str">
        <f t="shared" si="8"/>
        <v>0</v>
      </c>
      <c r="J322" s="148" t="b">
        <f t="shared" si="9"/>
        <v>0</v>
      </c>
      <c r="K322" s="149">
        <f>'Jrnl Rev'!$G327</f>
        <v>0</v>
      </c>
      <c r="L322" s="150"/>
      <c r="M322" s="151">
        <f>'Jrnl Rev'!E117</f>
        <v>0</v>
      </c>
      <c r="N322" s="152">
        <f>'Jrnl Rev'!$H117</f>
        <v>0</v>
      </c>
    </row>
    <row r="323" spans="2:14" s="1" customFormat="1" ht="30" hidden="1" customHeight="1" x14ac:dyDescent="0.15">
      <c r="B323" s="146">
        <f>IF(AND('Jrnl Rev'!G328&lt;&gt;"",'Jrnl Rev'!C328&lt;&gt;""),1,0)</f>
        <v>0</v>
      </c>
      <c r="C323" s="146">
        <f>'Jrnl Rev'!$C328</f>
        <v>0</v>
      </c>
      <c r="D323" s="147">
        <f>'Jrnl Rev'!$D328</f>
        <v>0</v>
      </c>
      <c r="E323" s="1510">
        <f>'Jrnl Rev'!$F328</f>
        <v>0</v>
      </c>
      <c r="F323" s="1510"/>
      <c r="G323" s="951" t="str">
        <f>IF('Jrnl Rev'!$E328="","",'Jrnl Rev'!$E328)</f>
        <v/>
      </c>
      <c r="H323" s="147">
        <f>'Jrnl Rev'!H328</f>
        <v>0</v>
      </c>
      <c r="I323" s="147" t="str">
        <f t="shared" si="8"/>
        <v>0</v>
      </c>
      <c r="J323" s="148" t="b">
        <f t="shared" si="9"/>
        <v>0</v>
      </c>
      <c r="K323" s="149">
        <f>'Jrnl Rev'!$G328</f>
        <v>0</v>
      </c>
      <c r="L323" s="150"/>
      <c r="M323" s="151">
        <f>'Jrnl Rev'!E118</f>
        <v>0</v>
      </c>
      <c r="N323" s="152">
        <f>'Jrnl Rev'!$H118</f>
        <v>0</v>
      </c>
    </row>
    <row r="324" spans="2:14" s="1" customFormat="1" ht="30" hidden="1" customHeight="1" x14ac:dyDescent="0.15">
      <c r="B324" s="146">
        <f>IF(AND('Jrnl Rev'!G329&lt;&gt;"",'Jrnl Rev'!C329&lt;&gt;""),1,0)</f>
        <v>0</v>
      </c>
      <c r="C324" s="146">
        <f>'Jrnl Rev'!$C329</f>
        <v>0</v>
      </c>
      <c r="D324" s="147">
        <f>'Jrnl Rev'!$D329</f>
        <v>0</v>
      </c>
      <c r="E324" s="1510">
        <f>'Jrnl Rev'!$F329</f>
        <v>0</v>
      </c>
      <c r="F324" s="1510"/>
      <c r="G324" s="951" t="str">
        <f>IF('Jrnl Rev'!$E329="","",'Jrnl Rev'!$E329)</f>
        <v/>
      </c>
      <c r="H324" s="147">
        <f>'Jrnl Rev'!H329</f>
        <v>0</v>
      </c>
      <c r="I324" s="147" t="str">
        <f t="shared" si="8"/>
        <v>0</v>
      </c>
      <c r="J324" s="148" t="b">
        <f t="shared" si="9"/>
        <v>0</v>
      </c>
      <c r="K324" s="149">
        <f>'Jrnl Rev'!$G329</f>
        <v>0</v>
      </c>
      <c r="L324" s="150"/>
      <c r="M324" s="151">
        <f>'Jrnl Rev'!E119</f>
        <v>0</v>
      </c>
      <c r="N324" s="152">
        <f>'Jrnl Rev'!$H119</f>
        <v>0</v>
      </c>
    </row>
    <row r="325" spans="2:14" s="1" customFormat="1" ht="30" hidden="1" customHeight="1" x14ac:dyDescent="0.15">
      <c r="B325" s="146">
        <f>IF(AND('Jrnl Rev'!G330&lt;&gt;"",'Jrnl Rev'!C330&lt;&gt;""),1,0)</f>
        <v>0</v>
      </c>
      <c r="C325" s="146">
        <f>'Jrnl Rev'!$C330</f>
        <v>0</v>
      </c>
      <c r="D325" s="147">
        <f>'Jrnl Rev'!$D330</f>
        <v>0</v>
      </c>
      <c r="E325" s="1510">
        <f>'Jrnl Rev'!$F330</f>
        <v>0</v>
      </c>
      <c r="F325" s="1510"/>
      <c r="G325" s="951" t="str">
        <f>IF('Jrnl Rev'!$E330="","",'Jrnl Rev'!$E330)</f>
        <v/>
      </c>
      <c r="H325" s="147">
        <f>'Jrnl Rev'!H330</f>
        <v>0</v>
      </c>
      <c r="I325" s="147" t="str">
        <f t="shared" si="8"/>
        <v>0</v>
      </c>
      <c r="J325" s="148" t="b">
        <f t="shared" si="9"/>
        <v>0</v>
      </c>
      <c r="K325" s="149">
        <f>'Jrnl Rev'!$G330</f>
        <v>0</v>
      </c>
      <c r="L325" s="150"/>
      <c r="M325" s="151">
        <f>'Jrnl Rev'!E120</f>
        <v>0</v>
      </c>
      <c r="N325" s="152">
        <f>'Jrnl Rev'!$H120</f>
        <v>0</v>
      </c>
    </row>
    <row r="326" spans="2:14" s="1" customFormat="1" ht="30" hidden="1" customHeight="1" x14ac:dyDescent="0.15">
      <c r="B326" s="146">
        <f>IF(AND('Jrnl Rev'!G331&lt;&gt;"",'Jrnl Rev'!C331&lt;&gt;""),1,0)</f>
        <v>0</v>
      </c>
      <c r="C326" s="146">
        <f>'Jrnl Rev'!$C331</f>
        <v>0</v>
      </c>
      <c r="D326" s="147">
        <f>'Jrnl Rev'!$D331</f>
        <v>0</v>
      </c>
      <c r="E326" s="1510">
        <f>'Jrnl Rev'!$F331</f>
        <v>0</v>
      </c>
      <c r="F326" s="1510"/>
      <c r="G326" s="951" t="str">
        <f>IF('Jrnl Rev'!$E331="","",'Jrnl Rev'!$E331)</f>
        <v/>
      </c>
      <c r="H326" s="147">
        <f>'Jrnl Rev'!H331</f>
        <v>0</v>
      </c>
      <c r="I326" s="147" t="str">
        <f t="shared" si="8"/>
        <v>0</v>
      </c>
      <c r="J326" s="148" t="b">
        <f t="shared" si="9"/>
        <v>0</v>
      </c>
      <c r="K326" s="149">
        <f>'Jrnl Rev'!$G331</f>
        <v>0</v>
      </c>
      <c r="L326" s="150"/>
      <c r="M326" s="151">
        <f>'Jrnl Rev'!E121</f>
        <v>0</v>
      </c>
      <c r="N326" s="152">
        <f>'Jrnl Rev'!$H121</f>
        <v>0</v>
      </c>
    </row>
    <row r="327" spans="2:14" s="1" customFormat="1" ht="30" hidden="1" customHeight="1" x14ac:dyDescent="0.15">
      <c r="B327" s="146">
        <f>IF(AND('Jrnl Rev'!G332&lt;&gt;"",'Jrnl Rev'!C332&lt;&gt;""),1,0)</f>
        <v>0</v>
      </c>
      <c r="C327" s="146">
        <f>'Jrnl Rev'!$C332</f>
        <v>0</v>
      </c>
      <c r="D327" s="147">
        <f>'Jrnl Rev'!$D332</f>
        <v>0</v>
      </c>
      <c r="E327" s="1510">
        <f>'Jrnl Rev'!$F332</f>
        <v>0</v>
      </c>
      <c r="F327" s="1510"/>
      <c r="G327" s="951" t="str">
        <f>IF('Jrnl Rev'!$E332="","",'Jrnl Rev'!$E332)</f>
        <v/>
      </c>
      <c r="H327" s="147">
        <f>'Jrnl Rev'!H332</f>
        <v>0</v>
      </c>
      <c r="I327" s="147" t="str">
        <f t="shared" si="8"/>
        <v>0</v>
      </c>
      <c r="J327" s="148" t="b">
        <f t="shared" si="9"/>
        <v>0</v>
      </c>
      <c r="K327" s="149">
        <f>'Jrnl Rev'!$G332</f>
        <v>0</v>
      </c>
      <c r="L327" s="150"/>
      <c r="M327" s="151">
        <f>'Jrnl Rev'!E122</f>
        <v>0</v>
      </c>
      <c r="N327" s="152">
        <f>'Jrnl Rev'!$H122</f>
        <v>0</v>
      </c>
    </row>
    <row r="328" spans="2:14" s="1" customFormat="1" ht="30" hidden="1" customHeight="1" x14ac:dyDescent="0.15">
      <c r="B328" s="146">
        <f>IF(AND('Jrnl Rev'!G333&lt;&gt;"",'Jrnl Rev'!C333&lt;&gt;""),1,0)</f>
        <v>0</v>
      </c>
      <c r="C328" s="146">
        <f>'Jrnl Rev'!$C333</f>
        <v>0</v>
      </c>
      <c r="D328" s="147">
        <f>'Jrnl Rev'!$D333</f>
        <v>0</v>
      </c>
      <c r="E328" s="1510">
        <f>'Jrnl Rev'!$F333</f>
        <v>0</v>
      </c>
      <c r="F328" s="1510"/>
      <c r="G328" s="951" t="str">
        <f>IF('Jrnl Rev'!$E333="","",'Jrnl Rev'!$E333)</f>
        <v/>
      </c>
      <c r="H328" s="147">
        <f>'Jrnl Rev'!H333</f>
        <v>0</v>
      </c>
      <c r="I328" s="147" t="str">
        <f t="shared" si="8"/>
        <v>0</v>
      </c>
      <c r="J328" s="148" t="b">
        <f t="shared" si="9"/>
        <v>0</v>
      </c>
      <c r="K328" s="149">
        <f>'Jrnl Rev'!$G333</f>
        <v>0</v>
      </c>
      <c r="L328" s="150"/>
      <c r="M328" s="151">
        <f>'Jrnl Rev'!E123</f>
        <v>0</v>
      </c>
      <c r="N328" s="152">
        <f>'Jrnl Rev'!$H123</f>
        <v>0</v>
      </c>
    </row>
    <row r="329" spans="2:14" s="1" customFormat="1" ht="30" hidden="1" customHeight="1" x14ac:dyDescent="0.15">
      <c r="B329" s="146">
        <f>IF(AND('Jrnl Rev'!G334&lt;&gt;"",'Jrnl Rev'!C334&lt;&gt;""),1,0)</f>
        <v>0</v>
      </c>
      <c r="C329" s="146">
        <f>'Jrnl Rev'!$C334</f>
        <v>0</v>
      </c>
      <c r="D329" s="147">
        <f>'Jrnl Rev'!$D334</f>
        <v>0</v>
      </c>
      <c r="E329" s="1510">
        <f>'Jrnl Rev'!$F334</f>
        <v>0</v>
      </c>
      <c r="F329" s="1510"/>
      <c r="G329" s="951" t="str">
        <f>IF('Jrnl Rev'!$E334="","",'Jrnl Rev'!$E334)</f>
        <v/>
      </c>
      <c r="H329" s="147">
        <f>'Jrnl Rev'!H334</f>
        <v>0</v>
      </c>
      <c r="I329" s="147" t="str">
        <f t="shared" si="8"/>
        <v>0</v>
      </c>
      <c r="J329" s="148" t="b">
        <f t="shared" si="9"/>
        <v>0</v>
      </c>
      <c r="K329" s="149">
        <f>'Jrnl Rev'!$G334</f>
        <v>0</v>
      </c>
      <c r="L329" s="150"/>
      <c r="M329" s="151">
        <f>'Jrnl Rev'!E124</f>
        <v>0</v>
      </c>
      <c r="N329" s="152">
        <f>'Jrnl Rev'!$H124</f>
        <v>0</v>
      </c>
    </row>
    <row r="330" spans="2:14" s="1" customFormat="1" ht="30" hidden="1" customHeight="1" x14ac:dyDescent="0.15">
      <c r="B330" s="146">
        <f>IF(AND('Jrnl Rev'!G335&lt;&gt;"",'Jrnl Rev'!C335&lt;&gt;""),1,0)</f>
        <v>0</v>
      </c>
      <c r="C330" s="146">
        <f>'Jrnl Rev'!$C335</f>
        <v>0</v>
      </c>
      <c r="D330" s="147">
        <f>'Jrnl Rev'!$D335</f>
        <v>0</v>
      </c>
      <c r="E330" s="1510">
        <f>'Jrnl Rev'!$F335</f>
        <v>0</v>
      </c>
      <c r="F330" s="1510"/>
      <c r="G330" s="951" t="str">
        <f>IF('Jrnl Rev'!$E335="","",'Jrnl Rev'!$E335)</f>
        <v/>
      </c>
      <c r="H330" s="147">
        <f>'Jrnl Rev'!H335</f>
        <v>0</v>
      </c>
      <c r="I330" s="147" t="str">
        <f t="shared" si="8"/>
        <v>0</v>
      </c>
      <c r="J330" s="148" t="b">
        <f t="shared" si="9"/>
        <v>0</v>
      </c>
      <c r="K330" s="149">
        <f>'Jrnl Rev'!$G335</f>
        <v>0</v>
      </c>
      <c r="L330" s="150"/>
      <c r="M330" s="151">
        <f>'Jrnl Rev'!E125</f>
        <v>0</v>
      </c>
      <c r="N330" s="152">
        <f>'Jrnl Rev'!$H125</f>
        <v>0</v>
      </c>
    </row>
    <row r="331" spans="2:14" s="1" customFormat="1" ht="30" hidden="1" customHeight="1" x14ac:dyDescent="0.15">
      <c r="B331" s="146">
        <f>IF(AND('Jrnl Rev'!G336&lt;&gt;"",'Jrnl Rev'!C336&lt;&gt;""),1,0)</f>
        <v>0</v>
      </c>
      <c r="C331" s="146">
        <f>'Jrnl Rev'!$C336</f>
        <v>0</v>
      </c>
      <c r="D331" s="147">
        <f>'Jrnl Rev'!$D336</f>
        <v>0</v>
      </c>
      <c r="E331" s="1510">
        <f>'Jrnl Rev'!$F336</f>
        <v>0</v>
      </c>
      <c r="F331" s="1510"/>
      <c r="G331" s="951" t="str">
        <f>IF('Jrnl Rev'!$E336="","",'Jrnl Rev'!$E336)</f>
        <v/>
      </c>
      <c r="H331" s="147">
        <f>'Jrnl Rev'!H336</f>
        <v>0</v>
      </c>
      <c r="I331" s="147" t="str">
        <f t="shared" ref="I331:I394" si="10">LEFT(H331,4)</f>
        <v>0</v>
      </c>
      <c r="J331" s="148" t="b">
        <f t="shared" si="9"/>
        <v>0</v>
      </c>
      <c r="K331" s="149">
        <f>'Jrnl Rev'!$G336</f>
        <v>0</v>
      </c>
      <c r="L331" s="150"/>
      <c r="M331" s="151">
        <f>'Jrnl Rev'!E126</f>
        <v>0</v>
      </c>
      <c r="N331" s="152">
        <f>'Jrnl Rev'!$H126</f>
        <v>0</v>
      </c>
    </row>
    <row r="332" spans="2:14" s="1" customFormat="1" ht="30" hidden="1" customHeight="1" x14ac:dyDescent="0.15">
      <c r="B332" s="146">
        <f>IF(AND('Jrnl Rev'!G337&lt;&gt;"",'Jrnl Rev'!C337&lt;&gt;""),1,0)</f>
        <v>0</v>
      </c>
      <c r="C332" s="146">
        <f>'Jrnl Rev'!$C337</f>
        <v>0</v>
      </c>
      <c r="D332" s="147">
        <f>'Jrnl Rev'!$D337</f>
        <v>0</v>
      </c>
      <c r="E332" s="1510">
        <f>'Jrnl Rev'!$F337</f>
        <v>0</v>
      </c>
      <c r="F332" s="1510"/>
      <c r="G332" s="951" t="str">
        <f>IF('Jrnl Rev'!$E337="","",'Jrnl Rev'!$E337)</f>
        <v/>
      </c>
      <c r="H332" s="147">
        <f>'Jrnl Rev'!H337</f>
        <v>0</v>
      </c>
      <c r="I332" s="147" t="str">
        <f t="shared" si="10"/>
        <v>0</v>
      </c>
      <c r="J332" s="148" t="b">
        <f t="shared" ref="J332:J395" si="11">IF(I332="1020",IF(G332&gt;=$E$3,IF(G332&lt;=$G$3,K332,0)))</f>
        <v>0</v>
      </c>
      <c r="K332" s="149">
        <f>'Jrnl Rev'!$G337</f>
        <v>0</v>
      </c>
      <c r="L332" s="150"/>
      <c r="M332" s="151">
        <f>'Jrnl Rev'!E127</f>
        <v>0</v>
      </c>
      <c r="N332" s="152">
        <f>'Jrnl Rev'!$H127</f>
        <v>0</v>
      </c>
    </row>
    <row r="333" spans="2:14" s="1" customFormat="1" ht="30" hidden="1" customHeight="1" x14ac:dyDescent="0.15">
      <c r="B333" s="146">
        <f>IF(AND('Jrnl Rev'!G338&lt;&gt;"",'Jrnl Rev'!C338&lt;&gt;""),1,0)</f>
        <v>0</v>
      </c>
      <c r="C333" s="146">
        <f>'Jrnl Rev'!$C338</f>
        <v>0</v>
      </c>
      <c r="D333" s="147">
        <f>'Jrnl Rev'!$D338</f>
        <v>0</v>
      </c>
      <c r="E333" s="1510">
        <f>'Jrnl Rev'!$F338</f>
        <v>0</v>
      </c>
      <c r="F333" s="1510"/>
      <c r="G333" s="951" t="str">
        <f>IF('Jrnl Rev'!$E338="","",'Jrnl Rev'!$E338)</f>
        <v/>
      </c>
      <c r="H333" s="147">
        <f>'Jrnl Rev'!H338</f>
        <v>0</v>
      </c>
      <c r="I333" s="147" t="str">
        <f t="shared" si="10"/>
        <v>0</v>
      </c>
      <c r="J333" s="148" t="b">
        <f t="shared" si="11"/>
        <v>0</v>
      </c>
      <c r="K333" s="149">
        <f>'Jrnl Rev'!$G338</f>
        <v>0</v>
      </c>
      <c r="L333" s="150"/>
      <c r="M333" s="151">
        <f>'Jrnl Rev'!E128</f>
        <v>0</v>
      </c>
      <c r="N333" s="152">
        <f>'Jrnl Rev'!$H128</f>
        <v>0</v>
      </c>
    </row>
    <row r="334" spans="2:14" s="1" customFormat="1" ht="30" hidden="1" customHeight="1" x14ac:dyDescent="0.15">
      <c r="B334" s="146">
        <f>IF(AND('Jrnl Rev'!G339&lt;&gt;"",'Jrnl Rev'!C339&lt;&gt;""),1,0)</f>
        <v>0</v>
      </c>
      <c r="C334" s="146">
        <f>'Jrnl Rev'!$C339</f>
        <v>0</v>
      </c>
      <c r="D334" s="147">
        <f>'Jrnl Rev'!$D339</f>
        <v>0</v>
      </c>
      <c r="E334" s="1510">
        <f>'Jrnl Rev'!$F339</f>
        <v>0</v>
      </c>
      <c r="F334" s="1510"/>
      <c r="G334" s="951" t="str">
        <f>IF('Jrnl Rev'!$E339="","",'Jrnl Rev'!$E339)</f>
        <v/>
      </c>
      <c r="H334" s="147">
        <f>'Jrnl Rev'!H339</f>
        <v>0</v>
      </c>
      <c r="I334" s="147" t="str">
        <f t="shared" si="10"/>
        <v>0</v>
      </c>
      <c r="J334" s="148" t="b">
        <f t="shared" si="11"/>
        <v>0</v>
      </c>
      <c r="K334" s="149">
        <f>'Jrnl Rev'!$G339</f>
        <v>0</v>
      </c>
      <c r="L334" s="150"/>
      <c r="M334" s="151">
        <f>'Jrnl Rev'!E129</f>
        <v>0</v>
      </c>
      <c r="N334" s="152">
        <f>'Jrnl Rev'!$H129</f>
        <v>0</v>
      </c>
    </row>
    <row r="335" spans="2:14" s="1" customFormat="1" ht="30" hidden="1" customHeight="1" x14ac:dyDescent="0.15">
      <c r="B335" s="146">
        <f>IF(AND('Jrnl Rev'!G340&lt;&gt;"",'Jrnl Rev'!C340&lt;&gt;""),1,0)</f>
        <v>0</v>
      </c>
      <c r="C335" s="146">
        <f>'Jrnl Rev'!$C340</f>
        <v>0</v>
      </c>
      <c r="D335" s="147">
        <f>'Jrnl Rev'!$D340</f>
        <v>0</v>
      </c>
      <c r="E335" s="1510">
        <f>'Jrnl Rev'!$F340</f>
        <v>0</v>
      </c>
      <c r="F335" s="1510"/>
      <c r="G335" s="951" t="str">
        <f>IF('Jrnl Rev'!$E340="","",'Jrnl Rev'!$E340)</f>
        <v/>
      </c>
      <c r="H335" s="147">
        <f>'Jrnl Rev'!H340</f>
        <v>0</v>
      </c>
      <c r="I335" s="147" t="str">
        <f t="shared" si="10"/>
        <v>0</v>
      </c>
      <c r="J335" s="148" t="b">
        <f t="shared" si="11"/>
        <v>0</v>
      </c>
      <c r="K335" s="149">
        <f>'Jrnl Rev'!$G340</f>
        <v>0</v>
      </c>
      <c r="L335" s="150"/>
      <c r="M335" s="151">
        <f>'Jrnl Rev'!E130</f>
        <v>0</v>
      </c>
      <c r="N335" s="152">
        <f>'Jrnl Rev'!$H130</f>
        <v>0</v>
      </c>
    </row>
    <row r="336" spans="2:14" s="1" customFormat="1" ht="30" hidden="1" customHeight="1" x14ac:dyDescent="0.15">
      <c r="B336" s="146">
        <f>IF(AND('Jrnl Rev'!G341&lt;&gt;"",'Jrnl Rev'!C341&lt;&gt;""),1,0)</f>
        <v>0</v>
      </c>
      <c r="C336" s="146">
        <f>'Jrnl Rev'!$C341</f>
        <v>0</v>
      </c>
      <c r="D336" s="147">
        <f>'Jrnl Rev'!$D341</f>
        <v>0</v>
      </c>
      <c r="E336" s="1510">
        <f>'Jrnl Rev'!$F341</f>
        <v>0</v>
      </c>
      <c r="F336" s="1510"/>
      <c r="G336" s="951" t="str">
        <f>IF('Jrnl Rev'!$E341="","",'Jrnl Rev'!$E341)</f>
        <v/>
      </c>
      <c r="H336" s="147">
        <f>'Jrnl Rev'!H341</f>
        <v>0</v>
      </c>
      <c r="I336" s="147" t="str">
        <f t="shared" si="10"/>
        <v>0</v>
      </c>
      <c r="J336" s="148" t="b">
        <f t="shared" si="11"/>
        <v>0</v>
      </c>
      <c r="K336" s="149">
        <f>'Jrnl Rev'!$G341</f>
        <v>0</v>
      </c>
      <c r="L336" s="150"/>
      <c r="M336" s="151">
        <f>'Jrnl Rev'!E131</f>
        <v>0</v>
      </c>
      <c r="N336" s="152">
        <f>'Jrnl Rev'!$H131</f>
        <v>0</v>
      </c>
    </row>
    <row r="337" spans="2:14" s="1" customFormat="1" ht="30" hidden="1" customHeight="1" x14ac:dyDescent="0.15">
      <c r="B337" s="146">
        <f>IF(AND('Jrnl Rev'!G342&lt;&gt;"",'Jrnl Rev'!C342&lt;&gt;""),1,0)</f>
        <v>0</v>
      </c>
      <c r="C337" s="146">
        <f>'Jrnl Rev'!$C342</f>
        <v>0</v>
      </c>
      <c r="D337" s="147">
        <f>'Jrnl Rev'!$D342</f>
        <v>0</v>
      </c>
      <c r="E337" s="1510">
        <f>'Jrnl Rev'!$F342</f>
        <v>0</v>
      </c>
      <c r="F337" s="1510"/>
      <c r="G337" s="951" t="str">
        <f>IF('Jrnl Rev'!$E342="","",'Jrnl Rev'!$E342)</f>
        <v/>
      </c>
      <c r="H337" s="147">
        <f>'Jrnl Rev'!H342</f>
        <v>0</v>
      </c>
      <c r="I337" s="147" t="str">
        <f t="shared" si="10"/>
        <v>0</v>
      </c>
      <c r="J337" s="148" t="b">
        <f t="shared" si="11"/>
        <v>0</v>
      </c>
      <c r="K337" s="149">
        <f>'Jrnl Rev'!$G342</f>
        <v>0</v>
      </c>
      <c r="L337" s="150"/>
      <c r="M337" s="151">
        <f>'Jrnl Rev'!E132</f>
        <v>0</v>
      </c>
      <c r="N337" s="152">
        <f>'Jrnl Rev'!$H132</f>
        <v>0</v>
      </c>
    </row>
    <row r="338" spans="2:14" s="1" customFormat="1" ht="30" hidden="1" customHeight="1" x14ac:dyDescent="0.15">
      <c r="B338" s="146">
        <f>IF(AND('Jrnl Rev'!G343&lt;&gt;"",'Jrnl Rev'!C343&lt;&gt;""),1,0)</f>
        <v>0</v>
      </c>
      <c r="C338" s="146">
        <f>'Jrnl Rev'!$C343</f>
        <v>0</v>
      </c>
      <c r="D338" s="147">
        <f>'Jrnl Rev'!$D343</f>
        <v>0</v>
      </c>
      <c r="E338" s="1510">
        <f>'Jrnl Rev'!$F343</f>
        <v>0</v>
      </c>
      <c r="F338" s="1510"/>
      <c r="G338" s="951" t="str">
        <f>IF('Jrnl Rev'!$E343="","",'Jrnl Rev'!$E343)</f>
        <v/>
      </c>
      <c r="H338" s="147">
        <f>'Jrnl Rev'!H343</f>
        <v>0</v>
      </c>
      <c r="I338" s="147" t="str">
        <f t="shared" si="10"/>
        <v>0</v>
      </c>
      <c r="J338" s="148" t="b">
        <f t="shared" si="11"/>
        <v>0</v>
      </c>
      <c r="K338" s="149">
        <f>'Jrnl Rev'!$G343</f>
        <v>0</v>
      </c>
      <c r="L338" s="150"/>
      <c r="M338" s="151">
        <f>'Jrnl Rev'!E133</f>
        <v>0</v>
      </c>
      <c r="N338" s="152">
        <f>'Jrnl Rev'!$H133</f>
        <v>0</v>
      </c>
    </row>
    <row r="339" spans="2:14" s="1" customFormat="1" ht="30" hidden="1" customHeight="1" x14ac:dyDescent="0.15">
      <c r="B339" s="146">
        <f>IF(AND('Jrnl Rev'!G344&lt;&gt;"",'Jrnl Rev'!C344&lt;&gt;""),1,0)</f>
        <v>0</v>
      </c>
      <c r="C339" s="146">
        <f>'Jrnl Rev'!$C344</f>
        <v>0</v>
      </c>
      <c r="D339" s="147">
        <f>'Jrnl Rev'!$D344</f>
        <v>0</v>
      </c>
      <c r="E339" s="1510">
        <f>'Jrnl Rev'!$F344</f>
        <v>0</v>
      </c>
      <c r="F339" s="1510"/>
      <c r="G339" s="951" t="str">
        <f>IF('Jrnl Rev'!$E344="","",'Jrnl Rev'!$E344)</f>
        <v/>
      </c>
      <c r="H339" s="147">
        <f>'Jrnl Rev'!H344</f>
        <v>0</v>
      </c>
      <c r="I339" s="147" t="str">
        <f t="shared" si="10"/>
        <v>0</v>
      </c>
      <c r="J339" s="148" t="b">
        <f t="shared" si="11"/>
        <v>0</v>
      </c>
      <c r="K339" s="149">
        <f>'Jrnl Rev'!$G344</f>
        <v>0</v>
      </c>
      <c r="L339" s="150"/>
      <c r="M339" s="151">
        <f>'Jrnl Rev'!E134</f>
        <v>0</v>
      </c>
      <c r="N339" s="152">
        <f>'Jrnl Rev'!$H134</f>
        <v>0</v>
      </c>
    </row>
    <row r="340" spans="2:14" s="1" customFormat="1" ht="30" hidden="1" customHeight="1" x14ac:dyDescent="0.15">
      <c r="B340" s="146">
        <f>IF(AND('Jrnl Rev'!G345&lt;&gt;"",'Jrnl Rev'!C345&lt;&gt;""),1,0)</f>
        <v>0</v>
      </c>
      <c r="C340" s="146">
        <f>'Jrnl Rev'!$C345</f>
        <v>0</v>
      </c>
      <c r="D340" s="147">
        <f>'Jrnl Rev'!$D345</f>
        <v>0</v>
      </c>
      <c r="E340" s="1510">
        <f>'Jrnl Rev'!$F345</f>
        <v>0</v>
      </c>
      <c r="F340" s="1510"/>
      <c r="G340" s="951" t="str">
        <f>IF('Jrnl Rev'!$E345="","",'Jrnl Rev'!$E345)</f>
        <v/>
      </c>
      <c r="H340" s="147">
        <f>'Jrnl Rev'!H345</f>
        <v>0</v>
      </c>
      <c r="I340" s="147" t="str">
        <f t="shared" si="10"/>
        <v>0</v>
      </c>
      <c r="J340" s="148" t="b">
        <f t="shared" si="11"/>
        <v>0</v>
      </c>
      <c r="K340" s="149">
        <f>'Jrnl Rev'!$G345</f>
        <v>0</v>
      </c>
      <c r="L340" s="150"/>
      <c r="M340" s="151">
        <f>'Jrnl Rev'!E135</f>
        <v>0</v>
      </c>
      <c r="N340" s="152">
        <f>'Jrnl Rev'!$H135</f>
        <v>0</v>
      </c>
    </row>
    <row r="341" spans="2:14" s="1" customFormat="1" ht="30" hidden="1" customHeight="1" x14ac:dyDescent="0.15">
      <c r="B341" s="146">
        <f>IF(AND('Jrnl Rev'!G346&lt;&gt;"",'Jrnl Rev'!C346&lt;&gt;""),1,0)</f>
        <v>0</v>
      </c>
      <c r="C341" s="146">
        <f>'Jrnl Rev'!$C346</f>
        <v>0</v>
      </c>
      <c r="D341" s="147">
        <f>'Jrnl Rev'!$D346</f>
        <v>0</v>
      </c>
      <c r="E341" s="1510">
        <f>'Jrnl Rev'!$F346</f>
        <v>0</v>
      </c>
      <c r="F341" s="1510"/>
      <c r="G341" s="951" t="str">
        <f>IF('Jrnl Rev'!$E346="","",'Jrnl Rev'!$E346)</f>
        <v/>
      </c>
      <c r="H341" s="147">
        <f>'Jrnl Rev'!H346</f>
        <v>0</v>
      </c>
      <c r="I341" s="147" t="str">
        <f t="shared" si="10"/>
        <v>0</v>
      </c>
      <c r="J341" s="148" t="b">
        <f t="shared" si="11"/>
        <v>0</v>
      </c>
      <c r="K341" s="149">
        <f>'Jrnl Rev'!$G346</f>
        <v>0</v>
      </c>
      <c r="L341" s="150"/>
      <c r="M341" s="151">
        <f>'Jrnl Rev'!E136</f>
        <v>0</v>
      </c>
      <c r="N341" s="152">
        <f>'Jrnl Rev'!$H136</f>
        <v>0</v>
      </c>
    </row>
    <row r="342" spans="2:14" s="1" customFormat="1" ht="30" hidden="1" customHeight="1" x14ac:dyDescent="0.15">
      <c r="B342" s="146">
        <f>IF(AND('Jrnl Rev'!G347&lt;&gt;"",'Jrnl Rev'!C347&lt;&gt;""),1,0)</f>
        <v>0</v>
      </c>
      <c r="C342" s="146">
        <f>'Jrnl Rev'!$C347</f>
        <v>0</v>
      </c>
      <c r="D342" s="147">
        <f>'Jrnl Rev'!$D347</f>
        <v>0</v>
      </c>
      <c r="E342" s="1510">
        <f>'Jrnl Rev'!$F347</f>
        <v>0</v>
      </c>
      <c r="F342" s="1510"/>
      <c r="G342" s="951" t="str">
        <f>IF('Jrnl Rev'!$E347="","",'Jrnl Rev'!$E347)</f>
        <v/>
      </c>
      <c r="H342" s="147">
        <f>'Jrnl Rev'!H347</f>
        <v>0</v>
      </c>
      <c r="I342" s="147" t="str">
        <f t="shared" si="10"/>
        <v>0</v>
      </c>
      <c r="J342" s="148" t="b">
        <f t="shared" si="11"/>
        <v>0</v>
      </c>
      <c r="K342" s="149">
        <f>'Jrnl Rev'!$G347</f>
        <v>0</v>
      </c>
      <c r="L342" s="150"/>
      <c r="M342" s="151">
        <f>'Jrnl Rev'!E137</f>
        <v>0</v>
      </c>
      <c r="N342" s="152">
        <f>'Jrnl Rev'!$H137</f>
        <v>0</v>
      </c>
    </row>
    <row r="343" spans="2:14" s="1" customFormat="1" ht="30" hidden="1" customHeight="1" x14ac:dyDescent="0.15">
      <c r="B343" s="146">
        <f>IF(AND('Jrnl Rev'!G348&lt;&gt;"",'Jrnl Rev'!C348&lt;&gt;""),1,0)</f>
        <v>0</v>
      </c>
      <c r="C343" s="146">
        <f>'Jrnl Rev'!$C348</f>
        <v>0</v>
      </c>
      <c r="D343" s="147">
        <f>'Jrnl Rev'!$D348</f>
        <v>0</v>
      </c>
      <c r="E343" s="1510">
        <f>'Jrnl Rev'!$F348</f>
        <v>0</v>
      </c>
      <c r="F343" s="1510"/>
      <c r="G343" s="951" t="str">
        <f>IF('Jrnl Rev'!$E348="","",'Jrnl Rev'!$E348)</f>
        <v/>
      </c>
      <c r="H343" s="147">
        <f>'Jrnl Rev'!H348</f>
        <v>0</v>
      </c>
      <c r="I343" s="147" t="str">
        <f t="shared" si="10"/>
        <v>0</v>
      </c>
      <c r="J343" s="148" t="b">
        <f t="shared" si="11"/>
        <v>0</v>
      </c>
      <c r="K343" s="149">
        <f>'Jrnl Rev'!$G348</f>
        <v>0</v>
      </c>
      <c r="L343" s="150"/>
      <c r="M343" s="151">
        <f>'Jrnl Rev'!E138</f>
        <v>0</v>
      </c>
      <c r="N343" s="152">
        <f>'Jrnl Rev'!$H138</f>
        <v>0</v>
      </c>
    </row>
    <row r="344" spans="2:14" s="1" customFormat="1" ht="30" hidden="1" customHeight="1" x14ac:dyDescent="0.15">
      <c r="B344" s="146">
        <f>IF(AND('Jrnl Rev'!G349&lt;&gt;"",'Jrnl Rev'!C349&lt;&gt;""),1,0)</f>
        <v>0</v>
      </c>
      <c r="C344" s="146">
        <f>'Jrnl Rev'!$C349</f>
        <v>0</v>
      </c>
      <c r="D344" s="147">
        <f>'Jrnl Rev'!$D349</f>
        <v>0</v>
      </c>
      <c r="E344" s="1510">
        <f>'Jrnl Rev'!$F349</f>
        <v>0</v>
      </c>
      <c r="F344" s="1510"/>
      <c r="G344" s="951" t="str">
        <f>IF('Jrnl Rev'!$E349="","",'Jrnl Rev'!$E349)</f>
        <v/>
      </c>
      <c r="H344" s="147">
        <f>'Jrnl Rev'!H349</f>
        <v>0</v>
      </c>
      <c r="I344" s="147" t="str">
        <f t="shared" si="10"/>
        <v>0</v>
      </c>
      <c r="J344" s="148" t="b">
        <f t="shared" si="11"/>
        <v>0</v>
      </c>
      <c r="K344" s="149">
        <f>'Jrnl Rev'!$G349</f>
        <v>0</v>
      </c>
      <c r="L344" s="150"/>
      <c r="M344" s="151">
        <f>'Jrnl Rev'!E139</f>
        <v>0</v>
      </c>
      <c r="N344" s="152">
        <f>'Jrnl Rev'!$H139</f>
        <v>0</v>
      </c>
    </row>
    <row r="345" spans="2:14" s="1" customFormat="1" ht="30" hidden="1" customHeight="1" x14ac:dyDescent="0.15">
      <c r="B345" s="146">
        <f>IF(AND('Jrnl Rev'!G350&lt;&gt;"",'Jrnl Rev'!C350&lt;&gt;""),1,0)</f>
        <v>0</v>
      </c>
      <c r="C345" s="146">
        <f>'Jrnl Rev'!$C350</f>
        <v>0</v>
      </c>
      <c r="D345" s="147">
        <f>'Jrnl Rev'!$D350</f>
        <v>0</v>
      </c>
      <c r="E345" s="1510">
        <f>'Jrnl Rev'!$F350</f>
        <v>0</v>
      </c>
      <c r="F345" s="1510"/>
      <c r="G345" s="951" t="str">
        <f>IF('Jrnl Rev'!$E350="","",'Jrnl Rev'!$E350)</f>
        <v/>
      </c>
      <c r="H345" s="147">
        <f>'Jrnl Rev'!H350</f>
        <v>0</v>
      </c>
      <c r="I345" s="147" t="str">
        <f t="shared" si="10"/>
        <v>0</v>
      </c>
      <c r="J345" s="148" t="b">
        <f t="shared" si="11"/>
        <v>0</v>
      </c>
      <c r="K345" s="149">
        <f>'Jrnl Rev'!$G350</f>
        <v>0</v>
      </c>
      <c r="L345" s="150"/>
      <c r="M345" s="151">
        <f>'Jrnl Rev'!E140</f>
        <v>0</v>
      </c>
      <c r="N345" s="152">
        <f>'Jrnl Rev'!$H140</f>
        <v>0</v>
      </c>
    </row>
    <row r="346" spans="2:14" s="1" customFormat="1" ht="30" hidden="1" customHeight="1" x14ac:dyDescent="0.15">
      <c r="B346" s="146">
        <f>IF(AND('Jrnl Rev'!G351&lt;&gt;"",'Jrnl Rev'!C351&lt;&gt;""),1,0)</f>
        <v>0</v>
      </c>
      <c r="C346" s="146">
        <f>'Jrnl Rev'!$C351</f>
        <v>0</v>
      </c>
      <c r="D346" s="147">
        <f>'Jrnl Rev'!$D351</f>
        <v>0</v>
      </c>
      <c r="E346" s="1510">
        <f>'Jrnl Rev'!$F351</f>
        <v>0</v>
      </c>
      <c r="F346" s="1510"/>
      <c r="G346" s="951" t="str">
        <f>IF('Jrnl Rev'!$E351="","",'Jrnl Rev'!$E351)</f>
        <v/>
      </c>
      <c r="H346" s="147">
        <f>'Jrnl Rev'!H351</f>
        <v>0</v>
      </c>
      <c r="I346" s="147" t="str">
        <f t="shared" si="10"/>
        <v>0</v>
      </c>
      <c r="J346" s="148" t="b">
        <f t="shared" si="11"/>
        <v>0</v>
      </c>
      <c r="K346" s="149">
        <f>'Jrnl Rev'!$G351</f>
        <v>0</v>
      </c>
      <c r="L346" s="150"/>
      <c r="M346" s="151"/>
      <c r="N346" s="152">
        <f>'Jrnl Rev'!$H141</f>
        <v>0</v>
      </c>
    </row>
    <row r="347" spans="2:14" s="1" customFormat="1" ht="30" hidden="1" customHeight="1" x14ac:dyDescent="0.15">
      <c r="B347" s="146">
        <f>IF(AND('Jrnl Rev'!G352&lt;&gt;"",'Jrnl Rev'!C352&lt;&gt;""),1,0)</f>
        <v>0</v>
      </c>
      <c r="C347" s="146">
        <f>'Jrnl Rev'!$C352</f>
        <v>0</v>
      </c>
      <c r="D347" s="147">
        <f>'Jrnl Rev'!$D352</f>
        <v>0</v>
      </c>
      <c r="E347" s="1510">
        <f>'Jrnl Rev'!$F352</f>
        <v>0</v>
      </c>
      <c r="F347" s="1510"/>
      <c r="G347" s="951" t="str">
        <f>IF('Jrnl Rev'!$E352="","",'Jrnl Rev'!$E352)</f>
        <v/>
      </c>
      <c r="H347" s="147">
        <f>'Jrnl Rev'!H352</f>
        <v>0</v>
      </c>
      <c r="I347" s="147" t="str">
        <f t="shared" si="10"/>
        <v>0</v>
      </c>
      <c r="J347" s="148" t="b">
        <f t="shared" si="11"/>
        <v>0</v>
      </c>
      <c r="K347" s="149">
        <f>'Jrnl Rev'!$G352</f>
        <v>0</v>
      </c>
      <c r="L347" s="150"/>
      <c r="M347" s="151"/>
      <c r="N347" s="152">
        <f>'Jrnl Rev'!$H142</f>
        <v>0</v>
      </c>
    </row>
    <row r="348" spans="2:14" s="1" customFormat="1" ht="30" hidden="1" customHeight="1" x14ac:dyDescent="0.15">
      <c r="B348" s="146">
        <f>IF(AND('Jrnl Rev'!G353&lt;&gt;"",'Jrnl Rev'!C353&lt;&gt;""),1,0)</f>
        <v>0</v>
      </c>
      <c r="C348" s="146">
        <f>'Jrnl Rev'!$C353</f>
        <v>0</v>
      </c>
      <c r="D348" s="147">
        <f>'Jrnl Rev'!$D353</f>
        <v>0</v>
      </c>
      <c r="E348" s="1510">
        <f>'Jrnl Rev'!$F353</f>
        <v>0</v>
      </c>
      <c r="F348" s="1510"/>
      <c r="G348" s="951" t="str">
        <f>IF('Jrnl Rev'!$E353="","",'Jrnl Rev'!$E353)</f>
        <v/>
      </c>
      <c r="H348" s="147">
        <f>'Jrnl Rev'!H353</f>
        <v>0</v>
      </c>
      <c r="I348" s="147" t="str">
        <f t="shared" si="10"/>
        <v>0</v>
      </c>
      <c r="J348" s="148" t="b">
        <f t="shared" si="11"/>
        <v>0</v>
      </c>
      <c r="K348" s="149">
        <f>'Jrnl Rev'!$G353</f>
        <v>0</v>
      </c>
      <c r="L348" s="150"/>
      <c r="M348" s="151"/>
      <c r="N348" s="152">
        <f>'Jrnl Rev'!$H143</f>
        <v>0</v>
      </c>
    </row>
    <row r="349" spans="2:14" s="1" customFormat="1" ht="30" hidden="1" customHeight="1" x14ac:dyDescent="0.15">
      <c r="B349" s="146">
        <f>IF(AND('Jrnl Rev'!G354&lt;&gt;"",'Jrnl Rev'!C354&lt;&gt;""),1,0)</f>
        <v>0</v>
      </c>
      <c r="C349" s="146">
        <f>'Jrnl Rev'!$C354</f>
        <v>0</v>
      </c>
      <c r="D349" s="147">
        <f>'Jrnl Rev'!$D354</f>
        <v>0</v>
      </c>
      <c r="E349" s="1510">
        <f>'Jrnl Rev'!$F354</f>
        <v>0</v>
      </c>
      <c r="F349" s="1510"/>
      <c r="G349" s="951" t="str">
        <f>IF('Jrnl Rev'!$E354="","",'Jrnl Rev'!$E354)</f>
        <v/>
      </c>
      <c r="H349" s="147">
        <f>'Jrnl Rev'!H354</f>
        <v>0</v>
      </c>
      <c r="I349" s="147" t="str">
        <f t="shared" si="10"/>
        <v>0</v>
      </c>
      <c r="J349" s="148" t="b">
        <f t="shared" si="11"/>
        <v>0</v>
      </c>
      <c r="K349" s="149">
        <f>'Jrnl Rev'!$G354</f>
        <v>0</v>
      </c>
      <c r="L349" s="150"/>
      <c r="M349" s="151"/>
      <c r="N349" s="152">
        <f>'Jrnl Rev'!$H144</f>
        <v>0</v>
      </c>
    </row>
    <row r="350" spans="2:14" s="1" customFormat="1" ht="30" hidden="1" customHeight="1" x14ac:dyDescent="0.15">
      <c r="B350" s="146">
        <f>IF(AND('Jrnl Rev'!G355&lt;&gt;"",'Jrnl Rev'!C355&lt;&gt;""),1,0)</f>
        <v>0</v>
      </c>
      <c r="C350" s="146">
        <f>'Jrnl Rev'!$C355</f>
        <v>0</v>
      </c>
      <c r="D350" s="147">
        <f>'Jrnl Rev'!$D355</f>
        <v>0</v>
      </c>
      <c r="E350" s="1510">
        <f>'Jrnl Rev'!$F355</f>
        <v>0</v>
      </c>
      <c r="F350" s="1510"/>
      <c r="G350" s="951" t="str">
        <f>IF('Jrnl Rev'!$E355="","",'Jrnl Rev'!$E355)</f>
        <v/>
      </c>
      <c r="H350" s="147">
        <f>'Jrnl Rev'!H355</f>
        <v>0</v>
      </c>
      <c r="I350" s="147" t="str">
        <f t="shared" si="10"/>
        <v>0</v>
      </c>
      <c r="J350" s="148" t="b">
        <f t="shared" si="11"/>
        <v>0</v>
      </c>
      <c r="K350" s="149">
        <f>'Jrnl Rev'!$G355</f>
        <v>0</v>
      </c>
      <c r="L350" s="150"/>
      <c r="M350" s="151"/>
      <c r="N350" s="152">
        <f>'Jrnl Rev'!$H145</f>
        <v>0</v>
      </c>
    </row>
    <row r="351" spans="2:14" s="1" customFormat="1" ht="30" hidden="1" customHeight="1" x14ac:dyDescent="0.15">
      <c r="B351" s="146">
        <f>IF(AND('Jrnl Rev'!G356&lt;&gt;"",'Jrnl Rev'!C356&lt;&gt;""),1,0)</f>
        <v>0</v>
      </c>
      <c r="C351" s="146">
        <f>'Jrnl Rev'!$C356</f>
        <v>0</v>
      </c>
      <c r="D351" s="147">
        <f>'Jrnl Rev'!$D356</f>
        <v>0</v>
      </c>
      <c r="E351" s="1510">
        <f>'Jrnl Rev'!$F356</f>
        <v>0</v>
      </c>
      <c r="F351" s="1510"/>
      <c r="G351" s="951" t="str">
        <f>IF('Jrnl Rev'!$E356="","",'Jrnl Rev'!$E356)</f>
        <v/>
      </c>
      <c r="H351" s="147">
        <f>'Jrnl Rev'!H356</f>
        <v>0</v>
      </c>
      <c r="I351" s="147" t="str">
        <f t="shared" si="10"/>
        <v>0</v>
      </c>
      <c r="J351" s="148" t="b">
        <f t="shared" si="11"/>
        <v>0</v>
      </c>
      <c r="K351" s="149">
        <f>'Jrnl Rev'!$G356</f>
        <v>0</v>
      </c>
      <c r="L351" s="150"/>
      <c r="M351" s="151"/>
      <c r="N351" s="152">
        <f>'Jrnl Rev'!$H146</f>
        <v>0</v>
      </c>
    </row>
    <row r="352" spans="2:14" s="1" customFormat="1" ht="30" hidden="1" customHeight="1" x14ac:dyDescent="0.15">
      <c r="B352" s="146">
        <f>IF(AND('Jrnl Rev'!G357&lt;&gt;"",'Jrnl Rev'!C357&lt;&gt;""),1,0)</f>
        <v>0</v>
      </c>
      <c r="C352" s="146">
        <f>'Jrnl Rev'!$C357</f>
        <v>0</v>
      </c>
      <c r="D352" s="147">
        <f>'Jrnl Rev'!$D357</f>
        <v>0</v>
      </c>
      <c r="E352" s="1510">
        <f>'Jrnl Rev'!$F357</f>
        <v>0</v>
      </c>
      <c r="F352" s="1510"/>
      <c r="G352" s="951" t="str">
        <f>IF('Jrnl Rev'!$E357="","",'Jrnl Rev'!$E357)</f>
        <v/>
      </c>
      <c r="H352" s="147">
        <f>'Jrnl Rev'!H357</f>
        <v>0</v>
      </c>
      <c r="I352" s="147" t="str">
        <f t="shared" si="10"/>
        <v>0</v>
      </c>
      <c r="J352" s="148" t="b">
        <f t="shared" si="11"/>
        <v>0</v>
      </c>
      <c r="K352" s="149">
        <f>'Jrnl Rev'!$G357</f>
        <v>0</v>
      </c>
      <c r="L352" s="150"/>
      <c r="M352" s="151"/>
      <c r="N352" s="152">
        <f>'Jrnl Rev'!$H147</f>
        <v>0</v>
      </c>
    </row>
    <row r="353" spans="2:14" s="1" customFormat="1" ht="30" hidden="1" customHeight="1" x14ac:dyDescent="0.15">
      <c r="B353" s="146">
        <f>IF(AND('Jrnl Rev'!G358&lt;&gt;"",'Jrnl Rev'!C358&lt;&gt;""),1,0)</f>
        <v>0</v>
      </c>
      <c r="C353" s="146">
        <f>'Jrnl Rev'!$C358</f>
        <v>0</v>
      </c>
      <c r="D353" s="147">
        <f>'Jrnl Rev'!$D358</f>
        <v>0</v>
      </c>
      <c r="E353" s="1510">
        <f>'Jrnl Rev'!$F358</f>
        <v>0</v>
      </c>
      <c r="F353" s="1510"/>
      <c r="G353" s="951" t="str">
        <f>IF('Jrnl Rev'!$E358="","",'Jrnl Rev'!$E358)</f>
        <v/>
      </c>
      <c r="H353" s="147">
        <f>'Jrnl Rev'!H358</f>
        <v>0</v>
      </c>
      <c r="I353" s="147" t="str">
        <f t="shared" si="10"/>
        <v>0</v>
      </c>
      <c r="J353" s="148" t="b">
        <f t="shared" si="11"/>
        <v>0</v>
      </c>
      <c r="K353" s="149">
        <f>'Jrnl Rev'!$G358</f>
        <v>0</v>
      </c>
      <c r="L353" s="150"/>
      <c r="M353" s="151"/>
      <c r="N353" s="152">
        <f>'Jrnl Rev'!$H148</f>
        <v>0</v>
      </c>
    </row>
    <row r="354" spans="2:14" s="1" customFormat="1" ht="30" hidden="1" customHeight="1" x14ac:dyDescent="0.15">
      <c r="B354" s="146">
        <f>IF(AND('Jrnl Rev'!G359&lt;&gt;"",'Jrnl Rev'!C359&lt;&gt;""),1,0)</f>
        <v>0</v>
      </c>
      <c r="C354" s="146">
        <f>'Jrnl Rev'!$C359</f>
        <v>0</v>
      </c>
      <c r="D354" s="147">
        <f>'Jrnl Rev'!$D359</f>
        <v>0</v>
      </c>
      <c r="E354" s="1510">
        <f>'Jrnl Rev'!$F359</f>
        <v>0</v>
      </c>
      <c r="F354" s="1510"/>
      <c r="G354" s="951" t="str">
        <f>IF('Jrnl Rev'!$E359="","",'Jrnl Rev'!$E359)</f>
        <v/>
      </c>
      <c r="H354" s="147">
        <f>'Jrnl Rev'!H359</f>
        <v>0</v>
      </c>
      <c r="I354" s="147" t="str">
        <f t="shared" si="10"/>
        <v>0</v>
      </c>
      <c r="J354" s="148" t="b">
        <f t="shared" si="11"/>
        <v>0</v>
      </c>
      <c r="K354" s="149">
        <f>'Jrnl Rev'!$G359</f>
        <v>0</v>
      </c>
      <c r="L354" s="150"/>
      <c r="M354" s="151"/>
      <c r="N354" s="152">
        <f>'Jrnl Rev'!$H149</f>
        <v>0</v>
      </c>
    </row>
    <row r="355" spans="2:14" s="1" customFormat="1" ht="30" hidden="1" customHeight="1" x14ac:dyDescent="0.15">
      <c r="B355" s="146">
        <f>IF(AND('Jrnl Rev'!G360&lt;&gt;"",'Jrnl Rev'!C360&lt;&gt;""),1,0)</f>
        <v>0</v>
      </c>
      <c r="C355" s="146">
        <f>'Jrnl Rev'!$C360</f>
        <v>0</v>
      </c>
      <c r="D355" s="147">
        <f>'Jrnl Rev'!$D360</f>
        <v>0</v>
      </c>
      <c r="E355" s="1510">
        <f>'Jrnl Rev'!$F360</f>
        <v>0</v>
      </c>
      <c r="F355" s="1510"/>
      <c r="G355" s="951" t="str">
        <f>IF('Jrnl Rev'!$E360="","",'Jrnl Rev'!$E360)</f>
        <v/>
      </c>
      <c r="H355" s="147">
        <f>'Jrnl Rev'!H360</f>
        <v>0</v>
      </c>
      <c r="I355" s="147" t="str">
        <f t="shared" si="10"/>
        <v>0</v>
      </c>
      <c r="J355" s="148" t="b">
        <f t="shared" si="11"/>
        <v>0</v>
      </c>
      <c r="K355" s="149">
        <f>'Jrnl Rev'!$G360</f>
        <v>0</v>
      </c>
      <c r="L355" s="150"/>
      <c r="M355" s="151"/>
      <c r="N355" s="152">
        <f>'Jrnl Rev'!$H150</f>
        <v>0</v>
      </c>
    </row>
    <row r="356" spans="2:14" s="1" customFormat="1" ht="30" hidden="1" customHeight="1" x14ac:dyDescent="0.15">
      <c r="B356" s="146">
        <f>IF(AND('Jrnl Rev'!G361&lt;&gt;"",'Jrnl Rev'!C361&lt;&gt;""),1,0)</f>
        <v>0</v>
      </c>
      <c r="C356" s="146">
        <f>'Jrnl Rev'!$C361</f>
        <v>0</v>
      </c>
      <c r="D356" s="147">
        <f>'Jrnl Rev'!$D361</f>
        <v>0</v>
      </c>
      <c r="E356" s="1510">
        <f>'Jrnl Rev'!$F361</f>
        <v>0</v>
      </c>
      <c r="F356" s="1510"/>
      <c r="G356" s="951" t="str">
        <f>IF('Jrnl Rev'!$E361="","",'Jrnl Rev'!$E361)</f>
        <v/>
      </c>
      <c r="H356" s="147">
        <f>'Jrnl Rev'!H361</f>
        <v>0</v>
      </c>
      <c r="I356" s="147" t="str">
        <f t="shared" si="10"/>
        <v>0</v>
      </c>
      <c r="J356" s="148" t="b">
        <f t="shared" si="11"/>
        <v>0</v>
      </c>
      <c r="K356" s="149">
        <f>'Jrnl Rev'!$G361</f>
        <v>0</v>
      </c>
      <c r="L356" s="150"/>
      <c r="M356" s="151"/>
      <c r="N356" s="152">
        <f>'Jrnl Rev'!$H151</f>
        <v>0</v>
      </c>
    </row>
    <row r="357" spans="2:14" s="1" customFormat="1" ht="30" hidden="1" customHeight="1" x14ac:dyDescent="0.15">
      <c r="B357" s="146">
        <f>IF(AND('Jrnl Rev'!G362&lt;&gt;"",'Jrnl Rev'!C362&lt;&gt;""),1,0)</f>
        <v>0</v>
      </c>
      <c r="C357" s="146">
        <f>'Jrnl Rev'!$C362</f>
        <v>0</v>
      </c>
      <c r="D357" s="147">
        <f>'Jrnl Rev'!$D362</f>
        <v>0</v>
      </c>
      <c r="E357" s="1510">
        <f>'Jrnl Rev'!$F362</f>
        <v>0</v>
      </c>
      <c r="F357" s="1510"/>
      <c r="G357" s="951" t="str">
        <f>IF('Jrnl Rev'!$E362="","",'Jrnl Rev'!$E362)</f>
        <v/>
      </c>
      <c r="H357" s="147">
        <f>'Jrnl Rev'!H362</f>
        <v>0</v>
      </c>
      <c r="I357" s="147" t="str">
        <f t="shared" si="10"/>
        <v>0</v>
      </c>
      <c r="J357" s="148" t="b">
        <f t="shared" si="11"/>
        <v>0</v>
      </c>
      <c r="K357" s="149">
        <f>'Jrnl Rev'!$G362</f>
        <v>0</v>
      </c>
      <c r="L357" s="150"/>
      <c r="M357" s="151"/>
      <c r="N357" s="152">
        <f>'Jrnl Rev'!$H152</f>
        <v>0</v>
      </c>
    </row>
    <row r="358" spans="2:14" s="1" customFormat="1" ht="30" hidden="1" customHeight="1" x14ac:dyDescent="0.15">
      <c r="B358" s="146">
        <f>IF(AND('Jrnl Rev'!G363&lt;&gt;"",'Jrnl Rev'!C363&lt;&gt;""),1,0)</f>
        <v>0</v>
      </c>
      <c r="C358" s="146">
        <f>'Jrnl Rev'!$C363</f>
        <v>0</v>
      </c>
      <c r="D358" s="147">
        <f>'Jrnl Rev'!$D363</f>
        <v>0</v>
      </c>
      <c r="E358" s="1510">
        <f>'Jrnl Rev'!$F363</f>
        <v>0</v>
      </c>
      <c r="F358" s="1510"/>
      <c r="G358" s="951" t="str">
        <f>IF('Jrnl Rev'!$E363="","",'Jrnl Rev'!$E363)</f>
        <v/>
      </c>
      <c r="H358" s="147">
        <f>'Jrnl Rev'!H363</f>
        <v>0</v>
      </c>
      <c r="I358" s="147" t="str">
        <f t="shared" si="10"/>
        <v>0</v>
      </c>
      <c r="J358" s="148" t="b">
        <f t="shared" si="11"/>
        <v>0</v>
      </c>
      <c r="K358" s="149">
        <f>'Jrnl Rev'!$G363</f>
        <v>0</v>
      </c>
      <c r="L358" s="150"/>
      <c r="M358" s="151"/>
      <c r="N358" s="152">
        <f>'Jrnl Rev'!$H153</f>
        <v>0</v>
      </c>
    </row>
    <row r="359" spans="2:14" s="1" customFormat="1" ht="30" hidden="1" customHeight="1" x14ac:dyDescent="0.15">
      <c r="B359" s="146">
        <f>IF(AND('Jrnl Rev'!G364&lt;&gt;"",'Jrnl Rev'!C364&lt;&gt;""),1,0)</f>
        <v>0</v>
      </c>
      <c r="C359" s="146">
        <f>'Jrnl Rev'!$C364</f>
        <v>0</v>
      </c>
      <c r="D359" s="147">
        <f>'Jrnl Rev'!$D364</f>
        <v>0</v>
      </c>
      <c r="E359" s="1510">
        <f>'Jrnl Rev'!$F364</f>
        <v>0</v>
      </c>
      <c r="F359" s="1510"/>
      <c r="G359" s="951" t="str">
        <f>IF('Jrnl Rev'!$E364="","",'Jrnl Rev'!$E364)</f>
        <v/>
      </c>
      <c r="H359" s="147">
        <f>'Jrnl Rev'!H364</f>
        <v>0</v>
      </c>
      <c r="I359" s="147" t="str">
        <f t="shared" si="10"/>
        <v>0</v>
      </c>
      <c r="J359" s="148" t="b">
        <f t="shared" si="11"/>
        <v>0</v>
      </c>
      <c r="K359" s="149">
        <f>'Jrnl Rev'!$G364</f>
        <v>0</v>
      </c>
      <c r="L359" s="150"/>
      <c r="M359" s="151"/>
      <c r="N359" s="152">
        <f>'Jrnl Rev'!$H154</f>
        <v>0</v>
      </c>
    </row>
    <row r="360" spans="2:14" s="1" customFormat="1" ht="30" hidden="1" customHeight="1" x14ac:dyDescent="0.15">
      <c r="B360" s="146">
        <f>IF(AND('Jrnl Rev'!G365&lt;&gt;"",'Jrnl Rev'!C365&lt;&gt;""),1,0)</f>
        <v>0</v>
      </c>
      <c r="C360" s="146">
        <f>'Jrnl Rev'!$C365</f>
        <v>0</v>
      </c>
      <c r="D360" s="147">
        <f>'Jrnl Rev'!$D365</f>
        <v>0</v>
      </c>
      <c r="E360" s="1510">
        <f>'Jrnl Rev'!$F365</f>
        <v>0</v>
      </c>
      <c r="F360" s="1510"/>
      <c r="G360" s="951" t="str">
        <f>IF('Jrnl Rev'!$E365="","",'Jrnl Rev'!$E365)</f>
        <v/>
      </c>
      <c r="H360" s="147">
        <f>'Jrnl Rev'!H365</f>
        <v>0</v>
      </c>
      <c r="I360" s="147" t="str">
        <f t="shared" si="10"/>
        <v>0</v>
      </c>
      <c r="J360" s="148" t="b">
        <f t="shared" si="11"/>
        <v>0</v>
      </c>
      <c r="K360" s="149">
        <f>'Jrnl Rev'!$G365</f>
        <v>0</v>
      </c>
      <c r="L360" s="150"/>
      <c r="M360" s="151"/>
      <c r="N360" s="152">
        <f>'Jrnl Rev'!$H155</f>
        <v>0</v>
      </c>
    </row>
    <row r="361" spans="2:14" s="1" customFormat="1" ht="30" hidden="1" customHeight="1" x14ac:dyDescent="0.15">
      <c r="B361" s="146">
        <f>IF(AND('Jrnl Rev'!G366&lt;&gt;"",'Jrnl Rev'!C366&lt;&gt;""),1,0)</f>
        <v>0</v>
      </c>
      <c r="C361" s="146">
        <f>'Jrnl Rev'!$C366</f>
        <v>0</v>
      </c>
      <c r="D361" s="147">
        <f>'Jrnl Rev'!$D366</f>
        <v>0</v>
      </c>
      <c r="E361" s="1510">
        <f>'Jrnl Rev'!$F366</f>
        <v>0</v>
      </c>
      <c r="F361" s="1510"/>
      <c r="G361" s="951" t="str">
        <f>IF('Jrnl Rev'!$E366="","",'Jrnl Rev'!$E366)</f>
        <v/>
      </c>
      <c r="H361" s="147">
        <f>'Jrnl Rev'!H366</f>
        <v>0</v>
      </c>
      <c r="I361" s="147" t="str">
        <f t="shared" si="10"/>
        <v>0</v>
      </c>
      <c r="J361" s="148" t="b">
        <f t="shared" si="11"/>
        <v>0</v>
      </c>
      <c r="K361" s="149">
        <f>'Jrnl Rev'!$G366</f>
        <v>0</v>
      </c>
      <c r="L361" s="150"/>
      <c r="M361" s="151"/>
      <c r="N361" s="152">
        <f>'Jrnl Rev'!$H156</f>
        <v>0</v>
      </c>
    </row>
    <row r="362" spans="2:14" s="1" customFormat="1" ht="30" hidden="1" customHeight="1" x14ac:dyDescent="0.15">
      <c r="B362" s="146">
        <f>IF(AND('Jrnl Rev'!G367&lt;&gt;"",'Jrnl Rev'!C367&lt;&gt;""),1,0)</f>
        <v>0</v>
      </c>
      <c r="C362" s="146">
        <f>'Jrnl Rev'!$C367</f>
        <v>0</v>
      </c>
      <c r="D362" s="147">
        <f>'Jrnl Rev'!$D367</f>
        <v>0</v>
      </c>
      <c r="E362" s="1510">
        <f>'Jrnl Rev'!$F367</f>
        <v>0</v>
      </c>
      <c r="F362" s="1510"/>
      <c r="G362" s="951" t="str">
        <f>IF('Jrnl Rev'!$E367="","",'Jrnl Rev'!$E367)</f>
        <v/>
      </c>
      <c r="H362" s="147">
        <f>'Jrnl Rev'!H367</f>
        <v>0</v>
      </c>
      <c r="I362" s="147" t="str">
        <f t="shared" si="10"/>
        <v>0</v>
      </c>
      <c r="J362" s="148" t="b">
        <f t="shared" si="11"/>
        <v>0</v>
      </c>
      <c r="K362" s="149">
        <f>'Jrnl Rev'!$G367</f>
        <v>0</v>
      </c>
      <c r="L362" s="150"/>
      <c r="M362" s="151"/>
      <c r="N362" s="152">
        <f>'Jrnl Rev'!$H157</f>
        <v>0</v>
      </c>
    </row>
    <row r="363" spans="2:14" s="1" customFormat="1" ht="30" hidden="1" customHeight="1" x14ac:dyDescent="0.15">
      <c r="B363" s="146">
        <f>IF(AND('Jrnl Rev'!G368&lt;&gt;"",'Jrnl Rev'!C368&lt;&gt;""),1,0)</f>
        <v>0</v>
      </c>
      <c r="C363" s="146">
        <f>'Jrnl Rev'!$C368</f>
        <v>0</v>
      </c>
      <c r="D363" s="147">
        <f>'Jrnl Rev'!$D368</f>
        <v>0</v>
      </c>
      <c r="E363" s="1510">
        <f>'Jrnl Rev'!$F368</f>
        <v>0</v>
      </c>
      <c r="F363" s="1510"/>
      <c r="G363" s="951" t="str">
        <f>IF('Jrnl Rev'!$E368="","",'Jrnl Rev'!$E368)</f>
        <v/>
      </c>
      <c r="H363" s="147">
        <f>'Jrnl Rev'!H368</f>
        <v>0</v>
      </c>
      <c r="I363" s="147" t="str">
        <f t="shared" si="10"/>
        <v>0</v>
      </c>
      <c r="J363" s="148" t="b">
        <f t="shared" si="11"/>
        <v>0</v>
      </c>
      <c r="K363" s="149">
        <f>'Jrnl Rev'!$G368</f>
        <v>0</v>
      </c>
      <c r="L363" s="150"/>
      <c r="M363" s="151"/>
      <c r="N363" s="152">
        <f>'Jrnl Rev'!$H158</f>
        <v>0</v>
      </c>
    </row>
    <row r="364" spans="2:14" s="1" customFormat="1" ht="30" hidden="1" customHeight="1" x14ac:dyDescent="0.15">
      <c r="B364" s="146">
        <f>IF(AND('Jrnl Rev'!G369&lt;&gt;"",'Jrnl Rev'!C369&lt;&gt;""),1,0)</f>
        <v>0</v>
      </c>
      <c r="C364" s="146">
        <f>'Jrnl Rev'!$C369</f>
        <v>0</v>
      </c>
      <c r="D364" s="147">
        <f>'Jrnl Rev'!$D369</f>
        <v>0</v>
      </c>
      <c r="E364" s="1510">
        <f>'Jrnl Rev'!$F369</f>
        <v>0</v>
      </c>
      <c r="F364" s="1510"/>
      <c r="G364" s="951" t="str">
        <f>IF('Jrnl Rev'!$E369="","",'Jrnl Rev'!$E369)</f>
        <v/>
      </c>
      <c r="H364" s="147">
        <f>'Jrnl Rev'!H369</f>
        <v>0</v>
      </c>
      <c r="I364" s="147" t="str">
        <f t="shared" si="10"/>
        <v>0</v>
      </c>
      <c r="J364" s="148" t="b">
        <f t="shared" si="11"/>
        <v>0</v>
      </c>
      <c r="K364" s="149">
        <f>'Jrnl Rev'!$G369</f>
        <v>0</v>
      </c>
      <c r="L364" s="150"/>
      <c r="M364" s="151"/>
      <c r="N364" s="152">
        <f>'Jrnl Rev'!$H159</f>
        <v>0</v>
      </c>
    </row>
    <row r="365" spans="2:14" s="1" customFormat="1" ht="30" hidden="1" customHeight="1" x14ac:dyDescent="0.15">
      <c r="B365" s="146">
        <f>IF(AND('Jrnl Rev'!G370&lt;&gt;"",'Jrnl Rev'!C370&lt;&gt;""),1,0)</f>
        <v>0</v>
      </c>
      <c r="C365" s="146">
        <f>'Jrnl Rev'!$C370</f>
        <v>0</v>
      </c>
      <c r="D365" s="147">
        <f>'Jrnl Rev'!$D370</f>
        <v>0</v>
      </c>
      <c r="E365" s="1510">
        <f>'Jrnl Rev'!$F370</f>
        <v>0</v>
      </c>
      <c r="F365" s="1510"/>
      <c r="G365" s="951" t="str">
        <f>IF('Jrnl Rev'!$E370="","",'Jrnl Rev'!$E370)</f>
        <v/>
      </c>
      <c r="H365" s="147">
        <f>'Jrnl Rev'!H370</f>
        <v>0</v>
      </c>
      <c r="I365" s="147" t="str">
        <f t="shared" si="10"/>
        <v>0</v>
      </c>
      <c r="J365" s="148" t="b">
        <f t="shared" si="11"/>
        <v>0</v>
      </c>
      <c r="K365" s="149">
        <f>'Jrnl Rev'!$G370</f>
        <v>0</v>
      </c>
      <c r="L365" s="150"/>
      <c r="M365" s="151"/>
      <c r="N365" s="152">
        <f>'Jrnl Rev'!$H160</f>
        <v>0</v>
      </c>
    </row>
    <row r="366" spans="2:14" s="1" customFormat="1" ht="30" hidden="1" customHeight="1" x14ac:dyDescent="0.15">
      <c r="B366" s="146">
        <f>IF(AND('Jrnl Rev'!G371&lt;&gt;"",'Jrnl Rev'!C371&lt;&gt;""),1,0)</f>
        <v>0</v>
      </c>
      <c r="C366" s="146">
        <f>'Jrnl Rev'!$C371</f>
        <v>0</v>
      </c>
      <c r="D366" s="147">
        <f>'Jrnl Rev'!$D371</f>
        <v>0</v>
      </c>
      <c r="E366" s="1510">
        <f>'Jrnl Rev'!$F371</f>
        <v>0</v>
      </c>
      <c r="F366" s="1510"/>
      <c r="G366" s="951" t="str">
        <f>IF('Jrnl Rev'!$E371="","",'Jrnl Rev'!$E371)</f>
        <v/>
      </c>
      <c r="H366" s="147">
        <f>'Jrnl Rev'!H371</f>
        <v>0</v>
      </c>
      <c r="I366" s="147" t="str">
        <f t="shared" si="10"/>
        <v>0</v>
      </c>
      <c r="J366" s="148" t="b">
        <f t="shared" si="11"/>
        <v>0</v>
      </c>
      <c r="K366" s="149">
        <f>'Jrnl Rev'!$G371</f>
        <v>0</v>
      </c>
      <c r="L366" s="150"/>
      <c r="M366" s="151"/>
      <c r="N366" s="152">
        <f>'Jrnl Rev'!$H161</f>
        <v>0</v>
      </c>
    </row>
    <row r="367" spans="2:14" s="1" customFormat="1" ht="30" hidden="1" customHeight="1" x14ac:dyDescent="0.15">
      <c r="B367" s="146">
        <f>IF(AND('Jrnl Rev'!G372&lt;&gt;"",'Jrnl Rev'!C372&lt;&gt;""),1,0)</f>
        <v>0</v>
      </c>
      <c r="C367" s="146">
        <f>'Jrnl Rev'!$C372</f>
        <v>0</v>
      </c>
      <c r="D367" s="147">
        <f>'Jrnl Rev'!$D372</f>
        <v>0</v>
      </c>
      <c r="E367" s="1510">
        <f>'Jrnl Rev'!$F372</f>
        <v>0</v>
      </c>
      <c r="F367" s="1510"/>
      <c r="G367" s="951" t="str">
        <f>IF('Jrnl Rev'!$E372="","",'Jrnl Rev'!$E372)</f>
        <v/>
      </c>
      <c r="H367" s="147">
        <f>'Jrnl Rev'!H372</f>
        <v>0</v>
      </c>
      <c r="I367" s="147" t="str">
        <f t="shared" si="10"/>
        <v>0</v>
      </c>
      <c r="J367" s="148" t="b">
        <f t="shared" si="11"/>
        <v>0</v>
      </c>
      <c r="K367" s="149">
        <f>'Jrnl Rev'!$G372</f>
        <v>0</v>
      </c>
      <c r="L367" s="150"/>
      <c r="M367" s="151"/>
      <c r="N367" s="152">
        <f>'Jrnl Rev'!$H162</f>
        <v>0</v>
      </c>
    </row>
    <row r="368" spans="2:14" s="1" customFormat="1" ht="30" hidden="1" customHeight="1" x14ac:dyDescent="0.15">
      <c r="B368" s="146">
        <f>IF(AND('Jrnl Rev'!G373&lt;&gt;"",'Jrnl Rev'!C373&lt;&gt;""),1,0)</f>
        <v>0</v>
      </c>
      <c r="C368" s="146">
        <f>'Jrnl Rev'!$C373</f>
        <v>0</v>
      </c>
      <c r="D368" s="147">
        <f>'Jrnl Rev'!$D373</f>
        <v>0</v>
      </c>
      <c r="E368" s="1510">
        <f>'Jrnl Rev'!$F373</f>
        <v>0</v>
      </c>
      <c r="F368" s="1510"/>
      <c r="G368" s="951" t="str">
        <f>IF('Jrnl Rev'!$E373="","",'Jrnl Rev'!$E373)</f>
        <v/>
      </c>
      <c r="H368" s="147">
        <f>'Jrnl Rev'!H373</f>
        <v>0</v>
      </c>
      <c r="I368" s="147" t="str">
        <f t="shared" si="10"/>
        <v>0</v>
      </c>
      <c r="J368" s="148" t="b">
        <f t="shared" si="11"/>
        <v>0</v>
      </c>
      <c r="K368" s="149">
        <f>'Jrnl Rev'!$G373</f>
        <v>0</v>
      </c>
      <c r="L368" s="150"/>
      <c r="M368" s="151"/>
      <c r="N368" s="152">
        <f>'Jrnl Rev'!$H163</f>
        <v>0</v>
      </c>
    </row>
    <row r="369" spans="2:14" s="1" customFormat="1" ht="30" hidden="1" customHeight="1" x14ac:dyDescent="0.15">
      <c r="B369" s="146">
        <f>IF(AND('Jrnl Rev'!G374&lt;&gt;"",'Jrnl Rev'!C374&lt;&gt;""),1,0)</f>
        <v>0</v>
      </c>
      <c r="C369" s="146">
        <f>'Jrnl Rev'!$C374</f>
        <v>0</v>
      </c>
      <c r="D369" s="147">
        <f>'Jrnl Rev'!$D374</f>
        <v>0</v>
      </c>
      <c r="E369" s="1510">
        <f>'Jrnl Rev'!$F374</f>
        <v>0</v>
      </c>
      <c r="F369" s="1510"/>
      <c r="G369" s="951" t="str">
        <f>IF('Jrnl Rev'!$E374="","",'Jrnl Rev'!$E374)</f>
        <v/>
      </c>
      <c r="H369" s="147">
        <f>'Jrnl Rev'!H374</f>
        <v>0</v>
      </c>
      <c r="I369" s="147" t="str">
        <f t="shared" si="10"/>
        <v>0</v>
      </c>
      <c r="J369" s="148" t="b">
        <f t="shared" si="11"/>
        <v>0</v>
      </c>
      <c r="K369" s="149">
        <f>'Jrnl Rev'!$G374</f>
        <v>0</v>
      </c>
      <c r="L369" s="150"/>
      <c r="M369" s="151"/>
      <c r="N369" s="152">
        <f>'Jrnl Rev'!$H164</f>
        <v>0</v>
      </c>
    </row>
    <row r="370" spans="2:14" s="1" customFormat="1" ht="30" hidden="1" customHeight="1" x14ac:dyDescent="0.15">
      <c r="B370" s="146">
        <f>IF(AND('Jrnl Rev'!G375&lt;&gt;"",'Jrnl Rev'!C375&lt;&gt;""),1,0)</f>
        <v>0</v>
      </c>
      <c r="C370" s="146">
        <f>'Jrnl Rev'!$C375</f>
        <v>0</v>
      </c>
      <c r="D370" s="147">
        <f>'Jrnl Rev'!$D375</f>
        <v>0</v>
      </c>
      <c r="E370" s="1510">
        <f>'Jrnl Rev'!$F375</f>
        <v>0</v>
      </c>
      <c r="F370" s="1510"/>
      <c r="G370" s="951" t="str">
        <f>IF('Jrnl Rev'!$E375="","",'Jrnl Rev'!$E375)</f>
        <v/>
      </c>
      <c r="H370" s="147">
        <f>'Jrnl Rev'!H375</f>
        <v>0</v>
      </c>
      <c r="I370" s="147" t="str">
        <f t="shared" si="10"/>
        <v>0</v>
      </c>
      <c r="J370" s="148" t="b">
        <f t="shared" si="11"/>
        <v>0</v>
      </c>
      <c r="K370" s="149">
        <f>'Jrnl Rev'!$G375</f>
        <v>0</v>
      </c>
      <c r="L370" s="150"/>
      <c r="M370" s="151"/>
      <c r="N370" s="152">
        <f>'Jrnl Rev'!$H165</f>
        <v>0</v>
      </c>
    </row>
    <row r="371" spans="2:14" s="1" customFormat="1" ht="30" hidden="1" customHeight="1" x14ac:dyDescent="0.15">
      <c r="B371" s="146">
        <f>IF(AND('Jrnl Rev'!G376&lt;&gt;"",'Jrnl Rev'!C376&lt;&gt;""),1,0)</f>
        <v>0</v>
      </c>
      <c r="C371" s="146">
        <f>'Jrnl Rev'!$C376</f>
        <v>0</v>
      </c>
      <c r="D371" s="147">
        <f>'Jrnl Rev'!$D376</f>
        <v>0</v>
      </c>
      <c r="E371" s="1510">
        <f>'Jrnl Rev'!$F376</f>
        <v>0</v>
      </c>
      <c r="F371" s="1510"/>
      <c r="G371" s="951" t="str">
        <f>IF('Jrnl Rev'!$E376="","",'Jrnl Rev'!$E376)</f>
        <v/>
      </c>
      <c r="H371" s="147">
        <f>'Jrnl Rev'!H376</f>
        <v>0</v>
      </c>
      <c r="I371" s="147" t="str">
        <f t="shared" si="10"/>
        <v>0</v>
      </c>
      <c r="J371" s="148" t="b">
        <f t="shared" si="11"/>
        <v>0</v>
      </c>
      <c r="K371" s="149">
        <f>'Jrnl Rev'!$G376</f>
        <v>0</v>
      </c>
      <c r="L371" s="150"/>
      <c r="M371" s="151"/>
      <c r="N371" s="152">
        <f>'Jrnl Rev'!$H166</f>
        <v>0</v>
      </c>
    </row>
    <row r="372" spans="2:14" s="1" customFormat="1" ht="30" hidden="1" customHeight="1" x14ac:dyDescent="0.15">
      <c r="B372" s="146">
        <f>IF(AND('Jrnl Rev'!G377&lt;&gt;"",'Jrnl Rev'!C377&lt;&gt;""),1,0)</f>
        <v>0</v>
      </c>
      <c r="C372" s="146">
        <f>'Jrnl Rev'!$C377</f>
        <v>0</v>
      </c>
      <c r="D372" s="147">
        <f>'Jrnl Rev'!$D377</f>
        <v>0</v>
      </c>
      <c r="E372" s="1510">
        <f>'Jrnl Rev'!$F377</f>
        <v>0</v>
      </c>
      <c r="F372" s="1510"/>
      <c r="G372" s="951" t="str">
        <f>IF('Jrnl Rev'!$E377="","",'Jrnl Rev'!$E377)</f>
        <v/>
      </c>
      <c r="H372" s="147">
        <f>'Jrnl Rev'!H377</f>
        <v>0</v>
      </c>
      <c r="I372" s="147" t="str">
        <f t="shared" si="10"/>
        <v>0</v>
      </c>
      <c r="J372" s="148" t="b">
        <f t="shared" si="11"/>
        <v>0</v>
      </c>
      <c r="K372" s="149">
        <f>'Jrnl Rev'!$G377</f>
        <v>0</v>
      </c>
      <c r="L372" s="150"/>
      <c r="M372" s="151"/>
      <c r="N372" s="152">
        <f>'Jrnl Rev'!$H167</f>
        <v>0</v>
      </c>
    </row>
    <row r="373" spans="2:14" s="1" customFormat="1" ht="30" hidden="1" customHeight="1" x14ac:dyDescent="0.15">
      <c r="B373" s="146">
        <f>IF(AND('Jrnl Rev'!G378&lt;&gt;"",'Jrnl Rev'!C378&lt;&gt;""),1,0)</f>
        <v>0</v>
      </c>
      <c r="C373" s="146">
        <f>'Jrnl Rev'!$C378</f>
        <v>0</v>
      </c>
      <c r="D373" s="147">
        <f>'Jrnl Rev'!$D378</f>
        <v>0</v>
      </c>
      <c r="E373" s="1510">
        <f>'Jrnl Rev'!$F378</f>
        <v>0</v>
      </c>
      <c r="F373" s="1510"/>
      <c r="G373" s="951" t="str">
        <f>IF('Jrnl Rev'!$E378="","",'Jrnl Rev'!$E378)</f>
        <v/>
      </c>
      <c r="H373" s="147">
        <f>'Jrnl Rev'!H378</f>
        <v>0</v>
      </c>
      <c r="I373" s="147" t="str">
        <f t="shared" si="10"/>
        <v>0</v>
      </c>
      <c r="J373" s="148" t="b">
        <f t="shared" si="11"/>
        <v>0</v>
      </c>
      <c r="K373" s="149">
        <f>'Jrnl Rev'!$G378</f>
        <v>0</v>
      </c>
      <c r="L373" s="150"/>
      <c r="M373" s="151"/>
      <c r="N373" s="152">
        <f>'Jrnl Rev'!$H168</f>
        <v>0</v>
      </c>
    </row>
    <row r="374" spans="2:14" s="1" customFormat="1" ht="30" hidden="1" customHeight="1" x14ac:dyDescent="0.15">
      <c r="B374" s="146">
        <f>IF(AND('Jrnl Rev'!G379&lt;&gt;"",'Jrnl Rev'!C379&lt;&gt;""),1,0)</f>
        <v>0</v>
      </c>
      <c r="C374" s="146">
        <f>'Jrnl Rev'!$C379</f>
        <v>0</v>
      </c>
      <c r="D374" s="147">
        <f>'Jrnl Rev'!$D379</f>
        <v>0</v>
      </c>
      <c r="E374" s="1510">
        <f>'Jrnl Rev'!$F379</f>
        <v>0</v>
      </c>
      <c r="F374" s="1510"/>
      <c r="G374" s="951" t="str">
        <f>IF('Jrnl Rev'!$E379="","",'Jrnl Rev'!$E379)</f>
        <v/>
      </c>
      <c r="H374" s="147">
        <f>'Jrnl Rev'!H379</f>
        <v>0</v>
      </c>
      <c r="I374" s="147" t="str">
        <f t="shared" si="10"/>
        <v>0</v>
      </c>
      <c r="J374" s="148" t="b">
        <f t="shared" si="11"/>
        <v>0</v>
      </c>
      <c r="K374" s="149">
        <f>'Jrnl Rev'!$G379</f>
        <v>0</v>
      </c>
      <c r="L374" s="150"/>
      <c r="M374" s="151"/>
      <c r="N374" s="152">
        <f>'Jrnl Rev'!$H169</f>
        <v>0</v>
      </c>
    </row>
    <row r="375" spans="2:14" s="1" customFormat="1" ht="30" hidden="1" customHeight="1" x14ac:dyDescent="0.15">
      <c r="B375" s="146">
        <f>IF(AND('Jrnl Rev'!G380&lt;&gt;"",'Jrnl Rev'!C380&lt;&gt;""),1,0)</f>
        <v>0</v>
      </c>
      <c r="C375" s="146">
        <f>'Jrnl Rev'!$C380</f>
        <v>0</v>
      </c>
      <c r="D375" s="147">
        <f>'Jrnl Rev'!$D380</f>
        <v>0</v>
      </c>
      <c r="E375" s="1510">
        <f>'Jrnl Rev'!$F380</f>
        <v>0</v>
      </c>
      <c r="F375" s="1510"/>
      <c r="G375" s="951" t="str">
        <f>IF('Jrnl Rev'!$E380="","",'Jrnl Rev'!$E380)</f>
        <v/>
      </c>
      <c r="H375" s="147">
        <f>'Jrnl Rev'!H380</f>
        <v>0</v>
      </c>
      <c r="I375" s="147" t="str">
        <f t="shared" si="10"/>
        <v>0</v>
      </c>
      <c r="J375" s="148" t="b">
        <f t="shared" si="11"/>
        <v>0</v>
      </c>
      <c r="K375" s="149">
        <f>'Jrnl Rev'!$G380</f>
        <v>0</v>
      </c>
      <c r="L375" s="150"/>
      <c r="M375" s="151"/>
      <c r="N375" s="152">
        <f>'Jrnl Rev'!$H170</f>
        <v>0</v>
      </c>
    </row>
    <row r="376" spans="2:14" s="1" customFormat="1" ht="30" hidden="1" customHeight="1" x14ac:dyDescent="0.15">
      <c r="B376" s="146">
        <f>IF(AND('Jrnl Rev'!G381&lt;&gt;"",'Jrnl Rev'!C381&lt;&gt;""),1,0)</f>
        <v>0</v>
      </c>
      <c r="C376" s="146">
        <f>'Jrnl Rev'!$C381</f>
        <v>0</v>
      </c>
      <c r="D376" s="147">
        <f>'Jrnl Rev'!$D381</f>
        <v>0</v>
      </c>
      <c r="E376" s="1510">
        <f>'Jrnl Rev'!$F381</f>
        <v>0</v>
      </c>
      <c r="F376" s="1510"/>
      <c r="G376" s="951" t="str">
        <f>IF('Jrnl Rev'!$E381="","",'Jrnl Rev'!$E381)</f>
        <v/>
      </c>
      <c r="H376" s="147">
        <f>'Jrnl Rev'!H381</f>
        <v>0</v>
      </c>
      <c r="I376" s="147" t="str">
        <f t="shared" si="10"/>
        <v>0</v>
      </c>
      <c r="J376" s="148" t="b">
        <f t="shared" si="11"/>
        <v>0</v>
      </c>
      <c r="K376" s="149">
        <f>'Jrnl Rev'!$G381</f>
        <v>0</v>
      </c>
      <c r="L376" s="150"/>
      <c r="M376" s="151"/>
      <c r="N376" s="152">
        <f>'Jrnl Rev'!$H171</f>
        <v>0</v>
      </c>
    </row>
    <row r="377" spans="2:14" s="1" customFormat="1" ht="30" hidden="1" customHeight="1" x14ac:dyDescent="0.15">
      <c r="B377" s="146">
        <f>IF(AND('Jrnl Rev'!G382&lt;&gt;"",'Jrnl Rev'!C382&lt;&gt;""),1,0)</f>
        <v>0</v>
      </c>
      <c r="C377" s="146">
        <f>'Jrnl Rev'!$C382</f>
        <v>0</v>
      </c>
      <c r="D377" s="147">
        <f>'Jrnl Rev'!$D382</f>
        <v>0</v>
      </c>
      <c r="E377" s="1510">
        <f>'Jrnl Rev'!$F382</f>
        <v>0</v>
      </c>
      <c r="F377" s="1510"/>
      <c r="G377" s="951" t="str">
        <f>IF('Jrnl Rev'!$E382="","",'Jrnl Rev'!$E382)</f>
        <v/>
      </c>
      <c r="H377" s="147">
        <f>'Jrnl Rev'!H382</f>
        <v>0</v>
      </c>
      <c r="I377" s="147" t="str">
        <f t="shared" si="10"/>
        <v>0</v>
      </c>
      <c r="J377" s="148" t="b">
        <f t="shared" si="11"/>
        <v>0</v>
      </c>
      <c r="K377" s="149">
        <f>'Jrnl Rev'!$G382</f>
        <v>0</v>
      </c>
      <c r="L377" s="150"/>
      <c r="M377" s="151"/>
      <c r="N377" s="152">
        <f>'Jrnl Rev'!$H172</f>
        <v>0</v>
      </c>
    </row>
    <row r="378" spans="2:14" s="1" customFormat="1" ht="30" hidden="1" customHeight="1" x14ac:dyDescent="0.15">
      <c r="B378" s="146">
        <f>IF(AND('Jrnl Rev'!G383&lt;&gt;"",'Jrnl Rev'!C383&lt;&gt;""),1,0)</f>
        <v>0</v>
      </c>
      <c r="C378" s="146">
        <f>'Jrnl Rev'!$C383</f>
        <v>0</v>
      </c>
      <c r="D378" s="147">
        <f>'Jrnl Rev'!$D383</f>
        <v>0</v>
      </c>
      <c r="E378" s="1510">
        <f>'Jrnl Rev'!$F383</f>
        <v>0</v>
      </c>
      <c r="F378" s="1510"/>
      <c r="G378" s="951" t="str">
        <f>IF('Jrnl Rev'!$E383="","",'Jrnl Rev'!$E383)</f>
        <v/>
      </c>
      <c r="H378" s="147">
        <f>'Jrnl Rev'!H383</f>
        <v>0</v>
      </c>
      <c r="I378" s="147" t="str">
        <f t="shared" si="10"/>
        <v>0</v>
      </c>
      <c r="J378" s="148" t="b">
        <f t="shared" si="11"/>
        <v>0</v>
      </c>
      <c r="K378" s="149">
        <f>'Jrnl Rev'!$G383</f>
        <v>0</v>
      </c>
      <c r="L378" s="150"/>
      <c r="M378" s="151"/>
      <c r="N378" s="152">
        <f>'Jrnl Rev'!$H173</f>
        <v>0</v>
      </c>
    </row>
    <row r="379" spans="2:14" s="1" customFormat="1" ht="30" hidden="1" customHeight="1" x14ac:dyDescent="0.15">
      <c r="B379" s="146">
        <f>IF(AND('Jrnl Rev'!G384&lt;&gt;"",'Jrnl Rev'!C384&lt;&gt;""),1,0)</f>
        <v>0</v>
      </c>
      <c r="C379" s="146">
        <f>'Jrnl Rev'!$C384</f>
        <v>0</v>
      </c>
      <c r="D379" s="147">
        <f>'Jrnl Rev'!$D384</f>
        <v>0</v>
      </c>
      <c r="E379" s="1510">
        <f>'Jrnl Rev'!$F384</f>
        <v>0</v>
      </c>
      <c r="F379" s="1510"/>
      <c r="G379" s="951" t="str">
        <f>IF('Jrnl Rev'!$E384="","",'Jrnl Rev'!$E384)</f>
        <v/>
      </c>
      <c r="H379" s="147">
        <f>'Jrnl Rev'!H384</f>
        <v>0</v>
      </c>
      <c r="I379" s="147" t="str">
        <f t="shared" si="10"/>
        <v>0</v>
      </c>
      <c r="J379" s="148" t="b">
        <f t="shared" si="11"/>
        <v>0</v>
      </c>
      <c r="K379" s="149">
        <f>'Jrnl Rev'!$G384</f>
        <v>0</v>
      </c>
      <c r="L379" s="150"/>
      <c r="M379" s="151"/>
      <c r="N379" s="152">
        <f>'Jrnl Rev'!$H174</f>
        <v>0</v>
      </c>
    </row>
    <row r="380" spans="2:14" s="1" customFormat="1" ht="30" hidden="1" customHeight="1" x14ac:dyDescent="0.15">
      <c r="B380" s="146">
        <f>IF(AND('Jrnl Rev'!G385&lt;&gt;"",'Jrnl Rev'!C385&lt;&gt;""),1,0)</f>
        <v>0</v>
      </c>
      <c r="C380" s="146">
        <f>'Jrnl Rev'!$C385</f>
        <v>0</v>
      </c>
      <c r="D380" s="147">
        <f>'Jrnl Rev'!$D385</f>
        <v>0</v>
      </c>
      <c r="E380" s="1510">
        <f>'Jrnl Rev'!$F385</f>
        <v>0</v>
      </c>
      <c r="F380" s="1510"/>
      <c r="G380" s="951" t="str">
        <f>IF('Jrnl Rev'!$E385="","",'Jrnl Rev'!$E385)</f>
        <v/>
      </c>
      <c r="H380" s="147">
        <f>'Jrnl Rev'!H385</f>
        <v>0</v>
      </c>
      <c r="I380" s="147" t="str">
        <f t="shared" si="10"/>
        <v>0</v>
      </c>
      <c r="J380" s="148" t="b">
        <f t="shared" si="11"/>
        <v>0</v>
      </c>
      <c r="K380" s="149">
        <f>'Jrnl Rev'!$G385</f>
        <v>0</v>
      </c>
      <c r="L380" s="150"/>
      <c r="M380" s="151"/>
      <c r="N380" s="152">
        <f>'Jrnl Rev'!$H175</f>
        <v>0</v>
      </c>
    </row>
    <row r="381" spans="2:14" s="1" customFormat="1" ht="30" hidden="1" customHeight="1" x14ac:dyDescent="0.15">
      <c r="B381" s="146">
        <f>IF(AND('Jrnl Rev'!G386&lt;&gt;"",'Jrnl Rev'!C386&lt;&gt;""),1,0)</f>
        <v>0</v>
      </c>
      <c r="C381" s="146">
        <f>'Jrnl Rev'!$C386</f>
        <v>0</v>
      </c>
      <c r="D381" s="147">
        <f>'Jrnl Rev'!$D386</f>
        <v>0</v>
      </c>
      <c r="E381" s="1510">
        <f>'Jrnl Rev'!$F386</f>
        <v>0</v>
      </c>
      <c r="F381" s="1510"/>
      <c r="G381" s="951" t="str">
        <f>IF('Jrnl Rev'!$E386="","",'Jrnl Rev'!$E386)</f>
        <v/>
      </c>
      <c r="H381" s="147">
        <f>'Jrnl Rev'!H386</f>
        <v>0</v>
      </c>
      <c r="I381" s="147" t="str">
        <f t="shared" si="10"/>
        <v>0</v>
      </c>
      <c r="J381" s="148" t="b">
        <f t="shared" si="11"/>
        <v>0</v>
      </c>
      <c r="K381" s="149">
        <f>'Jrnl Rev'!$G386</f>
        <v>0</v>
      </c>
      <c r="L381" s="150"/>
      <c r="M381" s="151"/>
      <c r="N381" s="152">
        <f>'Jrnl Rev'!$H176</f>
        <v>0</v>
      </c>
    </row>
    <row r="382" spans="2:14" s="1" customFormat="1" ht="30" hidden="1" customHeight="1" x14ac:dyDescent="0.15">
      <c r="B382" s="146">
        <f>IF(AND('Jrnl Rev'!G387&lt;&gt;"",'Jrnl Rev'!C387&lt;&gt;""),1,0)</f>
        <v>0</v>
      </c>
      <c r="C382" s="146">
        <f>'Jrnl Rev'!$C387</f>
        <v>0</v>
      </c>
      <c r="D382" s="147">
        <f>'Jrnl Rev'!$D387</f>
        <v>0</v>
      </c>
      <c r="E382" s="1510">
        <f>'Jrnl Rev'!$F387</f>
        <v>0</v>
      </c>
      <c r="F382" s="1510"/>
      <c r="G382" s="951" t="str">
        <f>IF('Jrnl Rev'!$E387="","",'Jrnl Rev'!$E387)</f>
        <v/>
      </c>
      <c r="H382" s="147">
        <f>'Jrnl Rev'!H387</f>
        <v>0</v>
      </c>
      <c r="I382" s="147" t="str">
        <f t="shared" si="10"/>
        <v>0</v>
      </c>
      <c r="J382" s="148" t="b">
        <f t="shared" si="11"/>
        <v>0</v>
      </c>
      <c r="K382" s="149">
        <f>'Jrnl Rev'!$G387</f>
        <v>0</v>
      </c>
      <c r="L382" s="150"/>
      <c r="M382" s="151"/>
      <c r="N382" s="152">
        <f>'Jrnl Rev'!$H177</f>
        <v>0</v>
      </c>
    </row>
    <row r="383" spans="2:14" s="1" customFormat="1" ht="30" hidden="1" customHeight="1" x14ac:dyDescent="0.15">
      <c r="B383" s="146">
        <f>IF(AND('Jrnl Rev'!G388&lt;&gt;"",'Jrnl Rev'!C388&lt;&gt;""),1,0)</f>
        <v>0</v>
      </c>
      <c r="C383" s="146">
        <f>'Jrnl Rev'!$C388</f>
        <v>0</v>
      </c>
      <c r="D383" s="147">
        <f>'Jrnl Rev'!$D388</f>
        <v>0</v>
      </c>
      <c r="E383" s="1510">
        <f>'Jrnl Rev'!$F388</f>
        <v>0</v>
      </c>
      <c r="F383" s="1510"/>
      <c r="G383" s="951" t="str">
        <f>IF('Jrnl Rev'!$E388="","",'Jrnl Rev'!$E388)</f>
        <v/>
      </c>
      <c r="H383" s="147">
        <f>'Jrnl Rev'!H388</f>
        <v>0</v>
      </c>
      <c r="I383" s="147" t="str">
        <f t="shared" si="10"/>
        <v>0</v>
      </c>
      <c r="J383" s="148" t="b">
        <f t="shared" si="11"/>
        <v>0</v>
      </c>
      <c r="K383" s="149">
        <f>'Jrnl Rev'!$G388</f>
        <v>0</v>
      </c>
      <c r="L383" s="150"/>
      <c r="M383" s="151"/>
      <c r="N383" s="152">
        <f>'Jrnl Rev'!$H178</f>
        <v>0</v>
      </c>
    </row>
    <row r="384" spans="2:14" s="1" customFormat="1" ht="30" hidden="1" customHeight="1" x14ac:dyDescent="0.15">
      <c r="B384" s="146">
        <f>IF(AND('Jrnl Rev'!G389&lt;&gt;"",'Jrnl Rev'!C389&lt;&gt;""),1,0)</f>
        <v>0</v>
      </c>
      <c r="C384" s="146">
        <f>'Jrnl Rev'!$C389</f>
        <v>0</v>
      </c>
      <c r="D384" s="147">
        <f>'Jrnl Rev'!$D389</f>
        <v>0</v>
      </c>
      <c r="E384" s="1510">
        <f>'Jrnl Rev'!$F389</f>
        <v>0</v>
      </c>
      <c r="F384" s="1510"/>
      <c r="G384" s="951" t="str">
        <f>IF('Jrnl Rev'!$E389="","",'Jrnl Rev'!$E389)</f>
        <v/>
      </c>
      <c r="H384" s="147">
        <f>'Jrnl Rev'!H389</f>
        <v>0</v>
      </c>
      <c r="I384" s="147" t="str">
        <f t="shared" si="10"/>
        <v>0</v>
      </c>
      <c r="J384" s="148" t="b">
        <f t="shared" si="11"/>
        <v>0</v>
      </c>
      <c r="K384" s="149">
        <f>'Jrnl Rev'!$G389</f>
        <v>0</v>
      </c>
      <c r="L384" s="150"/>
      <c r="M384" s="151"/>
      <c r="N384" s="152">
        <f>'Jrnl Rev'!$H179</f>
        <v>0</v>
      </c>
    </row>
    <row r="385" spans="2:14" s="1" customFormat="1" ht="30" hidden="1" customHeight="1" x14ac:dyDescent="0.15">
      <c r="B385" s="146">
        <f>IF(AND('Jrnl Rev'!G390&lt;&gt;"",'Jrnl Rev'!C390&lt;&gt;""),1,0)</f>
        <v>0</v>
      </c>
      <c r="C385" s="146">
        <f>'Jrnl Rev'!$C390</f>
        <v>0</v>
      </c>
      <c r="D385" s="147">
        <f>'Jrnl Rev'!$D390</f>
        <v>0</v>
      </c>
      <c r="E385" s="1510">
        <f>'Jrnl Rev'!$F390</f>
        <v>0</v>
      </c>
      <c r="F385" s="1510"/>
      <c r="G385" s="951" t="str">
        <f>IF('Jrnl Rev'!$E390="","",'Jrnl Rev'!$E390)</f>
        <v/>
      </c>
      <c r="H385" s="147">
        <f>'Jrnl Rev'!H390</f>
        <v>0</v>
      </c>
      <c r="I385" s="147" t="str">
        <f t="shared" si="10"/>
        <v>0</v>
      </c>
      <c r="J385" s="148" t="b">
        <f t="shared" si="11"/>
        <v>0</v>
      </c>
      <c r="K385" s="149">
        <f>'Jrnl Rev'!$G390</f>
        <v>0</v>
      </c>
      <c r="L385" s="150"/>
      <c r="M385" s="151"/>
      <c r="N385" s="152">
        <f>'Jrnl Rev'!$H180</f>
        <v>0</v>
      </c>
    </row>
    <row r="386" spans="2:14" s="1" customFormat="1" ht="30" hidden="1" customHeight="1" x14ac:dyDescent="0.15">
      <c r="B386" s="146">
        <f>IF(AND('Jrnl Rev'!G391&lt;&gt;"",'Jrnl Rev'!C391&lt;&gt;""),1,0)</f>
        <v>0</v>
      </c>
      <c r="C386" s="146">
        <f>'Jrnl Rev'!$C391</f>
        <v>0</v>
      </c>
      <c r="D386" s="147">
        <f>'Jrnl Rev'!$D391</f>
        <v>0</v>
      </c>
      <c r="E386" s="1510">
        <f>'Jrnl Rev'!$F391</f>
        <v>0</v>
      </c>
      <c r="F386" s="1510"/>
      <c r="G386" s="951" t="str">
        <f>IF('Jrnl Rev'!$E391="","",'Jrnl Rev'!$E391)</f>
        <v/>
      </c>
      <c r="H386" s="147">
        <f>'Jrnl Rev'!H391</f>
        <v>0</v>
      </c>
      <c r="I386" s="147" t="str">
        <f t="shared" si="10"/>
        <v>0</v>
      </c>
      <c r="J386" s="148" t="b">
        <f t="shared" si="11"/>
        <v>0</v>
      </c>
      <c r="K386" s="149">
        <f>'Jrnl Rev'!$G391</f>
        <v>0</v>
      </c>
      <c r="L386" s="150"/>
      <c r="M386" s="151"/>
      <c r="N386" s="152">
        <f>'Jrnl Rev'!$H181</f>
        <v>0</v>
      </c>
    </row>
    <row r="387" spans="2:14" s="1" customFormat="1" ht="30" hidden="1" customHeight="1" x14ac:dyDescent="0.15">
      <c r="B387" s="146">
        <f>IF(AND('Jrnl Rev'!G392&lt;&gt;"",'Jrnl Rev'!C392&lt;&gt;""),1,0)</f>
        <v>0</v>
      </c>
      <c r="C387" s="146">
        <f>'Jrnl Rev'!$C392</f>
        <v>0</v>
      </c>
      <c r="D387" s="147">
        <f>'Jrnl Rev'!$D392</f>
        <v>0</v>
      </c>
      <c r="E387" s="1510">
        <f>'Jrnl Rev'!$F392</f>
        <v>0</v>
      </c>
      <c r="F387" s="1510"/>
      <c r="G387" s="951" t="str">
        <f>IF('Jrnl Rev'!$E392="","",'Jrnl Rev'!$E392)</f>
        <v/>
      </c>
      <c r="H387" s="147">
        <f>'Jrnl Rev'!H392</f>
        <v>0</v>
      </c>
      <c r="I387" s="147" t="str">
        <f t="shared" si="10"/>
        <v>0</v>
      </c>
      <c r="J387" s="148" t="b">
        <f t="shared" si="11"/>
        <v>0</v>
      </c>
      <c r="K387" s="149">
        <f>'Jrnl Rev'!$G392</f>
        <v>0</v>
      </c>
      <c r="L387" s="150"/>
      <c r="M387" s="151"/>
      <c r="N387" s="152">
        <f>'Jrnl Rev'!$H182</f>
        <v>0</v>
      </c>
    </row>
    <row r="388" spans="2:14" s="1" customFormat="1" ht="30" hidden="1" customHeight="1" x14ac:dyDescent="0.15">
      <c r="B388" s="146">
        <f>IF(AND('Jrnl Rev'!G393&lt;&gt;"",'Jrnl Rev'!C393&lt;&gt;""),1,0)</f>
        <v>0</v>
      </c>
      <c r="C388" s="146">
        <f>'Jrnl Rev'!$C393</f>
        <v>0</v>
      </c>
      <c r="D388" s="147">
        <f>'Jrnl Rev'!$D393</f>
        <v>0</v>
      </c>
      <c r="E388" s="1510">
        <f>'Jrnl Rev'!$F393</f>
        <v>0</v>
      </c>
      <c r="F388" s="1510"/>
      <c r="G388" s="951" t="str">
        <f>IF('Jrnl Rev'!$E393="","",'Jrnl Rev'!$E393)</f>
        <v/>
      </c>
      <c r="H388" s="147">
        <f>'Jrnl Rev'!H393</f>
        <v>0</v>
      </c>
      <c r="I388" s="147" t="str">
        <f t="shared" si="10"/>
        <v>0</v>
      </c>
      <c r="J388" s="148" t="b">
        <f t="shared" si="11"/>
        <v>0</v>
      </c>
      <c r="K388" s="149">
        <f>'Jrnl Rev'!$G393</f>
        <v>0</v>
      </c>
      <c r="L388" s="150"/>
      <c r="M388" s="151"/>
      <c r="N388" s="152">
        <f>'Jrnl Rev'!$H183</f>
        <v>0</v>
      </c>
    </row>
    <row r="389" spans="2:14" s="1" customFormat="1" ht="30" hidden="1" customHeight="1" x14ac:dyDescent="0.15">
      <c r="B389" s="146">
        <f>IF(AND('Jrnl Rev'!G394&lt;&gt;"",'Jrnl Rev'!C394&lt;&gt;""),1,0)</f>
        <v>0</v>
      </c>
      <c r="C389" s="146">
        <f>'Jrnl Rev'!$C394</f>
        <v>0</v>
      </c>
      <c r="D389" s="147">
        <f>'Jrnl Rev'!$D394</f>
        <v>0</v>
      </c>
      <c r="E389" s="1510">
        <f>'Jrnl Rev'!$F394</f>
        <v>0</v>
      </c>
      <c r="F389" s="1510"/>
      <c r="G389" s="951" t="str">
        <f>IF('Jrnl Rev'!$E394="","",'Jrnl Rev'!$E394)</f>
        <v/>
      </c>
      <c r="H389" s="147">
        <f>'Jrnl Rev'!H394</f>
        <v>0</v>
      </c>
      <c r="I389" s="147" t="str">
        <f t="shared" si="10"/>
        <v>0</v>
      </c>
      <c r="J389" s="148" t="b">
        <f t="shared" si="11"/>
        <v>0</v>
      </c>
      <c r="K389" s="149">
        <f>'Jrnl Rev'!$G394</f>
        <v>0</v>
      </c>
      <c r="L389" s="150"/>
      <c r="M389" s="151"/>
      <c r="N389" s="152">
        <f>'Jrnl Rev'!$H184</f>
        <v>0</v>
      </c>
    </row>
    <row r="390" spans="2:14" s="1" customFormat="1" ht="30" hidden="1" customHeight="1" x14ac:dyDescent="0.15">
      <c r="B390" s="146">
        <f>IF(AND('Jrnl Rev'!G395&lt;&gt;"",'Jrnl Rev'!C395&lt;&gt;""),1,0)</f>
        <v>0</v>
      </c>
      <c r="C390" s="146">
        <f>'Jrnl Rev'!$C395</f>
        <v>0</v>
      </c>
      <c r="D390" s="147">
        <f>'Jrnl Rev'!$D395</f>
        <v>0</v>
      </c>
      <c r="E390" s="1510">
        <f>'Jrnl Rev'!$F395</f>
        <v>0</v>
      </c>
      <c r="F390" s="1510"/>
      <c r="G390" s="951" t="str">
        <f>IF('Jrnl Rev'!$E395="","",'Jrnl Rev'!$E395)</f>
        <v/>
      </c>
      <c r="H390" s="147">
        <f>'Jrnl Rev'!H395</f>
        <v>0</v>
      </c>
      <c r="I390" s="147" t="str">
        <f t="shared" si="10"/>
        <v>0</v>
      </c>
      <c r="J390" s="148" t="b">
        <f t="shared" si="11"/>
        <v>0</v>
      </c>
      <c r="K390" s="149">
        <f>'Jrnl Rev'!$G395</f>
        <v>0</v>
      </c>
      <c r="L390" s="150"/>
      <c r="M390" s="151"/>
      <c r="N390" s="152">
        <f>'Jrnl Rev'!$H185</f>
        <v>0</v>
      </c>
    </row>
    <row r="391" spans="2:14" s="1" customFormat="1" ht="30" hidden="1" customHeight="1" x14ac:dyDescent="0.15">
      <c r="B391" s="146">
        <f>IF(AND('Jrnl Rev'!G396&lt;&gt;"",'Jrnl Rev'!C396&lt;&gt;""),1,0)</f>
        <v>0</v>
      </c>
      <c r="C391" s="146">
        <f>'Jrnl Rev'!$C396</f>
        <v>0</v>
      </c>
      <c r="D391" s="147">
        <f>'Jrnl Rev'!$D396</f>
        <v>0</v>
      </c>
      <c r="E391" s="1510">
        <f>'Jrnl Rev'!$F396</f>
        <v>0</v>
      </c>
      <c r="F391" s="1510"/>
      <c r="G391" s="951" t="str">
        <f>IF('Jrnl Rev'!$E396="","",'Jrnl Rev'!$E396)</f>
        <v/>
      </c>
      <c r="H391" s="147">
        <f>'Jrnl Rev'!H396</f>
        <v>0</v>
      </c>
      <c r="I391" s="147" t="str">
        <f t="shared" si="10"/>
        <v>0</v>
      </c>
      <c r="J391" s="148" t="b">
        <f t="shared" si="11"/>
        <v>0</v>
      </c>
      <c r="K391" s="149">
        <f>'Jrnl Rev'!$G396</f>
        <v>0</v>
      </c>
      <c r="L391" s="150"/>
      <c r="M391" s="151"/>
      <c r="N391" s="152">
        <f>'Jrnl Rev'!$H186</f>
        <v>0</v>
      </c>
    </row>
    <row r="392" spans="2:14" s="1" customFormat="1" ht="30" hidden="1" customHeight="1" x14ac:dyDescent="0.15">
      <c r="B392" s="146">
        <f>IF(AND('Jrnl Rev'!G397&lt;&gt;"",'Jrnl Rev'!C397&lt;&gt;""),1,0)</f>
        <v>0</v>
      </c>
      <c r="C392" s="146">
        <f>'Jrnl Rev'!$C397</f>
        <v>0</v>
      </c>
      <c r="D392" s="147">
        <f>'Jrnl Rev'!$D397</f>
        <v>0</v>
      </c>
      <c r="E392" s="1510">
        <f>'Jrnl Rev'!$F397</f>
        <v>0</v>
      </c>
      <c r="F392" s="1510"/>
      <c r="G392" s="951" t="str">
        <f>IF('Jrnl Rev'!$E397="","",'Jrnl Rev'!$E397)</f>
        <v/>
      </c>
      <c r="H392" s="147">
        <f>'Jrnl Rev'!H397</f>
        <v>0</v>
      </c>
      <c r="I392" s="147" t="str">
        <f t="shared" si="10"/>
        <v>0</v>
      </c>
      <c r="J392" s="148" t="b">
        <f t="shared" si="11"/>
        <v>0</v>
      </c>
      <c r="K392" s="149">
        <f>'Jrnl Rev'!$G397</f>
        <v>0</v>
      </c>
      <c r="L392" s="150"/>
      <c r="M392" s="151"/>
      <c r="N392" s="152">
        <f>'Jrnl Rev'!$H187</f>
        <v>0</v>
      </c>
    </row>
    <row r="393" spans="2:14" s="1" customFormat="1" ht="30" hidden="1" customHeight="1" x14ac:dyDescent="0.15">
      <c r="B393" s="146">
        <f>IF(AND('Jrnl Rev'!G398&lt;&gt;"",'Jrnl Rev'!C398&lt;&gt;""),1,0)</f>
        <v>0</v>
      </c>
      <c r="C393" s="146">
        <f>'Jrnl Rev'!$C398</f>
        <v>0</v>
      </c>
      <c r="D393" s="147">
        <f>'Jrnl Rev'!$D398</f>
        <v>0</v>
      </c>
      <c r="E393" s="1510">
        <f>'Jrnl Rev'!$F398</f>
        <v>0</v>
      </c>
      <c r="F393" s="1510"/>
      <c r="G393" s="951" t="str">
        <f>IF('Jrnl Rev'!$E398="","",'Jrnl Rev'!$E398)</f>
        <v/>
      </c>
      <c r="H393" s="147">
        <f>'Jrnl Rev'!H398</f>
        <v>0</v>
      </c>
      <c r="I393" s="147" t="str">
        <f t="shared" si="10"/>
        <v>0</v>
      </c>
      <c r="J393" s="148" t="b">
        <f t="shared" si="11"/>
        <v>0</v>
      </c>
      <c r="K393" s="149">
        <f>'Jrnl Rev'!$G398</f>
        <v>0</v>
      </c>
      <c r="L393" s="150"/>
      <c r="M393" s="151"/>
      <c r="N393" s="152">
        <f>'Jrnl Rev'!$H188</f>
        <v>0</v>
      </c>
    </row>
    <row r="394" spans="2:14" s="1" customFormat="1" ht="30" hidden="1" customHeight="1" x14ac:dyDescent="0.15">
      <c r="B394" s="146">
        <f>IF(AND('Jrnl Rev'!G399&lt;&gt;"",'Jrnl Rev'!C399&lt;&gt;""),1,0)</f>
        <v>0</v>
      </c>
      <c r="C394" s="146">
        <f>'Jrnl Rev'!$C399</f>
        <v>0</v>
      </c>
      <c r="D394" s="147">
        <f>'Jrnl Rev'!$D399</f>
        <v>0</v>
      </c>
      <c r="E394" s="1510">
        <f>'Jrnl Rev'!$F399</f>
        <v>0</v>
      </c>
      <c r="F394" s="1510"/>
      <c r="G394" s="951" t="str">
        <f>IF('Jrnl Rev'!$E399="","",'Jrnl Rev'!$E399)</f>
        <v/>
      </c>
      <c r="H394" s="147">
        <f>'Jrnl Rev'!H399</f>
        <v>0</v>
      </c>
      <c r="I394" s="147" t="str">
        <f t="shared" si="10"/>
        <v>0</v>
      </c>
      <c r="J394" s="148" t="b">
        <f t="shared" si="11"/>
        <v>0</v>
      </c>
      <c r="K394" s="149">
        <f>'Jrnl Rev'!$G399</f>
        <v>0</v>
      </c>
      <c r="L394" s="150"/>
      <c r="M394" s="151"/>
      <c r="N394" s="152">
        <f>'Jrnl Rev'!$H189</f>
        <v>0</v>
      </c>
    </row>
    <row r="395" spans="2:14" s="1" customFormat="1" ht="30" hidden="1" customHeight="1" x14ac:dyDescent="0.15">
      <c r="B395" s="146">
        <f>IF(AND('Jrnl Rev'!G400&lt;&gt;"",'Jrnl Rev'!C400&lt;&gt;""),1,0)</f>
        <v>0</v>
      </c>
      <c r="C395" s="146">
        <f>'Jrnl Rev'!$C400</f>
        <v>0</v>
      </c>
      <c r="D395" s="147">
        <f>'Jrnl Rev'!$D400</f>
        <v>0</v>
      </c>
      <c r="E395" s="1510">
        <f>'Jrnl Rev'!$F400</f>
        <v>0</v>
      </c>
      <c r="F395" s="1510"/>
      <c r="G395" s="951" t="str">
        <f>IF('Jrnl Rev'!$E400="","",'Jrnl Rev'!$E400)</f>
        <v/>
      </c>
      <c r="H395" s="147">
        <f>'Jrnl Rev'!H400</f>
        <v>0</v>
      </c>
      <c r="I395" s="147" t="str">
        <f t="shared" ref="I395:I458" si="12">LEFT(H395,4)</f>
        <v>0</v>
      </c>
      <c r="J395" s="148" t="b">
        <f t="shared" si="11"/>
        <v>0</v>
      </c>
      <c r="K395" s="149">
        <f>'Jrnl Rev'!$G400</f>
        <v>0</v>
      </c>
      <c r="L395" s="150"/>
      <c r="M395" s="151"/>
      <c r="N395" s="152">
        <f>'Jrnl Rev'!$H190</f>
        <v>0</v>
      </c>
    </row>
    <row r="396" spans="2:14" s="1" customFormat="1" ht="30" hidden="1" customHeight="1" x14ac:dyDescent="0.15">
      <c r="B396" s="146">
        <f>IF(AND('Jrnl Rev'!G401&lt;&gt;"",'Jrnl Rev'!C401&lt;&gt;""),1,0)</f>
        <v>0</v>
      </c>
      <c r="C396" s="146">
        <f>'Jrnl Rev'!$C401</f>
        <v>0</v>
      </c>
      <c r="D396" s="147">
        <f>'Jrnl Rev'!$D401</f>
        <v>0</v>
      </c>
      <c r="E396" s="1510">
        <f>'Jrnl Rev'!$F401</f>
        <v>0</v>
      </c>
      <c r="F396" s="1510"/>
      <c r="G396" s="951" t="str">
        <f>IF('Jrnl Rev'!$E401="","",'Jrnl Rev'!$E401)</f>
        <v/>
      </c>
      <c r="H396" s="147">
        <f>'Jrnl Rev'!H401</f>
        <v>0</v>
      </c>
      <c r="I396" s="147" t="str">
        <f t="shared" si="12"/>
        <v>0</v>
      </c>
      <c r="J396" s="148" t="b">
        <f t="shared" ref="J396:J459" si="13">IF(I396="1020",IF(G396&gt;=$E$3,IF(G396&lt;=$G$3,K396,0)))</f>
        <v>0</v>
      </c>
      <c r="K396" s="149">
        <f>'Jrnl Rev'!$G401</f>
        <v>0</v>
      </c>
      <c r="L396" s="150"/>
      <c r="M396" s="151"/>
      <c r="N396" s="152">
        <f>'Jrnl Rev'!$H191</f>
        <v>0</v>
      </c>
    </row>
    <row r="397" spans="2:14" s="1" customFormat="1" ht="30" hidden="1" customHeight="1" x14ac:dyDescent="0.15">
      <c r="B397" s="146">
        <f>IF(AND('Jrnl Rev'!G402&lt;&gt;"",'Jrnl Rev'!C402&lt;&gt;""),1,0)</f>
        <v>0</v>
      </c>
      <c r="C397" s="146">
        <f>'Jrnl Rev'!$C402</f>
        <v>0</v>
      </c>
      <c r="D397" s="147">
        <f>'Jrnl Rev'!$D402</f>
        <v>0</v>
      </c>
      <c r="E397" s="1510">
        <f>'Jrnl Rev'!$F402</f>
        <v>0</v>
      </c>
      <c r="F397" s="1510"/>
      <c r="G397" s="951" t="str">
        <f>IF('Jrnl Rev'!$E402="","",'Jrnl Rev'!$E402)</f>
        <v/>
      </c>
      <c r="H397" s="147">
        <f>'Jrnl Rev'!H402</f>
        <v>0</v>
      </c>
      <c r="I397" s="147" t="str">
        <f t="shared" si="12"/>
        <v>0</v>
      </c>
      <c r="J397" s="148" t="b">
        <f t="shared" si="13"/>
        <v>0</v>
      </c>
      <c r="K397" s="149">
        <f>'Jrnl Rev'!$G402</f>
        <v>0</v>
      </c>
      <c r="L397" s="150"/>
      <c r="M397" s="151"/>
      <c r="N397" s="152">
        <f>'Jrnl Rev'!$H192</f>
        <v>0</v>
      </c>
    </row>
    <row r="398" spans="2:14" s="1" customFormat="1" ht="30" hidden="1" customHeight="1" x14ac:dyDescent="0.15">
      <c r="B398" s="146">
        <f>IF(AND('Jrnl Rev'!G403&lt;&gt;"",'Jrnl Rev'!C403&lt;&gt;""),1,0)</f>
        <v>0</v>
      </c>
      <c r="C398" s="146">
        <f>'Jrnl Rev'!$C403</f>
        <v>0</v>
      </c>
      <c r="D398" s="147">
        <f>'Jrnl Rev'!$D403</f>
        <v>0</v>
      </c>
      <c r="E398" s="1510">
        <f>'Jrnl Rev'!$F403</f>
        <v>0</v>
      </c>
      <c r="F398" s="1510"/>
      <c r="G398" s="951" t="str">
        <f>IF('Jrnl Rev'!$E403="","",'Jrnl Rev'!$E403)</f>
        <v/>
      </c>
      <c r="H398" s="147">
        <f>'Jrnl Rev'!H403</f>
        <v>0</v>
      </c>
      <c r="I398" s="147" t="str">
        <f t="shared" si="12"/>
        <v>0</v>
      </c>
      <c r="J398" s="148" t="b">
        <f t="shared" si="13"/>
        <v>0</v>
      </c>
      <c r="K398" s="149">
        <f>'Jrnl Rev'!$G403</f>
        <v>0</v>
      </c>
      <c r="L398" s="150"/>
      <c r="M398" s="151"/>
      <c r="N398" s="152">
        <f>'Jrnl Rev'!$H193</f>
        <v>0</v>
      </c>
    </row>
    <row r="399" spans="2:14" s="1" customFormat="1" ht="30" hidden="1" customHeight="1" x14ac:dyDescent="0.15">
      <c r="B399" s="146">
        <f>IF(AND('Jrnl Rev'!G404&lt;&gt;"",'Jrnl Rev'!C404&lt;&gt;""),1,0)</f>
        <v>0</v>
      </c>
      <c r="C399" s="146">
        <f>'Jrnl Rev'!$C404</f>
        <v>0</v>
      </c>
      <c r="D399" s="147">
        <f>'Jrnl Rev'!$D404</f>
        <v>0</v>
      </c>
      <c r="E399" s="1510">
        <f>'Jrnl Rev'!$F404</f>
        <v>0</v>
      </c>
      <c r="F399" s="1510"/>
      <c r="G399" s="951" t="str">
        <f>IF('Jrnl Rev'!$E404="","",'Jrnl Rev'!$E404)</f>
        <v/>
      </c>
      <c r="H399" s="147">
        <f>'Jrnl Rev'!H404</f>
        <v>0</v>
      </c>
      <c r="I399" s="147" t="str">
        <f t="shared" si="12"/>
        <v>0</v>
      </c>
      <c r="J399" s="148" t="b">
        <f t="shared" si="13"/>
        <v>0</v>
      </c>
      <c r="K399" s="149">
        <f>'Jrnl Rev'!$G404</f>
        <v>0</v>
      </c>
      <c r="L399" s="150"/>
      <c r="M399" s="151"/>
      <c r="N399" s="152">
        <f>'Jrnl Rev'!$H194</f>
        <v>0</v>
      </c>
    </row>
    <row r="400" spans="2:14" s="1" customFormat="1" ht="30" hidden="1" customHeight="1" x14ac:dyDescent="0.15">
      <c r="B400" s="146">
        <f>IF(AND('Jrnl Rev'!G405&lt;&gt;"",'Jrnl Rev'!C405&lt;&gt;""),1,0)</f>
        <v>0</v>
      </c>
      <c r="C400" s="146">
        <f>'Jrnl Rev'!$C405</f>
        <v>0</v>
      </c>
      <c r="D400" s="147">
        <f>'Jrnl Rev'!$D405</f>
        <v>0</v>
      </c>
      <c r="E400" s="1510">
        <f>'Jrnl Rev'!$F405</f>
        <v>0</v>
      </c>
      <c r="F400" s="1510"/>
      <c r="G400" s="951" t="str">
        <f>IF('Jrnl Rev'!$E405="","",'Jrnl Rev'!$E405)</f>
        <v/>
      </c>
      <c r="H400" s="147">
        <f>'Jrnl Rev'!H405</f>
        <v>0</v>
      </c>
      <c r="I400" s="147" t="str">
        <f t="shared" si="12"/>
        <v>0</v>
      </c>
      <c r="J400" s="148" t="b">
        <f t="shared" si="13"/>
        <v>0</v>
      </c>
      <c r="K400" s="149">
        <f>'Jrnl Rev'!$G405</f>
        <v>0</v>
      </c>
      <c r="L400" s="150"/>
      <c r="M400" s="151"/>
      <c r="N400" s="152">
        <f>'Jrnl Rev'!$H195</f>
        <v>0</v>
      </c>
    </row>
    <row r="401" spans="2:14" s="1" customFormat="1" ht="30" hidden="1" customHeight="1" x14ac:dyDescent="0.15">
      <c r="B401" s="146">
        <f>IF(AND('Jrnl Rev'!G406&lt;&gt;"",'Jrnl Rev'!C406&lt;&gt;""),1,0)</f>
        <v>0</v>
      </c>
      <c r="C401" s="146">
        <f>'Jrnl Rev'!$C406</f>
        <v>0</v>
      </c>
      <c r="D401" s="147">
        <f>'Jrnl Rev'!$D406</f>
        <v>0</v>
      </c>
      <c r="E401" s="1510">
        <f>'Jrnl Rev'!$F406</f>
        <v>0</v>
      </c>
      <c r="F401" s="1510"/>
      <c r="G401" s="951" t="str">
        <f>IF('Jrnl Rev'!$E406="","",'Jrnl Rev'!$E406)</f>
        <v/>
      </c>
      <c r="H401" s="147">
        <f>'Jrnl Rev'!H406</f>
        <v>0</v>
      </c>
      <c r="I401" s="147" t="str">
        <f t="shared" si="12"/>
        <v>0</v>
      </c>
      <c r="J401" s="148" t="b">
        <f t="shared" si="13"/>
        <v>0</v>
      </c>
      <c r="K401" s="149">
        <f>'Jrnl Rev'!$G406</f>
        <v>0</v>
      </c>
      <c r="L401" s="150"/>
      <c r="M401" s="151"/>
      <c r="N401" s="152">
        <f>'Jrnl Rev'!$H196</f>
        <v>0</v>
      </c>
    </row>
    <row r="402" spans="2:14" s="1" customFormat="1" ht="30" hidden="1" customHeight="1" x14ac:dyDescent="0.15">
      <c r="B402" s="146">
        <f>IF(AND('Jrnl Rev'!G407&lt;&gt;"",'Jrnl Rev'!C407&lt;&gt;""),1,0)</f>
        <v>0</v>
      </c>
      <c r="C402" s="146">
        <f>'Jrnl Rev'!$C407</f>
        <v>0</v>
      </c>
      <c r="D402" s="147">
        <f>'Jrnl Rev'!$D407</f>
        <v>0</v>
      </c>
      <c r="E402" s="1510">
        <f>'Jrnl Rev'!$F407</f>
        <v>0</v>
      </c>
      <c r="F402" s="1510"/>
      <c r="G402" s="951" t="str">
        <f>IF('Jrnl Rev'!$E407="","",'Jrnl Rev'!$E407)</f>
        <v/>
      </c>
      <c r="H402" s="147">
        <f>'Jrnl Rev'!H407</f>
        <v>0</v>
      </c>
      <c r="I402" s="147" t="str">
        <f t="shared" si="12"/>
        <v>0</v>
      </c>
      <c r="J402" s="148" t="b">
        <f t="shared" si="13"/>
        <v>0</v>
      </c>
      <c r="K402" s="149">
        <f>'Jrnl Rev'!$G407</f>
        <v>0</v>
      </c>
      <c r="L402" s="150"/>
      <c r="M402" s="151"/>
      <c r="N402" s="152">
        <f>'Jrnl Rev'!$H197</f>
        <v>0</v>
      </c>
    </row>
    <row r="403" spans="2:14" s="1" customFormat="1" ht="30" hidden="1" customHeight="1" x14ac:dyDescent="0.15">
      <c r="B403" s="146">
        <f>IF(AND('Jrnl Rev'!G408&lt;&gt;"",'Jrnl Rev'!C408&lt;&gt;""),1,0)</f>
        <v>0</v>
      </c>
      <c r="C403" s="146">
        <f>'Jrnl Rev'!$C408</f>
        <v>0</v>
      </c>
      <c r="D403" s="147">
        <f>'Jrnl Rev'!$D408</f>
        <v>0</v>
      </c>
      <c r="E403" s="1510">
        <f>'Jrnl Rev'!$F408</f>
        <v>0</v>
      </c>
      <c r="F403" s="1510"/>
      <c r="G403" s="951" t="str">
        <f>IF('Jrnl Rev'!$E408="","",'Jrnl Rev'!$E408)</f>
        <v/>
      </c>
      <c r="H403" s="147">
        <f>'Jrnl Rev'!H408</f>
        <v>0</v>
      </c>
      <c r="I403" s="147" t="str">
        <f t="shared" si="12"/>
        <v>0</v>
      </c>
      <c r="J403" s="148" t="b">
        <f t="shared" si="13"/>
        <v>0</v>
      </c>
      <c r="K403" s="149">
        <f>'Jrnl Rev'!$G408</f>
        <v>0</v>
      </c>
      <c r="L403" s="150"/>
      <c r="M403" s="151"/>
      <c r="N403" s="152">
        <f>'Jrnl Rev'!$H198</f>
        <v>0</v>
      </c>
    </row>
    <row r="404" spans="2:14" s="1" customFormat="1" ht="30" hidden="1" customHeight="1" x14ac:dyDescent="0.15">
      <c r="B404" s="146">
        <f>IF(AND('Jrnl Rev'!G409&lt;&gt;"",'Jrnl Rev'!C409&lt;&gt;""),1,0)</f>
        <v>0</v>
      </c>
      <c r="C404" s="146">
        <f>'Jrnl Rev'!$C409</f>
        <v>0</v>
      </c>
      <c r="D404" s="147">
        <f>'Jrnl Rev'!$D409</f>
        <v>0</v>
      </c>
      <c r="E404" s="1510">
        <f>'Jrnl Rev'!$F409</f>
        <v>0</v>
      </c>
      <c r="F404" s="1510"/>
      <c r="G404" s="951" t="str">
        <f>IF('Jrnl Rev'!$E409="","",'Jrnl Rev'!$E409)</f>
        <v/>
      </c>
      <c r="H404" s="147">
        <f>'Jrnl Rev'!H409</f>
        <v>0</v>
      </c>
      <c r="I404" s="147" t="str">
        <f t="shared" si="12"/>
        <v>0</v>
      </c>
      <c r="J404" s="148" t="b">
        <f t="shared" si="13"/>
        <v>0</v>
      </c>
      <c r="K404" s="149">
        <f>'Jrnl Rev'!$G409</f>
        <v>0</v>
      </c>
      <c r="L404" s="150"/>
      <c r="M404" s="151"/>
      <c r="N404" s="152">
        <f>'Jrnl Rev'!$H199</f>
        <v>0</v>
      </c>
    </row>
    <row r="405" spans="2:14" s="1" customFormat="1" ht="30" hidden="1" customHeight="1" x14ac:dyDescent="0.15">
      <c r="B405" s="146">
        <f>IF(AND('Jrnl Rev'!G410&lt;&gt;"",'Jrnl Rev'!C410&lt;&gt;""),1,0)</f>
        <v>0</v>
      </c>
      <c r="C405" s="146">
        <f>'Jrnl Rev'!$C410</f>
        <v>0</v>
      </c>
      <c r="D405" s="147">
        <f>'Jrnl Rev'!$D410</f>
        <v>0</v>
      </c>
      <c r="E405" s="1510">
        <f>'Jrnl Rev'!$F410</f>
        <v>0</v>
      </c>
      <c r="F405" s="1510"/>
      <c r="G405" s="951" t="str">
        <f>IF('Jrnl Rev'!$E410="","",'Jrnl Rev'!$E410)</f>
        <v/>
      </c>
      <c r="H405" s="147">
        <f>'Jrnl Rev'!H410</f>
        <v>0</v>
      </c>
      <c r="I405" s="147" t="str">
        <f t="shared" si="12"/>
        <v>0</v>
      </c>
      <c r="J405" s="148" t="b">
        <f t="shared" si="13"/>
        <v>0</v>
      </c>
      <c r="K405" s="149">
        <f>'Jrnl Rev'!$G410</f>
        <v>0</v>
      </c>
      <c r="L405" s="150"/>
      <c r="M405" s="151"/>
      <c r="N405" s="152">
        <f>'Jrnl Rev'!$H200</f>
        <v>0</v>
      </c>
    </row>
    <row r="406" spans="2:14" s="1" customFormat="1" ht="30" hidden="1" customHeight="1" x14ac:dyDescent="0.15">
      <c r="B406" s="146">
        <f>IF(AND('Jrnl Rev'!G411&lt;&gt;"",'Jrnl Rev'!C411&lt;&gt;""),1,0)</f>
        <v>0</v>
      </c>
      <c r="C406" s="146">
        <f>'Jrnl Rev'!$C411</f>
        <v>0</v>
      </c>
      <c r="D406" s="147">
        <f>'Jrnl Rev'!$D411</f>
        <v>0</v>
      </c>
      <c r="E406" s="1510">
        <f>'Jrnl Rev'!$F411</f>
        <v>0</v>
      </c>
      <c r="F406" s="1510"/>
      <c r="G406" s="951" t="str">
        <f>IF('Jrnl Rev'!$E411="","",'Jrnl Rev'!$E411)</f>
        <v/>
      </c>
      <c r="H406" s="147">
        <f>'Jrnl Rev'!H411</f>
        <v>0</v>
      </c>
      <c r="I406" s="147" t="str">
        <f t="shared" si="12"/>
        <v>0</v>
      </c>
      <c r="J406" s="148" t="b">
        <f t="shared" si="13"/>
        <v>0</v>
      </c>
      <c r="K406" s="149">
        <f>'Jrnl Rev'!$G411</f>
        <v>0</v>
      </c>
      <c r="L406" s="150"/>
      <c r="M406" s="151"/>
      <c r="N406" s="152">
        <f>'Jrnl Rev'!$H201</f>
        <v>0</v>
      </c>
    </row>
    <row r="407" spans="2:14" s="1" customFormat="1" ht="30" hidden="1" customHeight="1" x14ac:dyDescent="0.15">
      <c r="B407" s="146">
        <f>IF(AND('Jrnl Rev'!G412&lt;&gt;"",'Jrnl Rev'!C412&lt;&gt;""),1,0)</f>
        <v>0</v>
      </c>
      <c r="C407" s="146">
        <f>'Jrnl Rev'!$C412</f>
        <v>0</v>
      </c>
      <c r="D407" s="147">
        <f>'Jrnl Rev'!$D412</f>
        <v>0</v>
      </c>
      <c r="E407" s="1510">
        <f>'Jrnl Rev'!$F412</f>
        <v>0</v>
      </c>
      <c r="F407" s="1510"/>
      <c r="G407" s="951" t="str">
        <f>IF('Jrnl Rev'!$E412="","",'Jrnl Rev'!$E412)</f>
        <v/>
      </c>
      <c r="H407" s="147">
        <f>'Jrnl Rev'!H412</f>
        <v>0</v>
      </c>
      <c r="I407" s="147" t="str">
        <f t="shared" si="12"/>
        <v>0</v>
      </c>
      <c r="J407" s="148" t="b">
        <f t="shared" si="13"/>
        <v>0</v>
      </c>
      <c r="K407" s="149">
        <f>'Jrnl Rev'!$G412</f>
        <v>0</v>
      </c>
      <c r="L407" s="150"/>
      <c r="M407" s="151"/>
      <c r="N407" s="152">
        <f>'Jrnl Rev'!$H202</f>
        <v>0</v>
      </c>
    </row>
    <row r="408" spans="2:14" s="1" customFormat="1" ht="30" hidden="1" customHeight="1" x14ac:dyDescent="0.15">
      <c r="B408" s="146">
        <f>IF(AND('Jrnl Rev'!G413&lt;&gt;"",'Jrnl Rev'!C413&lt;&gt;""),1,0)</f>
        <v>0</v>
      </c>
      <c r="C408" s="146">
        <f>'Jrnl Rev'!$C413</f>
        <v>0</v>
      </c>
      <c r="D408" s="147">
        <f>'Jrnl Rev'!$D413</f>
        <v>0</v>
      </c>
      <c r="E408" s="1510">
        <f>'Jrnl Rev'!$F413</f>
        <v>0</v>
      </c>
      <c r="F408" s="1510"/>
      <c r="G408" s="951" t="str">
        <f>IF('Jrnl Rev'!$E413="","",'Jrnl Rev'!$E413)</f>
        <v/>
      </c>
      <c r="H408" s="147">
        <f>'Jrnl Rev'!H413</f>
        <v>0</v>
      </c>
      <c r="I408" s="147" t="str">
        <f t="shared" si="12"/>
        <v>0</v>
      </c>
      <c r="J408" s="148" t="b">
        <f t="shared" si="13"/>
        <v>0</v>
      </c>
      <c r="K408" s="149">
        <f>'Jrnl Rev'!$G413</f>
        <v>0</v>
      </c>
      <c r="L408" s="150"/>
      <c r="M408" s="151"/>
      <c r="N408" s="152">
        <f>'Jrnl Rev'!$H203</f>
        <v>0</v>
      </c>
    </row>
    <row r="409" spans="2:14" s="1" customFormat="1" ht="30" hidden="1" customHeight="1" x14ac:dyDescent="0.15">
      <c r="B409" s="146">
        <f>IF(AND('Jrnl Rev'!G414&lt;&gt;"",'Jrnl Rev'!C414&lt;&gt;""),1,0)</f>
        <v>0</v>
      </c>
      <c r="C409" s="146">
        <f>'Jrnl Rev'!$C414</f>
        <v>0</v>
      </c>
      <c r="D409" s="147">
        <f>'Jrnl Rev'!$D414</f>
        <v>0</v>
      </c>
      <c r="E409" s="1510">
        <f>'Jrnl Rev'!$F414</f>
        <v>0</v>
      </c>
      <c r="F409" s="1510"/>
      <c r="G409" s="951" t="str">
        <f>IF('Jrnl Rev'!$E414="","",'Jrnl Rev'!$E414)</f>
        <v/>
      </c>
      <c r="H409" s="147">
        <f>'Jrnl Rev'!H414</f>
        <v>0</v>
      </c>
      <c r="I409" s="147" t="str">
        <f t="shared" si="12"/>
        <v>0</v>
      </c>
      <c r="J409" s="148" t="b">
        <f t="shared" si="13"/>
        <v>0</v>
      </c>
      <c r="K409" s="149">
        <f>'Jrnl Rev'!$G414</f>
        <v>0</v>
      </c>
      <c r="L409" s="150"/>
      <c r="M409" s="151"/>
      <c r="N409" s="152">
        <f>'Jrnl Rev'!$H204</f>
        <v>0</v>
      </c>
    </row>
    <row r="410" spans="2:14" s="1" customFormat="1" ht="30" hidden="1" customHeight="1" x14ac:dyDescent="0.15">
      <c r="B410" s="146">
        <f>IF(AND('Jrnl Rev'!G415&lt;&gt;"",'Jrnl Rev'!C415&lt;&gt;""),1,0)</f>
        <v>0</v>
      </c>
      <c r="C410" s="146">
        <f>'Jrnl Rev'!$C415</f>
        <v>0</v>
      </c>
      <c r="D410" s="147">
        <f>'Jrnl Rev'!$D415</f>
        <v>0</v>
      </c>
      <c r="E410" s="1510">
        <f>'Jrnl Rev'!$F415</f>
        <v>0</v>
      </c>
      <c r="F410" s="1510"/>
      <c r="G410" s="951" t="str">
        <f>IF('Jrnl Rev'!$E415="","",'Jrnl Rev'!$E415)</f>
        <v/>
      </c>
      <c r="H410" s="147">
        <f>'Jrnl Rev'!H415</f>
        <v>0</v>
      </c>
      <c r="I410" s="147" t="str">
        <f t="shared" si="12"/>
        <v>0</v>
      </c>
      <c r="J410" s="148" t="b">
        <f t="shared" si="13"/>
        <v>0</v>
      </c>
      <c r="K410" s="149">
        <f>'Jrnl Rev'!$G415</f>
        <v>0</v>
      </c>
      <c r="L410" s="150"/>
      <c r="M410" s="151"/>
      <c r="N410" s="152">
        <f>'Jrnl Rev'!$H205</f>
        <v>0</v>
      </c>
    </row>
    <row r="411" spans="2:14" s="1" customFormat="1" ht="30" hidden="1" customHeight="1" x14ac:dyDescent="0.15">
      <c r="B411" s="146">
        <f>IF(AND('Jrnl Rev'!G416&lt;&gt;"",'Jrnl Rev'!C416&lt;&gt;""),1,0)</f>
        <v>0</v>
      </c>
      <c r="C411" s="146">
        <f>'Jrnl Rev'!$C416</f>
        <v>0</v>
      </c>
      <c r="D411" s="147">
        <f>'Jrnl Rev'!$D416</f>
        <v>0</v>
      </c>
      <c r="E411" s="1510">
        <f>'Jrnl Rev'!$F416</f>
        <v>0</v>
      </c>
      <c r="F411" s="1510"/>
      <c r="G411" s="951" t="str">
        <f>IF('Jrnl Rev'!$E416="","",'Jrnl Rev'!$E416)</f>
        <v/>
      </c>
      <c r="H411" s="147">
        <f>'Jrnl Rev'!H416</f>
        <v>0</v>
      </c>
      <c r="I411" s="147" t="str">
        <f t="shared" si="12"/>
        <v>0</v>
      </c>
      <c r="J411" s="148" t="b">
        <f t="shared" si="13"/>
        <v>0</v>
      </c>
      <c r="K411" s="149">
        <f>'Jrnl Rev'!$G416</f>
        <v>0</v>
      </c>
      <c r="L411" s="150"/>
      <c r="M411" s="151"/>
      <c r="N411" s="152">
        <f>'Jrnl Rev'!$H206</f>
        <v>0</v>
      </c>
    </row>
    <row r="412" spans="2:14" s="1" customFormat="1" ht="30" hidden="1" customHeight="1" x14ac:dyDescent="0.15">
      <c r="B412" s="146">
        <f>IF(AND('Jrnl Rev'!G417&lt;&gt;"",'Jrnl Rev'!C417&lt;&gt;""),1,0)</f>
        <v>0</v>
      </c>
      <c r="C412" s="146">
        <f>'Jrnl Rev'!$C417</f>
        <v>0</v>
      </c>
      <c r="D412" s="147">
        <f>'Jrnl Rev'!$D417</f>
        <v>0</v>
      </c>
      <c r="E412" s="1510">
        <f>'Jrnl Rev'!$F417</f>
        <v>0</v>
      </c>
      <c r="F412" s="1510"/>
      <c r="G412" s="951" t="str">
        <f>IF('Jrnl Rev'!$E417="","",'Jrnl Rev'!$E417)</f>
        <v/>
      </c>
      <c r="H412" s="147">
        <f>'Jrnl Rev'!H417</f>
        <v>0</v>
      </c>
      <c r="I412" s="147" t="str">
        <f t="shared" si="12"/>
        <v>0</v>
      </c>
      <c r="J412" s="148" t="b">
        <f t="shared" si="13"/>
        <v>0</v>
      </c>
      <c r="K412" s="149">
        <f>'Jrnl Rev'!$G417</f>
        <v>0</v>
      </c>
      <c r="L412" s="150"/>
      <c r="M412" s="151"/>
      <c r="N412" s="152">
        <f>'Jrnl Rev'!$H207</f>
        <v>0</v>
      </c>
    </row>
    <row r="413" spans="2:14" s="1" customFormat="1" ht="30" hidden="1" customHeight="1" x14ac:dyDescent="0.15">
      <c r="B413" s="146">
        <f>IF(AND('Jrnl Rev'!G418&lt;&gt;"",'Jrnl Rev'!C418&lt;&gt;""),1,0)</f>
        <v>0</v>
      </c>
      <c r="C413" s="146">
        <f>'Jrnl Rev'!$C418</f>
        <v>0</v>
      </c>
      <c r="D413" s="147">
        <f>'Jrnl Rev'!$D418</f>
        <v>0</v>
      </c>
      <c r="E413" s="1510">
        <f>'Jrnl Rev'!$F418</f>
        <v>0</v>
      </c>
      <c r="F413" s="1510"/>
      <c r="G413" s="951" t="str">
        <f>IF('Jrnl Rev'!$E418="","",'Jrnl Rev'!$E418)</f>
        <v/>
      </c>
      <c r="H413" s="147">
        <f>'Jrnl Rev'!H418</f>
        <v>0</v>
      </c>
      <c r="I413" s="147" t="str">
        <f t="shared" si="12"/>
        <v>0</v>
      </c>
      <c r="J413" s="148" t="b">
        <f t="shared" si="13"/>
        <v>0</v>
      </c>
      <c r="K413" s="149">
        <f>'Jrnl Rev'!$G418</f>
        <v>0</v>
      </c>
      <c r="L413" s="150"/>
      <c r="M413" s="151"/>
      <c r="N413" s="152">
        <f>'Jrnl Rev'!$H208</f>
        <v>0</v>
      </c>
    </row>
    <row r="414" spans="2:14" s="1" customFormat="1" ht="30" hidden="1" customHeight="1" x14ac:dyDescent="0.15">
      <c r="B414" s="146">
        <f>IF(AND('Jrnl Rev'!G419&lt;&gt;"",'Jrnl Rev'!C419&lt;&gt;""),1,0)</f>
        <v>0</v>
      </c>
      <c r="C414" s="146">
        <f>'Jrnl Rev'!$C419</f>
        <v>0</v>
      </c>
      <c r="D414" s="147">
        <f>'Jrnl Rev'!$D419</f>
        <v>0</v>
      </c>
      <c r="E414" s="1510">
        <f>'Jrnl Rev'!$F419</f>
        <v>0</v>
      </c>
      <c r="F414" s="1510"/>
      <c r="G414" s="951" t="str">
        <f>IF('Jrnl Rev'!$E419="","",'Jrnl Rev'!$E419)</f>
        <v/>
      </c>
      <c r="H414" s="147">
        <f>'Jrnl Rev'!H419</f>
        <v>0</v>
      </c>
      <c r="I414" s="147" t="str">
        <f t="shared" si="12"/>
        <v>0</v>
      </c>
      <c r="J414" s="148" t="b">
        <f t="shared" si="13"/>
        <v>0</v>
      </c>
      <c r="K414" s="149">
        <f>'Jrnl Rev'!$G419</f>
        <v>0</v>
      </c>
      <c r="L414" s="150"/>
      <c r="M414" s="151"/>
      <c r="N414" s="152">
        <f>'Jrnl Rev'!$H209</f>
        <v>0</v>
      </c>
    </row>
    <row r="415" spans="2:14" s="1" customFormat="1" ht="30" hidden="1" customHeight="1" x14ac:dyDescent="0.15">
      <c r="B415" s="146">
        <f>IF(AND('Jrnl Rev'!G420&lt;&gt;"",'Jrnl Rev'!C420&lt;&gt;""),1,0)</f>
        <v>0</v>
      </c>
      <c r="C415" s="146">
        <f>'Jrnl Rev'!$C420</f>
        <v>0</v>
      </c>
      <c r="D415" s="147">
        <f>'Jrnl Rev'!$D420</f>
        <v>0</v>
      </c>
      <c r="E415" s="1510">
        <f>'Jrnl Rev'!$F420</f>
        <v>0</v>
      </c>
      <c r="F415" s="1510"/>
      <c r="G415" s="951" t="str">
        <f>IF('Jrnl Rev'!$E420="","",'Jrnl Rev'!$E420)</f>
        <v/>
      </c>
      <c r="H415" s="147">
        <f>'Jrnl Rev'!H420</f>
        <v>0</v>
      </c>
      <c r="I415" s="147" t="str">
        <f t="shared" si="12"/>
        <v>0</v>
      </c>
      <c r="J415" s="148" t="b">
        <f t="shared" si="13"/>
        <v>0</v>
      </c>
      <c r="K415" s="149">
        <f>'Jrnl Rev'!$G420</f>
        <v>0</v>
      </c>
      <c r="L415" s="150"/>
      <c r="M415" s="151"/>
      <c r="N415" s="152">
        <f>'Jrnl Rev'!$H210</f>
        <v>0</v>
      </c>
    </row>
    <row r="416" spans="2:14" s="1" customFormat="1" ht="30" hidden="1" customHeight="1" x14ac:dyDescent="0.15">
      <c r="B416" s="146">
        <f>IF(AND('Jrnl Rev'!G421&lt;&gt;"",'Jrnl Rev'!C421&lt;&gt;""),1,0)</f>
        <v>0</v>
      </c>
      <c r="C416" s="146">
        <f>'Jrnl Rev'!$C421</f>
        <v>0</v>
      </c>
      <c r="D416" s="147">
        <f>'Jrnl Rev'!$D421</f>
        <v>0</v>
      </c>
      <c r="E416" s="1510">
        <f>'Jrnl Rev'!$F421</f>
        <v>0</v>
      </c>
      <c r="F416" s="1510"/>
      <c r="G416" s="951" t="str">
        <f>IF('Jrnl Rev'!$E421="","",'Jrnl Rev'!$E421)</f>
        <v/>
      </c>
      <c r="H416" s="147">
        <f>'Jrnl Rev'!H421</f>
        <v>0</v>
      </c>
      <c r="I416" s="147" t="str">
        <f t="shared" si="12"/>
        <v>0</v>
      </c>
      <c r="J416" s="148" t="b">
        <f t="shared" si="13"/>
        <v>0</v>
      </c>
      <c r="K416" s="149">
        <f>'Jrnl Rev'!$G421</f>
        <v>0</v>
      </c>
      <c r="L416" s="150"/>
      <c r="M416" s="151"/>
      <c r="N416" s="152">
        <f>'Jrnl Rev'!$H211</f>
        <v>0</v>
      </c>
    </row>
    <row r="417" spans="2:14" s="1" customFormat="1" ht="30" hidden="1" customHeight="1" x14ac:dyDescent="0.15">
      <c r="B417" s="146">
        <f>IF(AND('Jrnl Rev'!G422&lt;&gt;"",'Jrnl Rev'!C422&lt;&gt;""),1,0)</f>
        <v>0</v>
      </c>
      <c r="C417" s="146">
        <f>'Jrnl Rev'!$C422</f>
        <v>0</v>
      </c>
      <c r="D417" s="147">
        <f>'Jrnl Rev'!$D422</f>
        <v>0</v>
      </c>
      <c r="E417" s="1510">
        <f>'Jrnl Rev'!$F422</f>
        <v>0</v>
      </c>
      <c r="F417" s="1510"/>
      <c r="G417" s="951" t="str">
        <f>IF('Jrnl Rev'!$E422="","",'Jrnl Rev'!$E422)</f>
        <v/>
      </c>
      <c r="H417" s="147">
        <f>'Jrnl Rev'!H422</f>
        <v>0</v>
      </c>
      <c r="I417" s="147" t="str">
        <f t="shared" si="12"/>
        <v>0</v>
      </c>
      <c r="J417" s="148" t="b">
        <f t="shared" si="13"/>
        <v>0</v>
      </c>
      <c r="K417" s="149">
        <f>'Jrnl Rev'!$G422</f>
        <v>0</v>
      </c>
      <c r="L417" s="150"/>
      <c r="M417" s="151"/>
      <c r="N417" s="152">
        <f>'Jrnl Rev'!$H212</f>
        <v>0</v>
      </c>
    </row>
    <row r="418" spans="2:14" s="1" customFormat="1" ht="30" hidden="1" customHeight="1" x14ac:dyDescent="0.15">
      <c r="B418" s="146">
        <f>IF(AND('Jrnl Rev'!G423&lt;&gt;"",'Jrnl Rev'!C423&lt;&gt;""),1,0)</f>
        <v>0</v>
      </c>
      <c r="C418" s="146">
        <f>'Jrnl Rev'!$C423</f>
        <v>0</v>
      </c>
      <c r="D418" s="147">
        <f>'Jrnl Rev'!$D423</f>
        <v>0</v>
      </c>
      <c r="E418" s="1510">
        <f>'Jrnl Rev'!$F423</f>
        <v>0</v>
      </c>
      <c r="F418" s="1510"/>
      <c r="G418" s="951" t="str">
        <f>IF('Jrnl Rev'!$E423="","",'Jrnl Rev'!$E423)</f>
        <v/>
      </c>
      <c r="H418" s="147">
        <f>'Jrnl Rev'!H423</f>
        <v>0</v>
      </c>
      <c r="I418" s="147" t="str">
        <f t="shared" si="12"/>
        <v>0</v>
      </c>
      <c r="J418" s="148" t="b">
        <f t="shared" si="13"/>
        <v>0</v>
      </c>
      <c r="K418" s="149">
        <f>'Jrnl Rev'!$G423</f>
        <v>0</v>
      </c>
      <c r="L418" s="150"/>
      <c r="M418" s="151"/>
      <c r="N418" s="152">
        <f>'Jrnl Rev'!$H213</f>
        <v>0</v>
      </c>
    </row>
    <row r="419" spans="2:14" s="1" customFormat="1" ht="30" hidden="1" customHeight="1" x14ac:dyDescent="0.15">
      <c r="B419" s="146">
        <f>IF(AND('Jrnl Rev'!G424&lt;&gt;"",'Jrnl Rev'!C424&lt;&gt;""),1,0)</f>
        <v>0</v>
      </c>
      <c r="C419" s="146">
        <f>'Jrnl Rev'!$C424</f>
        <v>0</v>
      </c>
      <c r="D419" s="147">
        <f>'Jrnl Rev'!$D424</f>
        <v>0</v>
      </c>
      <c r="E419" s="1510">
        <f>'Jrnl Rev'!$F424</f>
        <v>0</v>
      </c>
      <c r="F419" s="1510"/>
      <c r="G419" s="951" t="str">
        <f>IF('Jrnl Rev'!$E424="","",'Jrnl Rev'!$E424)</f>
        <v/>
      </c>
      <c r="H419" s="147">
        <f>'Jrnl Rev'!H424</f>
        <v>0</v>
      </c>
      <c r="I419" s="147" t="str">
        <f t="shared" si="12"/>
        <v>0</v>
      </c>
      <c r="J419" s="148" t="b">
        <f t="shared" si="13"/>
        <v>0</v>
      </c>
      <c r="K419" s="149">
        <f>'Jrnl Rev'!$G424</f>
        <v>0</v>
      </c>
      <c r="L419" s="150"/>
      <c r="M419" s="151"/>
      <c r="N419" s="152">
        <f>'Jrnl Rev'!$H214</f>
        <v>0</v>
      </c>
    </row>
    <row r="420" spans="2:14" s="1" customFormat="1" ht="30" hidden="1" customHeight="1" x14ac:dyDescent="0.15">
      <c r="B420" s="146">
        <f>IF(AND('Jrnl Rev'!G425&lt;&gt;"",'Jrnl Rev'!C425&lt;&gt;""),1,0)</f>
        <v>0</v>
      </c>
      <c r="C420" s="146">
        <f>'Jrnl Rev'!$C425</f>
        <v>0</v>
      </c>
      <c r="D420" s="147">
        <f>'Jrnl Rev'!$D425</f>
        <v>0</v>
      </c>
      <c r="E420" s="1510">
        <f>'Jrnl Rev'!$F425</f>
        <v>0</v>
      </c>
      <c r="F420" s="1510"/>
      <c r="G420" s="951" t="str">
        <f>IF('Jrnl Rev'!$E425="","",'Jrnl Rev'!$E425)</f>
        <v/>
      </c>
      <c r="H420" s="147">
        <f>'Jrnl Rev'!H425</f>
        <v>0</v>
      </c>
      <c r="I420" s="147" t="str">
        <f t="shared" si="12"/>
        <v>0</v>
      </c>
      <c r="J420" s="148" t="b">
        <f t="shared" si="13"/>
        <v>0</v>
      </c>
      <c r="K420" s="149">
        <f>'Jrnl Rev'!$G425</f>
        <v>0</v>
      </c>
      <c r="L420" s="150"/>
      <c r="M420" s="151"/>
      <c r="N420" s="152">
        <f>'Jrnl Rev'!$H215</f>
        <v>0</v>
      </c>
    </row>
    <row r="421" spans="2:14" s="1" customFormat="1" ht="30" hidden="1" customHeight="1" x14ac:dyDescent="0.15">
      <c r="B421" s="146">
        <f>IF(AND('Jrnl Rev'!G426&lt;&gt;"",'Jrnl Rev'!C426&lt;&gt;""),1,0)</f>
        <v>0</v>
      </c>
      <c r="C421" s="146">
        <f>'Jrnl Rev'!$C426</f>
        <v>0</v>
      </c>
      <c r="D421" s="147">
        <f>'Jrnl Rev'!$D426</f>
        <v>0</v>
      </c>
      <c r="E421" s="1510">
        <f>'Jrnl Rev'!$F426</f>
        <v>0</v>
      </c>
      <c r="F421" s="1510"/>
      <c r="G421" s="951" t="str">
        <f>IF('Jrnl Rev'!$E426="","",'Jrnl Rev'!$E426)</f>
        <v/>
      </c>
      <c r="H421" s="147">
        <f>'Jrnl Rev'!H426</f>
        <v>0</v>
      </c>
      <c r="I421" s="147" t="str">
        <f t="shared" si="12"/>
        <v>0</v>
      </c>
      <c r="J421" s="148" t="b">
        <f t="shared" si="13"/>
        <v>0</v>
      </c>
      <c r="K421" s="149">
        <f>'Jrnl Rev'!$G426</f>
        <v>0</v>
      </c>
      <c r="L421" s="150"/>
      <c r="M421" s="151"/>
      <c r="N421" s="152">
        <f>'Jrnl Rev'!$H216</f>
        <v>0</v>
      </c>
    </row>
    <row r="422" spans="2:14" s="1" customFormat="1" ht="30" hidden="1" customHeight="1" x14ac:dyDescent="0.15">
      <c r="B422" s="146">
        <f>IF(AND('Jrnl Rev'!G427&lt;&gt;"",'Jrnl Rev'!C427&lt;&gt;""),1,0)</f>
        <v>0</v>
      </c>
      <c r="C422" s="146">
        <f>'Jrnl Rev'!$C427</f>
        <v>0</v>
      </c>
      <c r="D422" s="147">
        <f>'Jrnl Rev'!$D427</f>
        <v>0</v>
      </c>
      <c r="E422" s="1510">
        <f>'Jrnl Rev'!$F427</f>
        <v>0</v>
      </c>
      <c r="F422" s="1510"/>
      <c r="G422" s="951" t="str">
        <f>IF('Jrnl Rev'!$E427="","",'Jrnl Rev'!$E427)</f>
        <v/>
      </c>
      <c r="H422" s="147">
        <f>'Jrnl Rev'!H427</f>
        <v>0</v>
      </c>
      <c r="I422" s="147" t="str">
        <f t="shared" si="12"/>
        <v>0</v>
      </c>
      <c r="J422" s="148" t="b">
        <f t="shared" si="13"/>
        <v>0</v>
      </c>
      <c r="K422" s="149">
        <f>'Jrnl Rev'!$G427</f>
        <v>0</v>
      </c>
      <c r="L422" s="150"/>
      <c r="M422" s="151"/>
      <c r="N422" s="152">
        <f>'Jrnl Rev'!$H217</f>
        <v>0</v>
      </c>
    </row>
    <row r="423" spans="2:14" s="1" customFormat="1" ht="30" hidden="1" customHeight="1" x14ac:dyDescent="0.15">
      <c r="B423" s="146">
        <f>IF(AND('Jrnl Rev'!G428&lt;&gt;"",'Jrnl Rev'!C428&lt;&gt;""),1,0)</f>
        <v>0</v>
      </c>
      <c r="C423" s="146">
        <f>'Jrnl Rev'!$C428</f>
        <v>0</v>
      </c>
      <c r="D423" s="147">
        <f>'Jrnl Rev'!$D428</f>
        <v>0</v>
      </c>
      <c r="E423" s="1510">
        <f>'Jrnl Rev'!$F428</f>
        <v>0</v>
      </c>
      <c r="F423" s="1510"/>
      <c r="G423" s="951" t="str">
        <f>IF('Jrnl Rev'!$E428="","",'Jrnl Rev'!$E428)</f>
        <v/>
      </c>
      <c r="H423" s="147">
        <f>'Jrnl Rev'!H428</f>
        <v>0</v>
      </c>
      <c r="I423" s="147" t="str">
        <f t="shared" si="12"/>
        <v>0</v>
      </c>
      <c r="J423" s="148" t="b">
        <f t="shared" si="13"/>
        <v>0</v>
      </c>
      <c r="K423" s="149">
        <f>'Jrnl Rev'!$G428</f>
        <v>0</v>
      </c>
      <c r="L423" s="150"/>
      <c r="M423" s="151"/>
      <c r="N423" s="152">
        <f>'Jrnl Rev'!$H218</f>
        <v>0</v>
      </c>
    </row>
    <row r="424" spans="2:14" s="1" customFormat="1" ht="30" hidden="1" customHeight="1" x14ac:dyDescent="0.15">
      <c r="B424" s="146">
        <f>IF(AND('Jrnl Rev'!G429&lt;&gt;"",'Jrnl Rev'!C429&lt;&gt;""),1,0)</f>
        <v>0</v>
      </c>
      <c r="C424" s="146">
        <f>'Jrnl Rev'!$C429</f>
        <v>0</v>
      </c>
      <c r="D424" s="147">
        <f>'Jrnl Rev'!$D429</f>
        <v>0</v>
      </c>
      <c r="E424" s="1510">
        <f>'Jrnl Rev'!$F429</f>
        <v>0</v>
      </c>
      <c r="F424" s="1510"/>
      <c r="G424" s="951" t="str">
        <f>IF('Jrnl Rev'!$E429="","",'Jrnl Rev'!$E429)</f>
        <v/>
      </c>
      <c r="H424" s="147">
        <f>'Jrnl Rev'!H429</f>
        <v>0</v>
      </c>
      <c r="I424" s="147" t="str">
        <f t="shared" si="12"/>
        <v>0</v>
      </c>
      <c r="J424" s="148" t="b">
        <f t="shared" si="13"/>
        <v>0</v>
      </c>
      <c r="K424" s="149">
        <f>'Jrnl Rev'!$G429</f>
        <v>0</v>
      </c>
      <c r="L424" s="150"/>
      <c r="M424" s="151"/>
      <c r="N424" s="152">
        <f>'Jrnl Rev'!$H219</f>
        <v>0</v>
      </c>
    </row>
    <row r="425" spans="2:14" s="1" customFormat="1" ht="30" hidden="1" customHeight="1" x14ac:dyDescent="0.15">
      <c r="B425" s="146">
        <f>IF(AND('Jrnl Rev'!G430&lt;&gt;"",'Jrnl Rev'!C430&lt;&gt;""),1,0)</f>
        <v>0</v>
      </c>
      <c r="C425" s="146">
        <f>'Jrnl Rev'!$C430</f>
        <v>0</v>
      </c>
      <c r="D425" s="147">
        <f>'Jrnl Rev'!$D430</f>
        <v>0</v>
      </c>
      <c r="E425" s="1510">
        <f>'Jrnl Rev'!$F430</f>
        <v>0</v>
      </c>
      <c r="F425" s="1510"/>
      <c r="G425" s="951" t="str">
        <f>IF('Jrnl Rev'!$E430="","",'Jrnl Rev'!$E430)</f>
        <v/>
      </c>
      <c r="H425" s="147">
        <f>'Jrnl Rev'!H430</f>
        <v>0</v>
      </c>
      <c r="I425" s="147" t="str">
        <f t="shared" si="12"/>
        <v>0</v>
      </c>
      <c r="J425" s="148" t="b">
        <f t="shared" si="13"/>
        <v>0</v>
      </c>
      <c r="K425" s="149">
        <f>'Jrnl Rev'!$G430</f>
        <v>0</v>
      </c>
      <c r="L425" s="150"/>
      <c r="M425" s="151"/>
      <c r="N425" s="152">
        <f>'Jrnl Rev'!$H220</f>
        <v>0</v>
      </c>
    </row>
    <row r="426" spans="2:14" s="1" customFormat="1" ht="30" hidden="1" customHeight="1" x14ac:dyDescent="0.15">
      <c r="B426" s="146">
        <f>IF(AND('Jrnl Rev'!G431&lt;&gt;"",'Jrnl Rev'!C431&lt;&gt;""),1,0)</f>
        <v>0</v>
      </c>
      <c r="C426" s="146">
        <f>'Jrnl Rev'!$C431</f>
        <v>0</v>
      </c>
      <c r="D426" s="147">
        <f>'Jrnl Rev'!$D431</f>
        <v>0</v>
      </c>
      <c r="E426" s="1510">
        <f>'Jrnl Rev'!$F431</f>
        <v>0</v>
      </c>
      <c r="F426" s="1510"/>
      <c r="G426" s="951" t="str">
        <f>IF('Jrnl Rev'!$E431="","",'Jrnl Rev'!$E431)</f>
        <v/>
      </c>
      <c r="H426" s="147">
        <f>'Jrnl Rev'!H431</f>
        <v>0</v>
      </c>
      <c r="I426" s="147" t="str">
        <f t="shared" si="12"/>
        <v>0</v>
      </c>
      <c r="J426" s="148" t="b">
        <f t="shared" si="13"/>
        <v>0</v>
      </c>
      <c r="K426" s="149">
        <f>'Jrnl Rev'!$G431</f>
        <v>0</v>
      </c>
      <c r="L426" s="150"/>
      <c r="M426" s="151"/>
      <c r="N426" s="152">
        <f>'Jrnl Rev'!$H221</f>
        <v>0</v>
      </c>
    </row>
    <row r="427" spans="2:14" s="1" customFormat="1" ht="30" hidden="1" customHeight="1" x14ac:dyDescent="0.15">
      <c r="B427" s="146">
        <f>IF(AND('Jrnl Rev'!G432&lt;&gt;"",'Jrnl Rev'!C432&lt;&gt;""),1,0)</f>
        <v>0</v>
      </c>
      <c r="C427" s="146">
        <f>'Jrnl Rev'!$C432</f>
        <v>0</v>
      </c>
      <c r="D427" s="147">
        <f>'Jrnl Rev'!$D432</f>
        <v>0</v>
      </c>
      <c r="E427" s="1510">
        <f>'Jrnl Rev'!$F432</f>
        <v>0</v>
      </c>
      <c r="F427" s="1510"/>
      <c r="G427" s="951" t="str">
        <f>IF('Jrnl Rev'!$E432="","",'Jrnl Rev'!$E432)</f>
        <v/>
      </c>
      <c r="H427" s="147">
        <f>'Jrnl Rev'!H432</f>
        <v>0</v>
      </c>
      <c r="I427" s="147" t="str">
        <f t="shared" si="12"/>
        <v>0</v>
      </c>
      <c r="J427" s="148" t="b">
        <f t="shared" si="13"/>
        <v>0</v>
      </c>
      <c r="K427" s="149">
        <f>'Jrnl Rev'!$G432</f>
        <v>0</v>
      </c>
      <c r="L427" s="150"/>
      <c r="M427" s="151"/>
      <c r="N427" s="152">
        <f>'Jrnl Rev'!$H222</f>
        <v>0</v>
      </c>
    </row>
    <row r="428" spans="2:14" s="1" customFormat="1" ht="30" hidden="1" customHeight="1" x14ac:dyDescent="0.15">
      <c r="B428" s="146">
        <f>IF(AND('Jrnl Rev'!G433&lt;&gt;"",'Jrnl Rev'!C433&lt;&gt;""),1,0)</f>
        <v>0</v>
      </c>
      <c r="C428" s="146">
        <f>'Jrnl Rev'!$C433</f>
        <v>0</v>
      </c>
      <c r="D428" s="147">
        <f>'Jrnl Rev'!$D433</f>
        <v>0</v>
      </c>
      <c r="E428" s="1510">
        <f>'Jrnl Rev'!$F433</f>
        <v>0</v>
      </c>
      <c r="F428" s="1510"/>
      <c r="G428" s="951" t="str">
        <f>IF('Jrnl Rev'!$E433="","",'Jrnl Rev'!$E433)</f>
        <v/>
      </c>
      <c r="H428" s="147">
        <f>'Jrnl Rev'!H433</f>
        <v>0</v>
      </c>
      <c r="I428" s="147" t="str">
        <f t="shared" si="12"/>
        <v>0</v>
      </c>
      <c r="J428" s="148" t="b">
        <f t="shared" si="13"/>
        <v>0</v>
      </c>
      <c r="K428" s="149">
        <f>'Jrnl Rev'!$G433</f>
        <v>0</v>
      </c>
      <c r="L428" s="150"/>
      <c r="M428" s="151"/>
      <c r="N428" s="152">
        <f>'Jrnl Rev'!$H223</f>
        <v>0</v>
      </c>
    </row>
    <row r="429" spans="2:14" s="1" customFormat="1" ht="30" hidden="1" customHeight="1" x14ac:dyDescent="0.15">
      <c r="B429" s="146">
        <f>IF(AND('Jrnl Rev'!G434&lt;&gt;"",'Jrnl Rev'!C434&lt;&gt;""),1,0)</f>
        <v>0</v>
      </c>
      <c r="C429" s="146">
        <f>'Jrnl Rev'!$C434</f>
        <v>0</v>
      </c>
      <c r="D429" s="147">
        <f>'Jrnl Rev'!$D434</f>
        <v>0</v>
      </c>
      <c r="E429" s="1510">
        <f>'Jrnl Rev'!$F434</f>
        <v>0</v>
      </c>
      <c r="F429" s="1510"/>
      <c r="G429" s="951" t="str">
        <f>IF('Jrnl Rev'!$E434="","",'Jrnl Rev'!$E434)</f>
        <v/>
      </c>
      <c r="H429" s="147">
        <f>'Jrnl Rev'!H434</f>
        <v>0</v>
      </c>
      <c r="I429" s="147" t="str">
        <f t="shared" si="12"/>
        <v>0</v>
      </c>
      <c r="J429" s="148" t="b">
        <f t="shared" si="13"/>
        <v>0</v>
      </c>
      <c r="K429" s="149">
        <f>'Jrnl Rev'!$G434</f>
        <v>0</v>
      </c>
      <c r="L429" s="150"/>
      <c r="M429" s="151"/>
      <c r="N429" s="152">
        <f>'Jrnl Rev'!$H224</f>
        <v>0</v>
      </c>
    </row>
    <row r="430" spans="2:14" s="1" customFormat="1" ht="30" hidden="1" customHeight="1" x14ac:dyDescent="0.15">
      <c r="B430" s="146">
        <f>IF(AND('Jrnl Rev'!G435&lt;&gt;"",'Jrnl Rev'!C435&lt;&gt;""),1,0)</f>
        <v>0</v>
      </c>
      <c r="C430" s="146">
        <f>'Jrnl Rev'!$C435</f>
        <v>0</v>
      </c>
      <c r="D430" s="147">
        <f>'Jrnl Rev'!$D435</f>
        <v>0</v>
      </c>
      <c r="E430" s="1510">
        <f>'Jrnl Rev'!$F435</f>
        <v>0</v>
      </c>
      <c r="F430" s="1510"/>
      <c r="G430" s="951" t="str">
        <f>IF('Jrnl Rev'!$E435="","",'Jrnl Rev'!$E435)</f>
        <v/>
      </c>
      <c r="H430" s="147">
        <f>'Jrnl Rev'!H435</f>
        <v>0</v>
      </c>
      <c r="I430" s="147" t="str">
        <f t="shared" si="12"/>
        <v>0</v>
      </c>
      <c r="J430" s="148" t="b">
        <f t="shared" si="13"/>
        <v>0</v>
      </c>
      <c r="K430" s="149">
        <f>'Jrnl Rev'!$G435</f>
        <v>0</v>
      </c>
      <c r="L430" s="150"/>
      <c r="M430" s="151"/>
      <c r="N430" s="152">
        <f>'Jrnl Rev'!$H225</f>
        <v>0</v>
      </c>
    </row>
    <row r="431" spans="2:14" s="1" customFormat="1" ht="30" hidden="1" customHeight="1" x14ac:dyDescent="0.15">
      <c r="B431" s="146">
        <f>IF(AND('Jrnl Rev'!G436&lt;&gt;"",'Jrnl Rev'!C436&lt;&gt;""),1,0)</f>
        <v>0</v>
      </c>
      <c r="C431" s="146">
        <f>'Jrnl Rev'!$C436</f>
        <v>0</v>
      </c>
      <c r="D431" s="147">
        <f>'Jrnl Rev'!$D436</f>
        <v>0</v>
      </c>
      <c r="E431" s="1510">
        <f>'Jrnl Rev'!$F436</f>
        <v>0</v>
      </c>
      <c r="F431" s="1510"/>
      <c r="G431" s="951" t="str">
        <f>IF('Jrnl Rev'!$E436="","",'Jrnl Rev'!$E436)</f>
        <v/>
      </c>
      <c r="H431" s="147">
        <f>'Jrnl Rev'!H436</f>
        <v>0</v>
      </c>
      <c r="I431" s="147" t="str">
        <f t="shared" si="12"/>
        <v>0</v>
      </c>
      <c r="J431" s="148" t="b">
        <f t="shared" si="13"/>
        <v>0</v>
      </c>
      <c r="K431" s="149">
        <f>'Jrnl Rev'!$G436</f>
        <v>0</v>
      </c>
      <c r="L431" s="150"/>
      <c r="M431" s="151"/>
      <c r="N431" s="152">
        <f>'Jrnl Rev'!$H226</f>
        <v>0</v>
      </c>
    </row>
    <row r="432" spans="2:14" s="1" customFormat="1" ht="30" hidden="1" customHeight="1" x14ac:dyDescent="0.15">
      <c r="B432" s="146">
        <f>IF(AND('Jrnl Rev'!G437&lt;&gt;"",'Jrnl Rev'!C437&lt;&gt;""),1,0)</f>
        <v>0</v>
      </c>
      <c r="C432" s="146">
        <f>'Jrnl Rev'!$C437</f>
        <v>0</v>
      </c>
      <c r="D432" s="147">
        <f>'Jrnl Rev'!$D437</f>
        <v>0</v>
      </c>
      <c r="E432" s="1510">
        <f>'Jrnl Rev'!$F437</f>
        <v>0</v>
      </c>
      <c r="F432" s="1510"/>
      <c r="G432" s="951" t="str">
        <f>IF('Jrnl Rev'!$E437="","",'Jrnl Rev'!$E437)</f>
        <v/>
      </c>
      <c r="H432" s="147">
        <f>'Jrnl Rev'!H437</f>
        <v>0</v>
      </c>
      <c r="I432" s="147" t="str">
        <f t="shared" si="12"/>
        <v>0</v>
      </c>
      <c r="J432" s="148" t="b">
        <f t="shared" si="13"/>
        <v>0</v>
      </c>
      <c r="K432" s="149">
        <f>'Jrnl Rev'!$G437</f>
        <v>0</v>
      </c>
      <c r="L432" s="150"/>
      <c r="M432" s="151"/>
      <c r="N432" s="152">
        <f>'Jrnl Rev'!$H227</f>
        <v>0</v>
      </c>
    </row>
    <row r="433" spans="2:14" s="1" customFormat="1" ht="30" hidden="1" customHeight="1" x14ac:dyDescent="0.15">
      <c r="B433" s="146">
        <f>IF(AND('Jrnl Rev'!G438&lt;&gt;"",'Jrnl Rev'!C438&lt;&gt;""),1,0)</f>
        <v>0</v>
      </c>
      <c r="C433" s="146">
        <f>'Jrnl Rev'!$C438</f>
        <v>0</v>
      </c>
      <c r="D433" s="147">
        <f>'Jrnl Rev'!$D438</f>
        <v>0</v>
      </c>
      <c r="E433" s="1510">
        <f>'Jrnl Rev'!$F438</f>
        <v>0</v>
      </c>
      <c r="F433" s="1510"/>
      <c r="G433" s="951" t="str">
        <f>IF('Jrnl Rev'!$E438="","",'Jrnl Rev'!$E438)</f>
        <v/>
      </c>
      <c r="H433" s="147">
        <f>'Jrnl Rev'!H438</f>
        <v>0</v>
      </c>
      <c r="I433" s="147" t="str">
        <f t="shared" si="12"/>
        <v>0</v>
      </c>
      <c r="J433" s="148" t="b">
        <f t="shared" si="13"/>
        <v>0</v>
      </c>
      <c r="K433" s="149">
        <f>'Jrnl Rev'!$G438</f>
        <v>0</v>
      </c>
      <c r="L433" s="150"/>
      <c r="M433" s="151"/>
      <c r="N433" s="152">
        <f>'Jrnl Rev'!$H228</f>
        <v>0</v>
      </c>
    </row>
    <row r="434" spans="2:14" s="1" customFormat="1" ht="30" hidden="1" customHeight="1" x14ac:dyDescent="0.15">
      <c r="B434" s="146">
        <f>IF(AND('Jrnl Rev'!G439&lt;&gt;"",'Jrnl Rev'!C439&lt;&gt;""),1,0)</f>
        <v>0</v>
      </c>
      <c r="C434" s="146">
        <f>'Jrnl Rev'!$C439</f>
        <v>0</v>
      </c>
      <c r="D434" s="147">
        <f>'Jrnl Rev'!$D439</f>
        <v>0</v>
      </c>
      <c r="E434" s="1510">
        <f>'Jrnl Rev'!$F439</f>
        <v>0</v>
      </c>
      <c r="F434" s="1510"/>
      <c r="G434" s="951" t="str">
        <f>IF('Jrnl Rev'!$E439="","",'Jrnl Rev'!$E439)</f>
        <v/>
      </c>
      <c r="H434" s="147">
        <f>'Jrnl Rev'!H439</f>
        <v>0</v>
      </c>
      <c r="I434" s="147" t="str">
        <f t="shared" si="12"/>
        <v>0</v>
      </c>
      <c r="J434" s="148" t="b">
        <f t="shared" si="13"/>
        <v>0</v>
      </c>
      <c r="K434" s="149">
        <f>'Jrnl Rev'!$G439</f>
        <v>0</v>
      </c>
      <c r="L434" s="150"/>
      <c r="M434" s="151"/>
      <c r="N434" s="152">
        <f>'Jrnl Rev'!$H229</f>
        <v>0</v>
      </c>
    </row>
    <row r="435" spans="2:14" s="1" customFormat="1" ht="30" hidden="1" customHeight="1" x14ac:dyDescent="0.15">
      <c r="B435" s="146">
        <f>IF(AND('Jrnl Rev'!G440&lt;&gt;"",'Jrnl Rev'!C440&lt;&gt;""),1,0)</f>
        <v>0</v>
      </c>
      <c r="C435" s="146">
        <f>'Jrnl Rev'!$C440</f>
        <v>0</v>
      </c>
      <c r="D435" s="147">
        <f>'Jrnl Rev'!$D440</f>
        <v>0</v>
      </c>
      <c r="E435" s="1510">
        <f>'Jrnl Rev'!$F440</f>
        <v>0</v>
      </c>
      <c r="F435" s="1510"/>
      <c r="G435" s="951" t="str">
        <f>IF('Jrnl Rev'!$E440="","",'Jrnl Rev'!$E440)</f>
        <v/>
      </c>
      <c r="H435" s="147">
        <f>'Jrnl Rev'!H440</f>
        <v>0</v>
      </c>
      <c r="I435" s="147" t="str">
        <f t="shared" si="12"/>
        <v>0</v>
      </c>
      <c r="J435" s="148" t="b">
        <f t="shared" si="13"/>
        <v>0</v>
      </c>
      <c r="K435" s="149">
        <f>'Jrnl Rev'!$G440</f>
        <v>0</v>
      </c>
      <c r="L435" s="150"/>
      <c r="M435" s="151"/>
      <c r="N435" s="152">
        <f>'Jrnl Rev'!$H230</f>
        <v>0</v>
      </c>
    </row>
    <row r="436" spans="2:14" s="1" customFormat="1" ht="30" hidden="1" customHeight="1" x14ac:dyDescent="0.15">
      <c r="B436" s="146">
        <f>IF(AND('Jrnl Rev'!G441&lt;&gt;"",'Jrnl Rev'!C441&lt;&gt;""),1,0)</f>
        <v>0</v>
      </c>
      <c r="C436" s="146">
        <f>'Jrnl Rev'!$C441</f>
        <v>0</v>
      </c>
      <c r="D436" s="147">
        <f>'Jrnl Rev'!$D441</f>
        <v>0</v>
      </c>
      <c r="E436" s="1510">
        <f>'Jrnl Rev'!$F441</f>
        <v>0</v>
      </c>
      <c r="F436" s="1510"/>
      <c r="G436" s="951" t="str">
        <f>IF('Jrnl Rev'!$E441="","",'Jrnl Rev'!$E441)</f>
        <v/>
      </c>
      <c r="H436" s="147">
        <f>'Jrnl Rev'!H441</f>
        <v>0</v>
      </c>
      <c r="I436" s="147" t="str">
        <f t="shared" si="12"/>
        <v>0</v>
      </c>
      <c r="J436" s="148" t="b">
        <f t="shared" si="13"/>
        <v>0</v>
      </c>
      <c r="K436" s="149">
        <f>'Jrnl Rev'!$G441</f>
        <v>0</v>
      </c>
      <c r="L436" s="150"/>
      <c r="M436" s="151"/>
      <c r="N436" s="152">
        <f>'Jrnl Rev'!$H231</f>
        <v>0</v>
      </c>
    </row>
    <row r="437" spans="2:14" s="1" customFormat="1" ht="30" hidden="1" customHeight="1" x14ac:dyDescent="0.15">
      <c r="B437" s="146">
        <f>IF(AND('Jrnl Rev'!G442&lt;&gt;"",'Jrnl Rev'!C442&lt;&gt;""),1,0)</f>
        <v>0</v>
      </c>
      <c r="C437" s="146">
        <f>'Jrnl Rev'!$C442</f>
        <v>0</v>
      </c>
      <c r="D437" s="147">
        <f>'Jrnl Rev'!$D442</f>
        <v>0</v>
      </c>
      <c r="E437" s="1510">
        <f>'Jrnl Rev'!$F442</f>
        <v>0</v>
      </c>
      <c r="F437" s="1510"/>
      <c r="G437" s="951" t="str">
        <f>IF('Jrnl Rev'!$E442="","",'Jrnl Rev'!$E442)</f>
        <v/>
      </c>
      <c r="H437" s="147">
        <f>'Jrnl Rev'!H442</f>
        <v>0</v>
      </c>
      <c r="I437" s="147" t="str">
        <f t="shared" si="12"/>
        <v>0</v>
      </c>
      <c r="J437" s="148" t="b">
        <f t="shared" si="13"/>
        <v>0</v>
      </c>
      <c r="K437" s="149">
        <f>'Jrnl Rev'!$G442</f>
        <v>0</v>
      </c>
      <c r="L437" s="150"/>
      <c r="M437" s="151"/>
      <c r="N437" s="152">
        <f>'Jrnl Rev'!$H232</f>
        <v>0</v>
      </c>
    </row>
    <row r="438" spans="2:14" s="1" customFormat="1" ht="30" hidden="1" customHeight="1" x14ac:dyDescent="0.15">
      <c r="B438" s="146">
        <f>IF(AND('Jrnl Rev'!G443&lt;&gt;"",'Jrnl Rev'!C443&lt;&gt;""),1,0)</f>
        <v>0</v>
      </c>
      <c r="C438" s="146">
        <f>'Jrnl Rev'!$C443</f>
        <v>0</v>
      </c>
      <c r="D438" s="147">
        <f>'Jrnl Rev'!$D443</f>
        <v>0</v>
      </c>
      <c r="E438" s="1510">
        <f>'Jrnl Rev'!$F443</f>
        <v>0</v>
      </c>
      <c r="F438" s="1510"/>
      <c r="G438" s="951" t="str">
        <f>IF('Jrnl Rev'!$E443="","",'Jrnl Rev'!$E443)</f>
        <v/>
      </c>
      <c r="H438" s="147">
        <f>'Jrnl Rev'!H443</f>
        <v>0</v>
      </c>
      <c r="I438" s="147" t="str">
        <f t="shared" si="12"/>
        <v>0</v>
      </c>
      <c r="J438" s="148" t="b">
        <f t="shared" si="13"/>
        <v>0</v>
      </c>
      <c r="K438" s="149">
        <f>'Jrnl Rev'!$G443</f>
        <v>0</v>
      </c>
      <c r="L438" s="150"/>
      <c r="M438" s="151"/>
      <c r="N438" s="152">
        <f>'Jrnl Rev'!$H233</f>
        <v>0</v>
      </c>
    </row>
    <row r="439" spans="2:14" s="1" customFormat="1" ht="30" hidden="1" customHeight="1" x14ac:dyDescent="0.15">
      <c r="B439" s="146">
        <f>IF(AND('Jrnl Rev'!G444&lt;&gt;"",'Jrnl Rev'!C444&lt;&gt;""),1,0)</f>
        <v>0</v>
      </c>
      <c r="C439" s="146">
        <f>'Jrnl Rev'!$C444</f>
        <v>0</v>
      </c>
      <c r="D439" s="147">
        <f>'Jrnl Rev'!$D444</f>
        <v>0</v>
      </c>
      <c r="E439" s="1510">
        <f>'Jrnl Rev'!$F444</f>
        <v>0</v>
      </c>
      <c r="F439" s="1510"/>
      <c r="G439" s="951" t="str">
        <f>IF('Jrnl Rev'!$E444="","",'Jrnl Rev'!$E444)</f>
        <v/>
      </c>
      <c r="H439" s="147">
        <f>'Jrnl Rev'!H444</f>
        <v>0</v>
      </c>
      <c r="I439" s="147" t="str">
        <f t="shared" si="12"/>
        <v>0</v>
      </c>
      <c r="J439" s="148" t="b">
        <f t="shared" si="13"/>
        <v>0</v>
      </c>
      <c r="K439" s="149">
        <f>'Jrnl Rev'!$G444</f>
        <v>0</v>
      </c>
      <c r="L439" s="150"/>
      <c r="M439" s="151"/>
      <c r="N439" s="152">
        <f>'Jrnl Rev'!$H234</f>
        <v>0</v>
      </c>
    </row>
    <row r="440" spans="2:14" s="1" customFormat="1" ht="30" hidden="1" customHeight="1" x14ac:dyDescent="0.15">
      <c r="B440" s="146">
        <f>IF(AND('Jrnl Rev'!G445&lt;&gt;"",'Jrnl Rev'!C445&lt;&gt;""),1,0)</f>
        <v>0</v>
      </c>
      <c r="C440" s="146">
        <f>'Jrnl Rev'!$C445</f>
        <v>0</v>
      </c>
      <c r="D440" s="147">
        <f>'Jrnl Rev'!$D445</f>
        <v>0</v>
      </c>
      <c r="E440" s="1510">
        <f>'Jrnl Rev'!$F445</f>
        <v>0</v>
      </c>
      <c r="F440" s="1510"/>
      <c r="G440" s="951" t="str">
        <f>IF('Jrnl Rev'!$E445="","",'Jrnl Rev'!$E445)</f>
        <v/>
      </c>
      <c r="H440" s="147">
        <f>'Jrnl Rev'!H445</f>
        <v>0</v>
      </c>
      <c r="I440" s="147" t="str">
        <f t="shared" si="12"/>
        <v>0</v>
      </c>
      <c r="J440" s="148" t="b">
        <f t="shared" si="13"/>
        <v>0</v>
      </c>
      <c r="K440" s="149">
        <f>'Jrnl Rev'!$G445</f>
        <v>0</v>
      </c>
      <c r="L440" s="150"/>
      <c r="M440" s="151"/>
      <c r="N440" s="152">
        <f>'Jrnl Rev'!$H235</f>
        <v>0</v>
      </c>
    </row>
    <row r="441" spans="2:14" s="1" customFormat="1" ht="30" hidden="1" customHeight="1" x14ac:dyDescent="0.15">
      <c r="B441" s="146">
        <f>IF(AND('Jrnl Rev'!G446&lt;&gt;"",'Jrnl Rev'!C446&lt;&gt;""),1,0)</f>
        <v>0</v>
      </c>
      <c r="C441" s="146">
        <f>'Jrnl Rev'!$C446</f>
        <v>0</v>
      </c>
      <c r="D441" s="147">
        <f>'Jrnl Rev'!$D446</f>
        <v>0</v>
      </c>
      <c r="E441" s="1510">
        <f>'Jrnl Rev'!$F446</f>
        <v>0</v>
      </c>
      <c r="F441" s="1510"/>
      <c r="G441" s="951" t="str">
        <f>IF('Jrnl Rev'!$E446="","",'Jrnl Rev'!$E446)</f>
        <v/>
      </c>
      <c r="H441" s="147">
        <f>'Jrnl Rev'!H446</f>
        <v>0</v>
      </c>
      <c r="I441" s="147" t="str">
        <f t="shared" si="12"/>
        <v>0</v>
      </c>
      <c r="J441" s="148" t="b">
        <f t="shared" si="13"/>
        <v>0</v>
      </c>
      <c r="K441" s="149">
        <f>'Jrnl Rev'!$G446</f>
        <v>0</v>
      </c>
      <c r="L441" s="150"/>
      <c r="M441" s="151"/>
      <c r="N441" s="152">
        <f>'Jrnl Rev'!$H236</f>
        <v>0</v>
      </c>
    </row>
    <row r="442" spans="2:14" s="1" customFormat="1" ht="30" hidden="1" customHeight="1" x14ac:dyDescent="0.15">
      <c r="B442" s="146">
        <f>IF(AND('Jrnl Rev'!G447&lt;&gt;"",'Jrnl Rev'!C447&lt;&gt;""),1,0)</f>
        <v>0</v>
      </c>
      <c r="C442" s="146">
        <f>'Jrnl Rev'!$C447</f>
        <v>0</v>
      </c>
      <c r="D442" s="147">
        <f>'Jrnl Rev'!$D447</f>
        <v>0</v>
      </c>
      <c r="E442" s="1510">
        <f>'Jrnl Rev'!$F447</f>
        <v>0</v>
      </c>
      <c r="F442" s="1510"/>
      <c r="G442" s="951" t="str">
        <f>IF('Jrnl Rev'!$E447="","",'Jrnl Rev'!$E447)</f>
        <v/>
      </c>
      <c r="H442" s="147">
        <f>'Jrnl Rev'!H447</f>
        <v>0</v>
      </c>
      <c r="I442" s="147" t="str">
        <f t="shared" si="12"/>
        <v>0</v>
      </c>
      <c r="J442" s="148" t="b">
        <f t="shared" si="13"/>
        <v>0</v>
      </c>
      <c r="K442" s="149">
        <f>'Jrnl Rev'!$G447</f>
        <v>0</v>
      </c>
      <c r="L442" s="150"/>
      <c r="M442" s="151"/>
      <c r="N442" s="152">
        <f>'Jrnl Rev'!$H237</f>
        <v>0</v>
      </c>
    </row>
    <row r="443" spans="2:14" s="1" customFormat="1" ht="30" hidden="1" customHeight="1" x14ac:dyDescent="0.15">
      <c r="B443" s="146">
        <f>IF(AND('Jrnl Rev'!G448&lt;&gt;"",'Jrnl Rev'!C448&lt;&gt;""),1,0)</f>
        <v>0</v>
      </c>
      <c r="C443" s="146">
        <f>'Jrnl Rev'!$C448</f>
        <v>0</v>
      </c>
      <c r="D443" s="147">
        <f>'Jrnl Rev'!$D448</f>
        <v>0</v>
      </c>
      <c r="E443" s="1510">
        <f>'Jrnl Rev'!$F448</f>
        <v>0</v>
      </c>
      <c r="F443" s="1510"/>
      <c r="G443" s="951" t="str">
        <f>IF('Jrnl Rev'!$E448="","",'Jrnl Rev'!$E448)</f>
        <v/>
      </c>
      <c r="H443" s="147">
        <f>'Jrnl Rev'!H448</f>
        <v>0</v>
      </c>
      <c r="I443" s="147" t="str">
        <f t="shared" si="12"/>
        <v>0</v>
      </c>
      <c r="J443" s="148" t="b">
        <f t="shared" si="13"/>
        <v>0</v>
      </c>
      <c r="K443" s="149">
        <f>'Jrnl Rev'!$G448</f>
        <v>0</v>
      </c>
      <c r="L443" s="150"/>
      <c r="M443" s="151"/>
      <c r="N443" s="152">
        <f>'Jrnl Rev'!$H238</f>
        <v>0</v>
      </c>
    </row>
    <row r="444" spans="2:14" s="1" customFormat="1" ht="30" hidden="1" customHeight="1" x14ac:dyDescent="0.15">
      <c r="B444" s="146">
        <f>IF(AND('Jrnl Rev'!G449&lt;&gt;"",'Jrnl Rev'!C449&lt;&gt;""),1,0)</f>
        <v>0</v>
      </c>
      <c r="C444" s="146">
        <f>'Jrnl Rev'!$C449</f>
        <v>0</v>
      </c>
      <c r="D444" s="147">
        <f>'Jrnl Rev'!$D449</f>
        <v>0</v>
      </c>
      <c r="E444" s="1510">
        <f>'Jrnl Rev'!$F449</f>
        <v>0</v>
      </c>
      <c r="F444" s="1510"/>
      <c r="G444" s="951" t="str">
        <f>IF('Jrnl Rev'!$E449="","",'Jrnl Rev'!$E449)</f>
        <v/>
      </c>
      <c r="H444" s="147">
        <f>'Jrnl Rev'!H449</f>
        <v>0</v>
      </c>
      <c r="I444" s="147" t="str">
        <f t="shared" si="12"/>
        <v>0</v>
      </c>
      <c r="J444" s="148" t="b">
        <f t="shared" si="13"/>
        <v>0</v>
      </c>
      <c r="K444" s="149">
        <f>'Jrnl Rev'!$G449</f>
        <v>0</v>
      </c>
      <c r="L444" s="150"/>
      <c r="M444" s="151"/>
      <c r="N444" s="152">
        <f>'Jrnl Rev'!$H239</f>
        <v>0</v>
      </c>
    </row>
    <row r="445" spans="2:14" s="1" customFormat="1" ht="30" hidden="1" customHeight="1" x14ac:dyDescent="0.15">
      <c r="B445" s="146">
        <f>IF(AND('Jrnl Rev'!G450&lt;&gt;"",'Jrnl Rev'!C450&lt;&gt;""),1,0)</f>
        <v>0</v>
      </c>
      <c r="C445" s="146">
        <f>'Jrnl Rev'!$C450</f>
        <v>0</v>
      </c>
      <c r="D445" s="147">
        <f>'Jrnl Rev'!$D450</f>
        <v>0</v>
      </c>
      <c r="E445" s="1510">
        <f>'Jrnl Rev'!$F450</f>
        <v>0</v>
      </c>
      <c r="F445" s="1510"/>
      <c r="G445" s="951" t="str">
        <f>IF('Jrnl Rev'!$E450="","",'Jrnl Rev'!$E450)</f>
        <v/>
      </c>
      <c r="H445" s="147">
        <f>'Jrnl Rev'!H450</f>
        <v>0</v>
      </c>
      <c r="I445" s="147" t="str">
        <f t="shared" si="12"/>
        <v>0</v>
      </c>
      <c r="J445" s="148" t="b">
        <f t="shared" si="13"/>
        <v>0</v>
      </c>
      <c r="K445" s="149">
        <f>'Jrnl Rev'!$G450</f>
        <v>0</v>
      </c>
      <c r="L445" s="150"/>
      <c r="M445" s="151"/>
      <c r="N445" s="152">
        <f>'Jrnl Rev'!$H240</f>
        <v>0</v>
      </c>
    </row>
    <row r="446" spans="2:14" s="1" customFormat="1" ht="30" hidden="1" customHeight="1" x14ac:dyDescent="0.15">
      <c r="B446" s="146">
        <f>IF(AND('Jrnl Rev'!G451&lt;&gt;"",'Jrnl Rev'!C451&lt;&gt;""),1,0)</f>
        <v>0</v>
      </c>
      <c r="C446" s="146">
        <f>'Jrnl Rev'!$C451</f>
        <v>0</v>
      </c>
      <c r="D446" s="147">
        <f>'Jrnl Rev'!$D451</f>
        <v>0</v>
      </c>
      <c r="E446" s="1510">
        <f>'Jrnl Rev'!$F451</f>
        <v>0</v>
      </c>
      <c r="F446" s="1510"/>
      <c r="G446" s="951" t="str">
        <f>IF('Jrnl Rev'!$E451="","",'Jrnl Rev'!$E451)</f>
        <v/>
      </c>
      <c r="H446" s="147">
        <f>'Jrnl Rev'!H451</f>
        <v>0</v>
      </c>
      <c r="I446" s="147" t="str">
        <f t="shared" si="12"/>
        <v>0</v>
      </c>
      <c r="J446" s="148" t="b">
        <f t="shared" si="13"/>
        <v>0</v>
      </c>
      <c r="K446" s="149">
        <f>'Jrnl Rev'!$G451</f>
        <v>0</v>
      </c>
      <c r="L446" s="150"/>
      <c r="M446" s="151"/>
      <c r="N446" s="152">
        <f>'Jrnl Rev'!$H241</f>
        <v>0</v>
      </c>
    </row>
    <row r="447" spans="2:14" s="1" customFormat="1" ht="30" hidden="1" customHeight="1" x14ac:dyDescent="0.15">
      <c r="B447" s="146">
        <f>IF(AND('Jrnl Rev'!G452&lt;&gt;"",'Jrnl Rev'!C452&lt;&gt;""),1,0)</f>
        <v>0</v>
      </c>
      <c r="C447" s="146">
        <f>'Jrnl Rev'!$C452</f>
        <v>0</v>
      </c>
      <c r="D447" s="147">
        <f>'Jrnl Rev'!$D452</f>
        <v>0</v>
      </c>
      <c r="E447" s="1510">
        <f>'Jrnl Rev'!$F452</f>
        <v>0</v>
      </c>
      <c r="F447" s="1510"/>
      <c r="G447" s="951" t="str">
        <f>IF('Jrnl Rev'!$E452="","",'Jrnl Rev'!$E452)</f>
        <v/>
      </c>
      <c r="H447" s="147">
        <f>'Jrnl Rev'!H452</f>
        <v>0</v>
      </c>
      <c r="I447" s="147" t="str">
        <f t="shared" si="12"/>
        <v>0</v>
      </c>
      <c r="J447" s="148" t="b">
        <f t="shared" si="13"/>
        <v>0</v>
      </c>
      <c r="K447" s="149">
        <f>'Jrnl Rev'!$G452</f>
        <v>0</v>
      </c>
      <c r="L447" s="150"/>
      <c r="M447" s="151"/>
      <c r="N447" s="152">
        <f>'Jrnl Rev'!$H242</f>
        <v>0</v>
      </c>
    </row>
    <row r="448" spans="2:14" s="1" customFormat="1" ht="30" hidden="1" customHeight="1" x14ac:dyDescent="0.15">
      <c r="B448" s="146">
        <f>IF(AND('Jrnl Rev'!G453&lt;&gt;"",'Jrnl Rev'!C453&lt;&gt;""),1,0)</f>
        <v>0</v>
      </c>
      <c r="C448" s="146">
        <f>'Jrnl Rev'!$C453</f>
        <v>0</v>
      </c>
      <c r="D448" s="147">
        <f>'Jrnl Rev'!$D453</f>
        <v>0</v>
      </c>
      <c r="E448" s="1510">
        <f>'Jrnl Rev'!$F453</f>
        <v>0</v>
      </c>
      <c r="F448" s="1510"/>
      <c r="G448" s="951" t="str">
        <f>IF('Jrnl Rev'!$E453="","",'Jrnl Rev'!$E453)</f>
        <v/>
      </c>
      <c r="H448" s="147">
        <f>'Jrnl Rev'!H453</f>
        <v>0</v>
      </c>
      <c r="I448" s="147" t="str">
        <f t="shared" si="12"/>
        <v>0</v>
      </c>
      <c r="J448" s="148" t="b">
        <f t="shared" si="13"/>
        <v>0</v>
      </c>
      <c r="K448" s="149">
        <f>'Jrnl Rev'!$G453</f>
        <v>0</v>
      </c>
      <c r="L448" s="150"/>
      <c r="M448" s="151"/>
      <c r="N448" s="152">
        <f>'Jrnl Rev'!$H243</f>
        <v>0</v>
      </c>
    </row>
    <row r="449" spans="2:14" s="1" customFormat="1" ht="30" hidden="1" customHeight="1" x14ac:dyDescent="0.15">
      <c r="B449" s="146">
        <f>IF(AND('Jrnl Rev'!G454&lt;&gt;"",'Jrnl Rev'!C454&lt;&gt;""),1,0)</f>
        <v>0</v>
      </c>
      <c r="C449" s="146">
        <f>'Jrnl Rev'!$C454</f>
        <v>0</v>
      </c>
      <c r="D449" s="147">
        <f>'Jrnl Rev'!$D454</f>
        <v>0</v>
      </c>
      <c r="E449" s="1510">
        <f>'Jrnl Rev'!$F454</f>
        <v>0</v>
      </c>
      <c r="F449" s="1510"/>
      <c r="G449" s="951" t="str">
        <f>IF('Jrnl Rev'!$E454="","",'Jrnl Rev'!$E454)</f>
        <v/>
      </c>
      <c r="H449" s="147">
        <f>'Jrnl Rev'!H454</f>
        <v>0</v>
      </c>
      <c r="I449" s="147" t="str">
        <f t="shared" si="12"/>
        <v>0</v>
      </c>
      <c r="J449" s="148" t="b">
        <f t="shared" si="13"/>
        <v>0</v>
      </c>
      <c r="K449" s="149">
        <f>'Jrnl Rev'!$G454</f>
        <v>0</v>
      </c>
      <c r="L449" s="150"/>
      <c r="M449" s="151"/>
      <c r="N449" s="152">
        <f>'Jrnl Rev'!$H244</f>
        <v>0</v>
      </c>
    </row>
    <row r="450" spans="2:14" s="1" customFormat="1" ht="30" hidden="1" customHeight="1" x14ac:dyDescent="0.15">
      <c r="B450" s="146">
        <f>IF(AND('Jrnl Rev'!G455&lt;&gt;"",'Jrnl Rev'!C455&lt;&gt;""),1,0)</f>
        <v>0</v>
      </c>
      <c r="C450" s="146">
        <f>'Jrnl Rev'!$C455</f>
        <v>0</v>
      </c>
      <c r="D450" s="147">
        <f>'Jrnl Rev'!$D455</f>
        <v>0</v>
      </c>
      <c r="E450" s="1510">
        <f>'Jrnl Rev'!$F455</f>
        <v>0</v>
      </c>
      <c r="F450" s="1510"/>
      <c r="G450" s="951" t="str">
        <f>IF('Jrnl Rev'!$E455="","",'Jrnl Rev'!$E455)</f>
        <v/>
      </c>
      <c r="H450" s="147">
        <f>'Jrnl Rev'!H455</f>
        <v>0</v>
      </c>
      <c r="I450" s="147" t="str">
        <f t="shared" si="12"/>
        <v>0</v>
      </c>
      <c r="J450" s="148" t="b">
        <f t="shared" si="13"/>
        <v>0</v>
      </c>
      <c r="K450" s="149">
        <f>'Jrnl Rev'!$G455</f>
        <v>0</v>
      </c>
      <c r="L450" s="150"/>
      <c r="M450" s="151"/>
      <c r="N450" s="152">
        <f>'Jrnl Rev'!$H245</f>
        <v>0</v>
      </c>
    </row>
    <row r="451" spans="2:14" s="1" customFormat="1" ht="30" hidden="1" customHeight="1" x14ac:dyDescent="0.15">
      <c r="B451" s="146">
        <f>IF(AND('Jrnl Rev'!G456&lt;&gt;"",'Jrnl Rev'!C456&lt;&gt;""),1,0)</f>
        <v>0</v>
      </c>
      <c r="C451" s="146">
        <f>'Jrnl Rev'!$C456</f>
        <v>0</v>
      </c>
      <c r="D451" s="147">
        <f>'Jrnl Rev'!$D456</f>
        <v>0</v>
      </c>
      <c r="E451" s="1510">
        <f>'Jrnl Rev'!$F456</f>
        <v>0</v>
      </c>
      <c r="F451" s="1510"/>
      <c r="G451" s="951" t="str">
        <f>IF('Jrnl Rev'!$E456="","",'Jrnl Rev'!$E456)</f>
        <v/>
      </c>
      <c r="H451" s="147">
        <f>'Jrnl Rev'!H456</f>
        <v>0</v>
      </c>
      <c r="I451" s="147" t="str">
        <f t="shared" si="12"/>
        <v>0</v>
      </c>
      <c r="J451" s="148" t="b">
        <f t="shared" si="13"/>
        <v>0</v>
      </c>
      <c r="K451" s="149">
        <f>'Jrnl Rev'!$G456</f>
        <v>0</v>
      </c>
      <c r="L451" s="150"/>
      <c r="M451" s="151"/>
      <c r="N451" s="152">
        <f>'Jrnl Rev'!$H246</f>
        <v>0</v>
      </c>
    </row>
    <row r="452" spans="2:14" s="1" customFormat="1" ht="30" hidden="1" customHeight="1" x14ac:dyDescent="0.15">
      <c r="B452" s="146">
        <f>IF(AND('Jrnl Rev'!G457&lt;&gt;"",'Jrnl Rev'!C457&lt;&gt;""),1,0)</f>
        <v>0</v>
      </c>
      <c r="C452" s="146">
        <f>'Jrnl Rev'!$C457</f>
        <v>0</v>
      </c>
      <c r="D452" s="147">
        <f>'Jrnl Rev'!$D457</f>
        <v>0</v>
      </c>
      <c r="E452" s="1510">
        <f>'Jrnl Rev'!$F457</f>
        <v>0</v>
      </c>
      <c r="F452" s="1510"/>
      <c r="G452" s="951" t="str">
        <f>IF('Jrnl Rev'!$E457="","",'Jrnl Rev'!$E457)</f>
        <v/>
      </c>
      <c r="H452" s="147">
        <f>'Jrnl Rev'!H457</f>
        <v>0</v>
      </c>
      <c r="I452" s="147" t="str">
        <f t="shared" si="12"/>
        <v>0</v>
      </c>
      <c r="J452" s="148" t="b">
        <f t="shared" si="13"/>
        <v>0</v>
      </c>
      <c r="K452" s="149">
        <f>'Jrnl Rev'!$G457</f>
        <v>0</v>
      </c>
      <c r="L452" s="150"/>
      <c r="M452" s="151"/>
      <c r="N452" s="152">
        <f>'Jrnl Rev'!$H247</f>
        <v>0</v>
      </c>
    </row>
    <row r="453" spans="2:14" s="1" customFormat="1" ht="30" hidden="1" customHeight="1" x14ac:dyDescent="0.15">
      <c r="B453" s="146">
        <f>IF(AND('Jrnl Rev'!G458&lt;&gt;"",'Jrnl Rev'!C458&lt;&gt;""),1,0)</f>
        <v>0</v>
      </c>
      <c r="C453" s="146">
        <f>'Jrnl Rev'!$C458</f>
        <v>0</v>
      </c>
      <c r="D453" s="147">
        <f>'Jrnl Rev'!$D458</f>
        <v>0</v>
      </c>
      <c r="E453" s="1510">
        <f>'Jrnl Rev'!$F458</f>
        <v>0</v>
      </c>
      <c r="F453" s="1510"/>
      <c r="G453" s="951" t="str">
        <f>IF('Jrnl Rev'!$E458="","",'Jrnl Rev'!$E458)</f>
        <v/>
      </c>
      <c r="H453" s="147">
        <f>'Jrnl Rev'!H458</f>
        <v>0</v>
      </c>
      <c r="I453" s="147" t="str">
        <f t="shared" si="12"/>
        <v>0</v>
      </c>
      <c r="J453" s="148" t="b">
        <f t="shared" si="13"/>
        <v>0</v>
      </c>
      <c r="K453" s="149">
        <f>'Jrnl Rev'!$G458</f>
        <v>0</v>
      </c>
      <c r="L453" s="150"/>
      <c r="M453" s="151"/>
      <c r="N453" s="152">
        <f>'Jrnl Rev'!$H248</f>
        <v>0</v>
      </c>
    </row>
    <row r="454" spans="2:14" s="1" customFormat="1" ht="30" hidden="1" customHeight="1" x14ac:dyDescent="0.15">
      <c r="B454" s="146">
        <f>IF(AND('Jrnl Rev'!G459&lt;&gt;"",'Jrnl Rev'!C459&lt;&gt;""),1,0)</f>
        <v>0</v>
      </c>
      <c r="C454" s="146">
        <f>'Jrnl Rev'!$C459</f>
        <v>0</v>
      </c>
      <c r="D454" s="147">
        <f>'Jrnl Rev'!$D459</f>
        <v>0</v>
      </c>
      <c r="E454" s="1510">
        <f>'Jrnl Rev'!$F459</f>
        <v>0</v>
      </c>
      <c r="F454" s="1510"/>
      <c r="G454" s="951" t="str">
        <f>IF('Jrnl Rev'!$E459="","",'Jrnl Rev'!$E459)</f>
        <v/>
      </c>
      <c r="H454" s="147">
        <f>'Jrnl Rev'!H459</f>
        <v>0</v>
      </c>
      <c r="I454" s="147" t="str">
        <f t="shared" si="12"/>
        <v>0</v>
      </c>
      <c r="J454" s="148" t="b">
        <f t="shared" si="13"/>
        <v>0</v>
      </c>
      <c r="K454" s="149">
        <f>'Jrnl Rev'!$G459</f>
        <v>0</v>
      </c>
      <c r="L454" s="150"/>
      <c r="M454" s="151"/>
      <c r="N454" s="152">
        <f>'Jrnl Rev'!$H249</f>
        <v>0</v>
      </c>
    </row>
    <row r="455" spans="2:14" s="1" customFormat="1" ht="30" hidden="1" customHeight="1" x14ac:dyDescent="0.15">
      <c r="B455" s="146">
        <f>IF(AND('Jrnl Rev'!G460&lt;&gt;"",'Jrnl Rev'!C460&lt;&gt;""),1,0)</f>
        <v>0</v>
      </c>
      <c r="C455" s="146">
        <f>'Jrnl Rev'!$C460</f>
        <v>0</v>
      </c>
      <c r="D455" s="147">
        <f>'Jrnl Rev'!$D460</f>
        <v>0</v>
      </c>
      <c r="E455" s="1510">
        <f>'Jrnl Rev'!$F460</f>
        <v>0</v>
      </c>
      <c r="F455" s="1510"/>
      <c r="G455" s="951" t="str">
        <f>IF('Jrnl Rev'!$E460="","",'Jrnl Rev'!$E460)</f>
        <v/>
      </c>
      <c r="H455" s="147">
        <f>'Jrnl Rev'!H460</f>
        <v>0</v>
      </c>
      <c r="I455" s="147" t="str">
        <f t="shared" si="12"/>
        <v>0</v>
      </c>
      <c r="J455" s="148" t="b">
        <f t="shared" si="13"/>
        <v>0</v>
      </c>
      <c r="K455" s="149">
        <f>'Jrnl Rev'!$G460</f>
        <v>0</v>
      </c>
      <c r="L455" s="150"/>
      <c r="M455" s="151"/>
      <c r="N455" s="152">
        <f>'Jrnl Rev'!$H250</f>
        <v>0</v>
      </c>
    </row>
    <row r="456" spans="2:14" s="1" customFormat="1" ht="30" hidden="1" customHeight="1" x14ac:dyDescent="0.15">
      <c r="B456" s="146">
        <f>IF(AND('Jrnl Rev'!G461&lt;&gt;"",'Jrnl Rev'!C461&lt;&gt;""),1,0)</f>
        <v>0</v>
      </c>
      <c r="C456" s="146">
        <f>'Jrnl Rev'!$C461</f>
        <v>0</v>
      </c>
      <c r="D456" s="147">
        <f>'Jrnl Rev'!$D461</f>
        <v>0</v>
      </c>
      <c r="E456" s="1510">
        <f>'Jrnl Rev'!$F461</f>
        <v>0</v>
      </c>
      <c r="F456" s="1510"/>
      <c r="G456" s="951" t="str">
        <f>IF('Jrnl Rev'!$E461="","",'Jrnl Rev'!$E461)</f>
        <v/>
      </c>
      <c r="H456" s="147">
        <f>'Jrnl Rev'!H461</f>
        <v>0</v>
      </c>
      <c r="I456" s="147" t="str">
        <f t="shared" si="12"/>
        <v>0</v>
      </c>
      <c r="J456" s="148" t="b">
        <f t="shared" si="13"/>
        <v>0</v>
      </c>
      <c r="K456" s="149">
        <f>'Jrnl Rev'!$G461</f>
        <v>0</v>
      </c>
      <c r="L456" s="150"/>
      <c r="M456" s="151"/>
      <c r="N456" s="152">
        <f>'Jrnl Rev'!$H251</f>
        <v>0</v>
      </c>
    </row>
    <row r="457" spans="2:14" s="1" customFormat="1" ht="30" hidden="1" customHeight="1" x14ac:dyDescent="0.15">
      <c r="B457" s="146">
        <f>IF(AND('Jrnl Rev'!G462&lt;&gt;"",'Jrnl Rev'!C462&lt;&gt;""),1,0)</f>
        <v>0</v>
      </c>
      <c r="C457" s="146">
        <f>'Jrnl Rev'!$C462</f>
        <v>0</v>
      </c>
      <c r="D457" s="147">
        <f>'Jrnl Rev'!$D462</f>
        <v>0</v>
      </c>
      <c r="E457" s="1510">
        <f>'Jrnl Rev'!$F462</f>
        <v>0</v>
      </c>
      <c r="F457" s="1510"/>
      <c r="G457" s="951" t="str">
        <f>IF('Jrnl Rev'!$E462="","",'Jrnl Rev'!$E462)</f>
        <v/>
      </c>
      <c r="H457" s="147">
        <f>'Jrnl Rev'!H462</f>
        <v>0</v>
      </c>
      <c r="I457" s="147" t="str">
        <f t="shared" si="12"/>
        <v>0</v>
      </c>
      <c r="J457" s="148" t="b">
        <f t="shared" si="13"/>
        <v>0</v>
      </c>
      <c r="K457" s="149">
        <f>'Jrnl Rev'!$G462</f>
        <v>0</v>
      </c>
      <c r="L457" s="150"/>
      <c r="M457" s="151"/>
      <c r="N457" s="152">
        <f>'Jrnl Rev'!$H252</f>
        <v>0</v>
      </c>
    </row>
    <row r="458" spans="2:14" s="1" customFormat="1" ht="30" hidden="1" customHeight="1" x14ac:dyDescent="0.15">
      <c r="B458" s="146">
        <f>IF(AND('Jrnl Rev'!G463&lt;&gt;"",'Jrnl Rev'!C463&lt;&gt;""),1,0)</f>
        <v>0</v>
      </c>
      <c r="C458" s="146">
        <f>'Jrnl Rev'!$C463</f>
        <v>0</v>
      </c>
      <c r="D458" s="147">
        <f>'Jrnl Rev'!$D463</f>
        <v>0</v>
      </c>
      <c r="E458" s="1510">
        <f>'Jrnl Rev'!$F463</f>
        <v>0</v>
      </c>
      <c r="F458" s="1510"/>
      <c r="G458" s="951" t="str">
        <f>IF('Jrnl Rev'!$E463="","",'Jrnl Rev'!$E463)</f>
        <v/>
      </c>
      <c r="H458" s="147">
        <f>'Jrnl Rev'!H463</f>
        <v>0</v>
      </c>
      <c r="I458" s="147" t="str">
        <f t="shared" si="12"/>
        <v>0</v>
      </c>
      <c r="J458" s="148" t="b">
        <f t="shared" si="13"/>
        <v>0</v>
      </c>
      <c r="K458" s="149">
        <f>'Jrnl Rev'!$G463</f>
        <v>0</v>
      </c>
      <c r="L458" s="150"/>
      <c r="M458" s="151"/>
      <c r="N458" s="152">
        <f>'Jrnl Rev'!$H253</f>
        <v>0</v>
      </c>
    </row>
    <row r="459" spans="2:14" s="1" customFormat="1" ht="30" hidden="1" customHeight="1" x14ac:dyDescent="0.15">
      <c r="B459" s="146">
        <f>IF(AND('Jrnl Rev'!G464&lt;&gt;"",'Jrnl Rev'!C464&lt;&gt;""),1,0)</f>
        <v>0</v>
      </c>
      <c r="C459" s="146">
        <f>'Jrnl Rev'!$C464</f>
        <v>0</v>
      </c>
      <c r="D459" s="147">
        <f>'Jrnl Rev'!$D464</f>
        <v>0</v>
      </c>
      <c r="E459" s="1510">
        <f>'Jrnl Rev'!$F464</f>
        <v>0</v>
      </c>
      <c r="F459" s="1510"/>
      <c r="G459" s="951" t="str">
        <f>IF('Jrnl Rev'!$E464="","",'Jrnl Rev'!$E464)</f>
        <v/>
      </c>
      <c r="H459" s="147">
        <f>'Jrnl Rev'!H464</f>
        <v>0</v>
      </c>
      <c r="I459" s="147" t="str">
        <f t="shared" ref="I459:I510" si="14">LEFT(H459,4)</f>
        <v>0</v>
      </c>
      <c r="J459" s="148" t="b">
        <f t="shared" si="13"/>
        <v>0</v>
      </c>
      <c r="K459" s="149">
        <f>'Jrnl Rev'!$G464</f>
        <v>0</v>
      </c>
      <c r="L459" s="150"/>
      <c r="M459" s="151"/>
      <c r="N459" s="152">
        <f>'Jrnl Rev'!$H254</f>
        <v>0</v>
      </c>
    </row>
    <row r="460" spans="2:14" s="1" customFormat="1" ht="30" hidden="1" customHeight="1" x14ac:dyDescent="0.15">
      <c r="B460" s="146">
        <f>IF(AND('Jrnl Rev'!G465&lt;&gt;"",'Jrnl Rev'!C465&lt;&gt;""),1,0)</f>
        <v>0</v>
      </c>
      <c r="C460" s="146">
        <f>'Jrnl Rev'!$C465</f>
        <v>0</v>
      </c>
      <c r="D460" s="147">
        <f>'Jrnl Rev'!$D465</f>
        <v>0</v>
      </c>
      <c r="E460" s="1510">
        <f>'Jrnl Rev'!$F465</f>
        <v>0</v>
      </c>
      <c r="F460" s="1510"/>
      <c r="G460" s="951" t="str">
        <f>IF('Jrnl Rev'!$E465="","",'Jrnl Rev'!$E465)</f>
        <v/>
      </c>
      <c r="H460" s="147">
        <f>'Jrnl Rev'!H465</f>
        <v>0</v>
      </c>
      <c r="I460" s="147" t="str">
        <f t="shared" si="14"/>
        <v>0</v>
      </c>
      <c r="J460" s="148" t="b">
        <f t="shared" ref="J460:J510" si="15">IF(I460="1020",IF(G460&gt;=$E$3,IF(G460&lt;=$G$3,K460,0)))</f>
        <v>0</v>
      </c>
      <c r="K460" s="149">
        <f>'Jrnl Rev'!$G465</f>
        <v>0</v>
      </c>
      <c r="L460" s="150"/>
      <c r="M460" s="151"/>
      <c r="N460" s="152">
        <f>'Jrnl Rev'!$H255</f>
        <v>0</v>
      </c>
    </row>
    <row r="461" spans="2:14" s="1" customFormat="1" ht="30" hidden="1" customHeight="1" x14ac:dyDescent="0.15">
      <c r="B461" s="146">
        <f>IF(AND('Jrnl Rev'!G466&lt;&gt;"",'Jrnl Rev'!C466&lt;&gt;""),1,0)</f>
        <v>0</v>
      </c>
      <c r="C461" s="146">
        <f>'Jrnl Rev'!$C466</f>
        <v>0</v>
      </c>
      <c r="D461" s="147">
        <f>'Jrnl Rev'!$D466</f>
        <v>0</v>
      </c>
      <c r="E461" s="1510">
        <f>'Jrnl Rev'!$F466</f>
        <v>0</v>
      </c>
      <c r="F461" s="1510"/>
      <c r="G461" s="951" t="str">
        <f>IF('Jrnl Rev'!$E466="","",'Jrnl Rev'!$E466)</f>
        <v/>
      </c>
      <c r="H461" s="147">
        <f>'Jrnl Rev'!H466</f>
        <v>0</v>
      </c>
      <c r="I461" s="147" t="str">
        <f t="shared" si="14"/>
        <v>0</v>
      </c>
      <c r="J461" s="148" t="b">
        <f t="shared" si="15"/>
        <v>0</v>
      </c>
      <c r="K461" s="149">
        <f>'Jrnl Rev'!$G466</f>
        <v>0</v>
      </c>
      <c r="L461" s="150"/>
      <c r="M461" s="151"/>
      <c r="N461" s="152">
        <f>'Jrnl Rev'!$H256</f>
        <v>0</v>
      </c>
    </row>
    <row r="462" spans="2:14" s="1" customFormat="1" ht="30" hidden="1" customHeight="1" x14ac:dyDescent="0.15">
      <c r="B462" s="146">
        <f>IF(AND('Jrnl Rev'!G467&lt;&gt;"",'Jrnl Rev'!C467&lt;&gt;""),1,0)</f>
        <v>0</v>
      </c>
      <c r="C462" s="146">
        <f>'Jrnl Rev'!$C467</f>
        <v>0</v>
      </c>
      <c r="D462" s="147">
        <f>'Jrnl Rev'!$D467</f>
        <v>0</v>
      </c>
      <c r="E462" s="1510">
        <f>'Jrnl Rev'!$F467</f>
        <v>0</v>
      </c>
      <c r="F462" s="1510"/>
      <c r="G462" s="951" t="str">
        <f>IF('Jrnl Rev'!$E467="","",'Jrnl Rev'!$E467)</f>
        <v/>
      </c>
      <c r="H462" s="147">
        <f>'Jrnl Rev'!H467</f>
        <v>0</v>
      </c>
      <c r="I462" s="147" t="str">
        <f t="shared" si="14"/>
        <v>0</v>
      </c>
      <c r="J462" s="148" t="b">
        <f t="shared" si="15"/>
        <v>0</v>
      </c>
      <c r="K462" s="149">
        <f>'Jrnl Rev'!$G467</f>
        <v>0</v>
      </c>
      <c r="L462" s="150"/>
      <c r="M462" s="151"/>
      <c r="N462" s="152">
        <f>'Jrnl Rev'!$H257</f>
        <v>0</v>
      </c>
    </row>
    <row r="463" spans="2:14" s="1" customFormat="1" ht="30" hidden="1" customHeight="1" x14ac:dyDescent="0.15">
      <c r="B463" s="146">
        <f>IF(AND('Jrnl Rev'!G468&lt;&gt;"",'Jrnl Rev'!C468&lt;&gt;""),1,0)</f>
        <v>0</v>
      </c>
      <c r="C463" s="146">
        <f>'Jrnl Rev'!$C468</f>
        <v>0</v>
      </c>
      <c r="D463" s="147">
        <f>'Jrnl Rev'!$D468</f>
        <v>0</v>
      </c>
      <c r="E463" s="1510">
        <f>'Jrnl Rev'!$F468</f>
        <v>0</v>
      </c>
      <c r="F463" s="1510"/>
      <c r="G463" s="951" t="str">
        <f>IF('Jrnl Rev'!$E468="","",'Jrnl Rev'!$E468)</f>
        <v/>
      </c>
      <c r="H463" s="147">
        <f>'Jrnl Rev'!H468</f>
        <v>0</v>
      </c>
      <c r="I463" s="147" t="str">
        <f t="shared" si="14"/>
        <v>0</v>
      </c>
      <c r="J463" s="148" t="b">
        <f t="shared" si="15"/>
        <v>0</v>
      </c>
      <c r="K463" s="149">
        <f>'Jrnl Rev'!$G468</f>
        <v>0</v>
      </c>
      <c r="L463" s="150"/>
      <c r="M463" s="151"/>
      <c r="N463" s="152">
        <f>'Jrnl Rev'!$H258</f>
        <v>0</v>
      </c>
    </row>
    <row r="464" spans="2:14" s="1" customFormat="1" ht="30" hidden="1" customHeight="1" x14ac:dyDescent="0.15">
      <c r="B464" s="146">
        <f>IF(AND('Jrnl Rev'!G469&lt;&gt;"",'Jrnl Rev'!C469&lt;&gt;""),1,0)</f>
        <v>0</v>
      </c>
      <c r="C464" s="146">
        <f>'Jrnl Rev'!$C469</f>
        <v>0</v>
      </c>
      <c r="D464" s="147">
        <f>'Jrnl Rev'!$D469</f>
        <v>0</v>
      </c>
      <c r="E464" s="1510">
        <f>'Jrnl Rev'!$F469</f>
        <v>0</v>
      </c>
      <c r="F464" s="1510"/>
      <c r="G464" s="951" t="str">
        <f>IF('Jrnl Rev'!$E469="","",'Jrnl Rev'!$E469)</f>
        <v/>
      </c>
      <c r="H464" s="147">
        <f>'Jrnl Rev'!H469</f>
        <v>0</v>
      </c>
      <c r="I464" s="147" t="str">
        <f t="shared" si="14"/>
        <v>0</v>
      </c>
      <c r="J464" s="148" t="b">
        <f t="shared" si="15"/>
        <v>0</v>
      </c>
      <c r="K464" s="149">
        <f>'Jrnl Rev'!$G469</f>
        <v>0</v>
      </c>
      <c r="L464" s="150"/>
      <c r="M464" s="151"/>
      <c r="N464" s="152">
        <f>'Jrnl Rev'!$H259</f>
        <v>0</v>
      </c>
    </row>
    <row r="465" spans="2:14" s="1" customFormat="1" ht="30" hidden="1" customHeight="1" x14ac:dyDescent="0.15">
      <c r="B465" s="146">
        <f>IF(AND('Jrnl Rev'!G470&lt;&gt;"",'Jrnl Rev'!C470&lt;&gt;""),1,0)</f>
        <v>0</v>
      </c>
      <c r="C465" s="146">
        <f>'Jrnl Rev'!$C470</f>
        <v>0</v>
      </c>
      <c r="D465" s="147">
        <f>'Jrnl Rev'!$D470</f>
        <v>0</v>
      </c>
      <c r="E465" s="1510">
        <f>'Jrnl Rev'!$F470</f>
        <v>0</v>
      </c>
      <c r="F465" s="1510"/>
      <c r="G465" s="951" t="str">
        <f>IF('Jrnl Rev'!$E470="","",'Jrnl Rev'!$E470)</f>
        <v/>
      </c>
      <c r="H465" s="147">
        <f>'Jrnl Rev'!H470</f>
        <v>0</v>
      </c>
      <c r="I465" s="147" t="str">
        <f t="shared" si="14"/>
        <v>0</v>
      </c>
      <c r="J465" s="148" t="b">
        <f t="shared" si="15"/>
        <v>0</v>
      </c>
      <c r="K465" s="149">
        <f>'Jrnl Rev'!$G470</f>
        <v>0</v>
      </c>
      <c r="L465" s="150"/>
      <c r="M465" s="151"/>
      <c r="N465" s="152">
        <f>'Jrnl Rev'!$H260</f>
        <v>0</v>
      </c>
    </row>
    <row r="466" spans="2:14" s="1" customFormat="1" ht="30" hidden="1" customHeight="1" x14ac:dyDescent="0.15">
      <c r="B466" s="146">
        <f>IF(AND('Jrnl Rev'!G471&lt;&gt;"",'Jrnl Rev'!C471&lt;&gt;""),1,0)</f>
        <v>0</v>
      </c>
      <c r="C466" s="146">
        <f>'Jrnl Rev'!$C471</f>
        <v>0</v>
      </c>
      <c r="D466" s="147">
        <f>'Jrnl Rev'!$D471</f>
        <v>0</v>
      </c>
      <c r="E466" s="1510">
        <f>'Jrnl Rev'!$F471</f>
        <v>0</v>
      </c>
      <c r="F466" s="1510"/>
      <c r="G466" s="951" t="str">
        <f>IF('Jrnl Rev'!$E471="","",'Jrnl Rev'!$E471)</f>
        <v/>
      </c>
      <c r="H466" s="147">
        <f>'Jrnl Rev'!H471</f>
        <v>0</v>
      </c>
      <c r="I466" s="147" t="str">
        <f t="shared" si="14"/>
        <v>0</v>
      </c>
      <c r="J466" s="148" t="b">
        <f t="shared" si="15"/>
        <v>0</v>
      </c>
      <c r="K466" s="149">
        <f>'Jrnl Rev'!$G471</f>
        <v>0</v>
      </c>
      <c r="L466" s="150"/>
      <c r="M466" s="151"/>
      <c r="N466" s="152">
        <f>'Jrnl Rev'!$H261</f>
        <v>0</v>
      </c>
    </row>
    <row r="467" spans="2:14" s="1" customFormat="1" ht="30" hidden="1" customHeight="1" x14ac:dyDescent="0.15">
      <c r="B467" s="146">
        <f>IF(AND('Jrnl Rev'!G472&lt;&gt;"",'Jrnl Rev'!C472&lt;&gt;""),1,0)</f>
        <v>0</v>
      </c>
      <c r="C467" s="146">
        <f>'Jrnl Rev'!$C472</f>
        <v>0</v>
      </c>
      <c r="D467" s="147">
        <f>'Jrnl Rev'!$D472</f>
        <v>0</v>
      </c>
      <c r="E467" s="1510">
        <f>'Jrnl Rev'!$F472</f>
        <v>0</v>
      </c>
      <c r="F467" s="1510"/>
      <c r="G467" s="951" t="str">
        <f>IF('Jrnl Rev'!$E472="","",'Jrnl Rev'!$E472)</f>
        <v/>
      </c>
      <c r="H467" s="147">
        <f>'Jrnl Rev'!H472</f>
        <v>0</v>
      </c>
      <c r="I467" s="147" t="str">
        <f t="shared" si="14"/>
        <v>0</v>
      </c>
      <c r="J467" s="148" t="b">
        <f t="shared" si="15"/>
        <v>0</v>
      </c>
      <c r="K467" s="149">
        <f>'Jrnl Rev'!$G472</f>
        <v>0</v>
      </c>
      <c r="L467" s="150"/>
      <c r="M467" s="151"/>
      <c r="N467" s="152">
        <f>'Jrnl Rev'!$H262</f>
        <v>0</v>
      </c>
    </row>
    <row r="468" spans="2:14" s="1" customFormat="1" ht="30" hidden="1" customHeight="1" x14ac:dyDescent="0.15">
      <c r="B468" s="146">
        <f>IF(AND('Jrnl Rev'!G473&lt;&gt;"",'Jrnl Rev'!C473&lt;&gt;""),1,0)</f>
        <v>0</v>
      </c>
      <c r="C468" s="146">
        <f>'Jrnl Rev'!$C473</f>
        <v>0</v>
      </c>
      <c r="D468" s="147">
        <f>'Jrnl Rev'!$D473</f>
        <v>0</v>
      </c>
      <c r="E468" s="1510">
        <f>'Jrnl Rev'!$F473</f>
        <v>0</v>
      </c>
      <c r="F468" s="1510"/>
      <c r="G468" s="951" t="str">
        <f>IF('Jrnl Rev'!$E473="","",'Jrnl Rev'!$E473)</f>
        <v/>
      </c>
      <c r="H468" s="147">
        <f>'Jrnl Rev'!H473</f>
        <v>0</v>
      </c>
      <c r="I468" s="147" t="str">
        <f t="shared" si="14"/>
        <v>0</v>
      </c>
      <c r="J468" s="148" t="b">
        <f t="shared" si="15"/>
        <v>0</v>
      </c>
      <c r="K468" s="149">
        <f>'Jrnl Rev'!$G473</f>
        <v>0</v>
      </c>
      <c r="L468" s="150"/>
      <c r="M468" s="151"/>
      <c r="N468" s="152">
        <f>'Jrnl Rev'!$H263</f>
        <v>0</v>
      </c>
    </row>
    <row r="469" spans="2:14" s="1" customFormat="1" ht="30" hidden="1" customHeight="1" x14ac:dyDescent="0.15">
      <c r="B469" s="146">
        <f>IF(AND('Jrnl Rev'!G474&lt;&gt;"",'Jrnl Rev'!C474&lt;&gt;""),1,0)</f>
        <v>0</v>
      </c>
      <c r="C469" s="146">
        <f>'Jrnl Rev'!$C474</f>
        <v>0</v>
      </c>
      <c r="D469" s="147">
        <f>'Jrnl Rev'!$D474</f>
        <v>0</v>
      </c>
      <c r="E469" s="1510">
        <f>'Jrnl Rev'!$F474</f>
        <v>0</v>
      </c>
      <c r="F469" s="1510"/>
      <c r="G469" s="951" t="str">
        <f>IF('Jrnl Rev'!$E474="","",'Jrnl Rev'!$E474)</f>
        <v/>
      </c>
      <c r="H469" s="147">
        <f>'Jrnl Rev'!H474</f>
        <v>0</v>
      </c>
      <c r="I469" s="147" t="str">
        <f t="shared" si="14"/>
        <v>0</v>
      </c>
      <c r="J469" s="148" t="b">
        <f t="shared" si="15"/>
        <v>0</v>
      </c>
      <c r="K469" s="149">
        <f>'Jrnl Rev'!$G474</f>
        <v>0</v>
      </c>
      <c r="L469" s="150"/>
      <c r="M469" s="151"/>
      <c r="N469" s="152">
        <f>'Jrnl Rev'!$H264</f>
        <v>0</v>
      </c>
    </row>
    <row r="470" spans="2:14" s="1" customFormat="1" ht="30" hidden="1" customHeight="1" x14ac:dyDescent="0.15">
      <c r="B470" s="146">
        <f>IF(AND('Jrnl Rev'!G475&lt;&gt;"",'Jrnl Rev'!C475&lt;&gt;""),1,0)</f>
        <v>0</v>
      </c>
      <c r="C470" s="146">
        <f>'Jrnl Rev'!$C475</f>
        <v>0</v>
      </c>
      <c r="D470" s="147">
        <f>'Jrnl Rev'!$D475</f>
        <v>0</v>
      </c>
      <c r="E470" s="1510">
        <f>'Jrnl Rev'!$F475</f>
        <v>0</v>
      </c>
      <c r="F470" s="1510"/>
      <c r="G470" s="951" t="str">
        <f>IF('Jrnl Rev'!$E475="","",'Jrnl Rev'!$E475)</f>
        <v/>
      </c>
      <c r="H470" s="147">
        <f>'Jrnl Rev'!H475</f>
        <v>0</v>
      </c>
      <c r="I470" s="147" t="str">
        <f t="shared" si="14"/>
        <v>0</v>
      </c>
      <c r="J470" s="148" t="b">
        <f t="shared" si="15"/>
        <v>0</v>
      </c>
      <c r="K470" s="149">
        <f>'Jrnl Rev'!$G475</f>
        <v>0</v>
      </c>
      <c r="L470" s="150"/>
      <c r="M470" s="151"/>
      <c r="N470" s="152">
        <f>'Jrnl Rev'!$H265</f>
        <v>0</v>
      </c>
    </row>
    <row r="471" spans="2:14" s="1" customFormat="1" ht="30" hidden="1" customHeight="1" x14ac:dyDescent="0.15">
      <c r="B471" s="146">
        <f>IF(AND('Jrnl Rev'!G476&lt;&gt;"",'Jrnl Rev'!C476&lt;&gt;""),1,0)</f>
        <v>0</v>
      </c>
      <c r="C471" s="146">
        <f>'Jrnl Rev'!$C476</f>
        <v>0</v>
      </c>
      <c r="D471" s="147">
        <f>'Jrnl Rev'!$D476</f>
        <v>0</v>
      </c>
      <c r="E471" s="1510">
        <f>'Jrnl Rev'!$F476</f>
        <v>0</v>
      </c>
      <c r="F471" s="1510"/>
      <c r="G471" s="951" t="str">
        <f>IF('Jrnl Rev'!$E476="","",'Jrnl Rev'!$E476)</f>
        <v/>
      </c>
      <c r="H471" s="147">
        <f>'Jrnl Rev'!H476</f>
        <v>0</v>
      </c>
      <c r="I471" s="147" t="str">
        <f t="shared" si="14"/>
        <v>0</v>
      </c>
      <c r="J471" s="148" t="b">
        <f t="shared" si="15"/>
        <v>0</v>
      </c>
      <c r="K471" s="149">
        <f>'Jrnl Rev'!$G476</f>
        <v>0</v>
      </c>
      <c r="L471" s="150"/>
      <c r="M471" s="151"/>
      <c r="N471" s="152">
        <f>'Jrnl Rev'!$H266</f>
        <v>0</v>
      </c>
    </row>
    <row r="472" spans="2:14" s="1" customFormat="1" ht="30" hidden="1" customHeight="1" x14ac:dyDescent="0.15">
      <c r="B472" s="146">
        <f>IF(AND('Jrnl Rev'!G477&lt;&gt;"",'Jrnl Rev'!C477&lt;&gt;""),1,0)</f>
        <v>0</v>
      </c>
      <c r="C472" s="146">
        <f>'Jrnl Rev'!$C477</f>
        <v>0</v>
      </c>
      <c r="D472" s="147">
        <f>'Jrnl Rev'!$D477</f>
        <v>0</v>
      </c>
      <c r="E472" s="1510">
        <f>'Jrnl Rev'!$F477</f>
        <v>0</v>
      </c>
      <c r="F472" s="1510"/>
      <c r="G472" s="951" t="str">
        <f>IF('Jrnl Rev'!$E477="","",'Jrnl Rev'!$E477)</f>
        <v/>
      </c>
      <c r="H472" s="147">
        <f>'Jrnl Rev'!H477</f>
        <v>0</v>
      </c>
      <c r="I472" s="147" t="str">
        <f t="shared" si="14"/>
        <v>0</v>
      </c>
      <c r="J472" s="148" t="b">
        <f t="shared" si="15"/>
        <v>0</v>
      </c>
      <c r="K472" s="149">
        <f>'Jrnl Rev'!$G477</f>
        <v>0</v>
      </c>
      <c r="L472" s="150"/>
      <c r="M472" s="151"/>
      <c r="N472" s="152">
        <f>'Jrnl Rev'!$H267</f>
        <v>0</v>
      </c>
    </row>
    <row r="473" spans="2:14" s="1" customFormat="1" ht="30" hidden="1" customHeight="1" x14ac:dyDescent="0.15">
      <c r="B473" s="146">
        <f>IF(AND('Jrnl Rev'!G478&lt;&gt;"",'Jrnl Rev'!C478&lt;&gt;""),1,0)</f>
        <v>0</v>
      </c>
      <c r="C473" s="146">
        <f>'Jrnl Rev'!$C478</f>
        <v>0</v>
      </c>
      <c r="D473" s="147">
        <f>'Jrnl Rev'!$D478</f>
        <v>0</v>
      </c>
      <c r="E473" s="1510">
        <f>'Jrnl Rev'!$F478</f>
        <v>0</v>
      </c>
      <c r="F473" s="1510"/>
      <c r="G473" s="951" t="str">
        <f>IF('Jrnl Rev'!$E478="","",'Jrnl Rev'!$E478)</f>
        <v/>
      </c>
      <c r="H473" s="147">
        <f>'Jrnl Rev'!H478</f>
        <v>0</v>
      </c>
      <c r="I473" s="147" t="str">
        <f t="shared" si="14"/>
        <v>0</v>
      </c>
      <c r="J473" s="148" t="b">
        <f t="shared" si="15"/>
        <v>0</v>
      </c>
      <c r="K473" s="149">
        <f>'Jrnl Rev'!$G478</f>
        <v>0</v>
      </c>
      <c r="L473" s="150"/>
      <c r="M473" s="151"/>
      <c r="N473" s="152">
        <f>'Jrnl Rev'!$H268</f>
        <v>0</v>
      </c>
    </row>
    <row r="474" spans="2:14" s="1" customFormat="1" ht="30" hidden="1" customHeight="1" x14ac:dyDescent="0.15">
      <c r="B474" s="146">
        <f>IF(AND('Jrnl Rev'!G479&lt;&gt;"",'Jrnl Rev'!C479&lt;&gt;""),1,0)</f>
        <v>0</v>
      </c>
      <c r="C474" s="146">
        <f>'Jrnl Rev'!$C479</f>
        <v>0</v>
      </c>
      <c r="D474" s="147">
        <f>'Jrnl Rev'!$D479</f>
        <v>0</v>
      </c>
      <c r="E474" s="1510">
        <f>'Jrnl Rev'!$F479</f>
        <v>0</v>
      </c>
      <c r="F474" s="1510"/>
      <c r="G474" s="951" t="str">
        <f>IF('Jrnl Rev'!$E479="","",'Jrnl Rev'!$E479)</f>
        <v/>
      </c>
      <c r="H474" s="147">
        <f>'Jrnl Rev'!H479</f>
        <v>0</v>
      </c>
      <c r="I474" s="147" t="str">
        <f t="shared" si="14"/>
        <v>0</v>
      </c>
      <c r="J474" s="148" t="b">
        <f t="shared" si="15"/>
        <v>0</v>
      </c>
      <c r="K474" s="149">
        <f>'Jrnl Rev'!$G479</f>
        <v>0</v>
      </c>
      <c r="L474" s="150"/>
      <c r="M474" s="151"/>
      <c r="N474" s="152">
        <f>'Jrnl Rev'!$H269</f>
        <v>0</v>
      </c>
    </row>
    <row r="475" spans="2:14" s="1" customFormat="1" ht="30" hidden="1" customHeight="1" x14ac:dyDescent="0.15">
      <c r="B475" s="146">
        <f>IF(AND('Jrnl Rev'!G480&lt;&gt;"",'Jrnl Rev'!C480&lt;&gt;""),1,0)</f>
        <v>0</v>
      </c>
      <c r="C475" s="146">
        <f>'Jrnl Rev'!$C480</f>
        <v>0</v>
      </c>
      <c r="D475" s="147">
        <f>'Jrnl Rev'!$D480</f>
        <v>0</v>
      </c>
      <c r="E475" s="1510">
        <f>'Jrnl Rev'!$F480</f>
        <v>0</v>
      </c>
      <c r="F475" s="1510"/>
      <c r="G475" s="951" t="str">
        <f>IF('Jrnl Rev'!$E480="","",'Jrnl Rev'!$E480)</f>
        <v/>
      </c>
      <c r="H475" s="147">
        <f>'Jrnl Rev'!H480</f>
        <v>0</v>
      </c>
      <c r="I475" s="147" t="str">
        <f t="shared" si="14"/>
        <v>0</v>
      </c>
      <c r="J475" s="148" t="b">
        <f t="shared" si="15"/>
        <v>0</v>
      </c>
      <c r="K475" s="149">
        <f>'Jrnl Rev'!$G480</f>
        <v>0</v>
      </c>
      <c r="L475" s="150"/>
      <c r="M475" s="151"/>
      <c r="N475" s="152">
        <f>'Jrnl Rev'!$H270</f>
        <v>0</v>
      </c>
    </row>
    <row r="476" spans="2:14" s="1" customFormat="1" ht="30" hidden="1" customHeight="1" x14ac:dyDescent="0.15">
      <c r="B476" s="146">
        <f>IF(AND('Jrnl Rev'!G481&lt;&gt;"",'Jrnl Rev'!C481&lt;&gt;""),1,0)</f>
        <v>0</v>
      </c>
      <c r="C476" s="146">
        <f>'Jrnl Rev'!$C481</f>
        <v>0</v>
      </c>
      <c r="D476" s="147">
        <f>'Jrnl Rev'!$D481</f>
        <v>0</v>
      </c>
      <c r="E476" s="1510">
        <f>'Jrnl Rev'!$F481</f>
        <v>0</v>
      </c>
      <c r="F476" s="1510"/>
      <c r="G476" s="951" t="str">
        <f>IF('Jrnl Rev'!$E481="","",'Jrnl Rev'!$E481)</f>
        <v/>
      </c>
      <c r="H476" s="147">
        <f>'Jrnl Rev'!H481</f>
        <v>0</v>
      </c>
      <c r="I476" s="147" t="str">
        <f t="shared" si="14"/>
        <v>0</v>
      </c>
      <c r="J476" s="148" t="b">
        <f t="shared" si="15"/>
        <v>0</v>
      </c>
      <c r="K476" s="149">
        <f>'Jrnl Rev'!$G481</f>
        <v>0</v>
      </c>
      <c r="L476" s="150"/>
      <c r="M476" s="151"/>
      <c r="N476" s="152">
        <f>'Jrnl Rev'!$H271</f>
        <v>0</v>
      </c>
    </row>
    <row r="477" spans="2:14" s="1" customFormat="1" ht="30" hidden="1" customHeight="1" x14ac:dyDescent="0.15">
      <c r="B477" s="146">
        <f>IF(AND('Jrnl Rev'!G482&lt;&gt;"",'Jrnl Rev'!C482&lt;&gt;""),1,0)</f>
        <v>0</v>
      </c>
      <c r="C477" s="146">
        <f>'Jrnl Rev'!$C482</f>
        <v>0</v>
      </c>
      <c r="D477" s="147">
        <f>'Jrnl Rev'!$D482</f>
        <v>0</v>
      </c>
      <c r="E477" s="1510">
        <f>'Jrnl Rev'!$F482</f>
        <v>0</v>
      </c>
      <c r="F477" s="1510"/>
      <c r="G477" s="951" t="str">
        <f>IF('Jrnl Rev'!$E482="","",'Jrnl Rev'!$E482)</f>
        <v/>
      </c>
      <c r="H477" s="147">
        <f>'Jrnl Rev'!H482</f>
        <v>0</v>
      </c>
      <c r="I477" s="147" t="str">
        <f t="shared" si="14"/>
        <v>0</v>
      </c>
      <c r="J477" s="148" t="b">
        <f t="shared" si="15"/>
        <v>0</v>
      </c>
      <c r="K477" s="149">
        <f>'Jrnl Rev'!$G482</f>
        <v>0</v>
      </c>
      <c r="L477" s="150"/>
      <c r="M477" s="151"/>
      <c r="N477" s="152">
        <f>'Jrnl Rev'!$H272</f>
        <v>0</v>
      </c>
    </row>
    <row r="478" spans="2:14" s="1" customFormat="1" ht="30" hidden="1" customHeight="1" x14ac:dyDescent="0.15">
      <c r="B478" s="146">
        <f>IF(AND('Jrnl Rev'!G483&lt;&gt;"",'Jrnl Rev'!C483&lt;&gt;""),1,0)</f>
        <v>0</v>
      </c>
      <c r="C478" s="146">
        <f>'Jrnl Rev'!$C483</f>
        <v>0</v>
      </c>
      <c r="D478" s="147">
        <f>'Jrnl Rev'!$D483</f>
        <v>0</v>
      </c>
      <c r="E478" s="1510">
        <f>'Jrnl Rev'!$F483</f>
        <v>0</v>
      </c>
      <c r="F478" s="1510"/>
      <c r="G478" s="951" t="str">
        <f>IF('Jrnl Rev'!$E483="","",'Jrnl Rev'!$E483)</f>
        <v/>
      </c>
      <c r="H478" s="147">
        <f>'Jrnl Rev'!H483</f>
        <v>0</v>
      </c>
      <c r="I478" s="147" t="str">
        <f t="shared" si="14"/>
        <v>0</v>
      </c>
      <c r="J478" s="148" t="b">
        <f t="shared" si="15"/>
        <v>0</v>
      </c>
      <c r="K478" s="149">
        <f>'Jrnl Rev'!$G483</f>
        <v>0</v>
      </c>
      <c r="L478" s="150"/>
      <c r="M478" s="151"/>
      <c r="N478" s="152">
        <f>'Jrnl Rev'!$H273</f>
        <v>0</v>
      </c>
    </row>
    <row r="479" spans="2:14" s="1" customFormat="1" ht="30" hidden="1" customHeight="1" x14ac:dyDescent="0.15">
      <c r="B479" s="146">
        <f>IF(AND('Jrnl Rev'!G484&lt;&gt;"",'Jrnl Rev'!C484&lt;&gt;""),1,0)</f>
        <v>0</v>
      </c>
      <c r="C479" s="146">
        <f>'Jrnl Rev'!$C484</f>
        <v>0</v>
      </c>
      <c r="D479" s="147">
        <f>'Jrnl Rev'!$D484</f>
        <v>0</v>
      </c>
      <c r="E479" s="1510">
        <f>'Jrnl Rev'!$F484</f>
        <v>0</v>
      </c>
      <c r="F479" s="1510"/>
      <c r="G479" s="951" t="str">
        <f>IF('Jrnl Rev'!$E484="","",'Jrnl Rev'!$E484)</f>
        <v/>
      </c>
      <c r="H479" s="147">
        <f>'Jrnl Rev'!H484</f>
        <v>0</v>
      </c>
      <c r="I479" s="147" t="str">
        <f t="shared" si="14"/>
        <v>0</v>
      </c>
      <c r="J479" s="148" t="b">
        <f t="shared" si="15"/>
        <v>0</v>
      </c>
      <c r="K479" s="149">
        <f>'Jrnl Rev'!$G484</f>
        <v>0</v>
      </c>
      <c r="L479" s="150"/>
      <c r="M479" s="151"/>
      <c r="N479" s="152">
        <f>'Jrnl Rev'!$H274</f>
        <v>0</v>
      </c>
    </row>
    <row r="480" spans="2:14" s="1" customFormat="1" ht="30" hidden="1" customHeight="1" x14ac:dyDescent="0.15">
      <c r="B480" s="146">
        <f>IF(AND('Jrnl Rev'!G485&lt;&gt;"",'Jrnl Rev'!C485&lt;&gt;""),1,0)</f>
        <v>0</v>
      </c>
      <c r="C480" s="146">
        <f>'Jrnl Rev'!$C485</f>
        <v>0</v>
      </c>
      <c r="D480" s="147">
        <f>'Jrnl Rev'!$D485</f>
        <v>0</v>
      </c>
      <c r="E480" s="1510">
        <f>'Jrnl Rev'!$F485</f>
        <v>0</v>
      </c>
      <c r="F480" s="1510"/>
      <c r="G480" s="951" t="str">
        <f>IF('Jrnl Rev'!$E485="","",'Jrnl Rev'!$E485)</f>
        <v/>
      </c>
      <c r="H480" s="147">
        <f>'Jrnl Rev'!H485</f>
        <v>0</v>
      </c>
      <c r="I480" s="147" t="str">
        <f t="shared" si="14"/>
        <v>0</v>
      </c>
      <c r="J480" s="148" t="b">
        <f t="shared" si="15"/>
        <v>0</v>
      </c>
      <c r="K480" s="149">
        <f>'Jrnl Rev'!$G485</f>
        <v>0</v>
      </c>
      <c r="L480" s="150"/>
      <c r="M480" s="151"/>
      <c r="N480" s="152">
        <f>'Jrnl Rev'!$H275</f>
        <v>0</v>
      </c>
    </row>
    <row r="481" spans="2:14" s="1" customFormat="1" ht="30" hidden="1" customHeight="1" x14ac:dyDescent="0.15">
      <c r="B481" s="146">
        <f>IF(AND('Jrnl Rev'!G486&lt;&gt;"",'Jrnl Rev'!C486&lt;&gt;""),1,0)</f>
        <v>0</v>
      </c>
      <c r="C481" s="146">
        <f>'Jrnl Rev'!$C486</f>
        <v>0</v>
      </c>
      <c r="D481" s="147">
        <f>'Jrnl Rev'!$D486</f>
        <v>0</v>
      </c>
      <c r="E481" s="1510">
        <f>'Jrnl Rev'!$F486</f>
        <v>0</v>
      </c>
      <c r="F481" s="1510"/>
      <c r="G481" s="951" t="str">
        <f>IF('Jrnl Rev'!$E486="","",'Jrnl Rev'!$E486)</f>
        <v/>
      </c>
      <c r="H481" s="147">
        <f>'Jrnl Rev'!H486</f>
        <v>0</v>
      </c>
      <c r="I481" s="147" t="str">
        <f t="shared" si="14"/>
        <v>0</v>
      </c>
      <c r="J481" s="148" t="b">
        <f t="shared" si="15"/>
        <v>0</v>
      </c>
      <c r="K481" s="149">
        <f>'Jrnl Rev'!$G486</f>
        <v>0</v>
      </c>
      <c r="L481" s="150"/>
      <c r="M481" s="151"/>
      <c r="N481" s="152">
        <f>'Jrnl Rev'!$H276</f>
        <v>0</v>
      </c>
    </row>
    <row r="482" spans="2:14" s="1" customFormat="1" ht="30" hidden="1" customHeight="1" x14ac:dyDescent="0.15">
      <c r="B482" s="146">
        <f>IF(AND('Jrnl Rev'!G487&lt;&gt;"",'Jrnl Rev'!C487&lt;&gt;""),1,0)</f>
        <v>0</v>
      </c>
      <c r="C482" s="146">
        <f>'Jrnl Rev'!$C487</f>
        <v>0</v>
      </c>
      <c r="D482" s="147">
        <f>'Jrnl Rev'!$D487</f>
        <v>0</v>
      </c>
      <c r="E482" s="1510">
        <f>'Jrnl Rev'!$F487</f>
        <v>0</v>
      </c>
      <c r="F482" s="1510"/>
      <c r="G482" s="951" t="str">
        <f>IF('Jrnl Rev'!$E487="","",'Jrnl Rev'!$E487)</f>
        <v/>
      </c>
      <c r="H482" s="147">
        <f>'Jrnl Rev'!H487</f>
        <v>0</v>
      </c>
      <c r="I482" s="147" t="str">
        <f t="shared" si="14"/>
        <v>0</v>
      </c>
      <c r="J482" s="148" t="b">
        <f t="shared" si="15"/>
        <v>0</v>
      </c>
      <c r="K482" s="149">
        <f>'Jrnl Rev'!$G487</f>
        <v>0</v>
      </c>
      <c r="L482" s="150"/>
      <c r="M482" s="151"/>
      <c r="N482" s="152">
        <f>'Jrnl Rev'!$H277</f>
        <v>0</v>
      </c>
    </row>
    <row r="483" spans="2:14" s="1" customFormat="1" ht="30" hidden="1" customHeight="1" x14ac:dyDescent="0.15">
      <c r="B483" s="146">
        <f>IF(AND('Jrnl Rev'!G488&lt;&gt;"",'Jrnl Rev'!C488&lt;&gt;""),1,0)</f>
        <v>0</v>
      </c>
      <c r="C483" s="146">
        <f>'Jrnl Rev'!$C488</f>
        <v>0</v>
      </c>
      <c r="D483" s="147">
        <f>'Jrnl Rev'!$D488</f>
        <v>0</v>
      </c>
      <c r="E483" s="1510">
        <f>'Jrnl Rev'!$F488</f>
        <v>0</v>
      </c>
      <c r="F483" s="1510"/>
      <c r="G483" s="951" t="str">
        <f>IF('Jrnl Rev'!$E488="","",'Jrnl Rev'!$E488)</f>
        <v/>
      </c>
      <c r="H483" s="147">
        <f>'Jrnl Rev'!H488</f>
        <v>0</v>
      </c>
      <c r="I483" s="147" t="str">
        <f t="shared" si="14"/>
        <v>0</v>
      </c>
      <c r="J483" s="148" t="b">
        <f t="shared" si="15"/>
        <v>0</v>
      </c>
      <c r="K483" s="149">
        <f>'Jrnl Rev'!$G488</f>
        <v>0</v>
      </c>
      <c r="L483" s="150"/>
      <c r="M483" s="151"/>
      <c r="N483" s="152">
        <f>'Jrnl Rev'!$H278</f>
        <v>0</v>
      </c>
    </row>
    <row r="484" spans="2:14" s="1" customFormat="1" ht="30" hidden="1" customHeight="1" x14ac:dyDescent="0.15">
      <c r="B484" s="146">
        <f>IF(AND('Jrnl Rev'!G489&lt;&gt;"",'Jrnl Rev'!C489&lt;&gt;""),1,0)</f>
        <v>0</v>
      </c>
      <c r="C484" s="146">
        <f>'Jrnl Rev'!$C489</f>
        <v>0</v>
      </c>
      <c r="D484" s="147">
        <f>'Jrnl Rev'!$D489</f>
        <v>0</v>
      </c>
      <c r="E484" s="1510">
        <f>'Jrnl Rev'!$F489</f>
        <v>0</v>
      </c>
      <c r="F484" s="1510"/>
      <c r="G484" s="951" t="str">
        <f>IF('Jrnl Rev'!$E489="","",'Jrnl Rev'!$E489)</f>
        <v/>
      </c>
      <c r="H484" s="147">
        <f>'Jrnl Rev'!H489</f>
        <v>0</v>
      </c>
      <c r="I484" s="147" t="str">
        <f t="shared" si="14"/>
        <v>0</v>
      </c>
      <c r="J484" s="148" t="b">
        <f t="shared" si="15"/>
        <v>0</v>
      </c>
      <c r="K484" s="149">
        <f>'Jrnl Rev'!$G489</f>
        <v>0</v>
      </c>
      <c r="L484" s="150"/>
      <c r="M484" s="151"/>
      <c r="N484" s="152">
        <f>'Jrnl Rev'!$H279</f>
        <v>0</v>
      </c>
    </row>
    <row r="485" spans="2:14" s="1" customFormat="1" ht="30" hidden="1" customHeight="1" x14ac:dyDescent="0.15">
      <c r="B485" s="146">
        <f>IF(AND('Jrnl Rev'!G490&lt;&gt;"",'Jrnl Rev'!C490&lt;&gt;""),1,0)</f>
        <v>0</v>
      </c>
      <c r="C485" s="146">
        <f>'Jrnl Rev'!$C490</f>
        <v>0</v>
      </c>
      <c r="D485" s="147">
        <f>'Jrnl Rev'!$D490</f>
        <v>0</v>
      </c>
      <c r="E485" s="1510">
        <f>'Jrnl Rev'!$F490</f>
        <v>0</v>
      </c>
      <c r="F485" s="1510"/>
      <c r="G485" s="951" t="str">
        <f>IF('Jrnl Rev'!$E490="","",'Jrnl Rev'!$E490)</f>
        <v/>
      </c>
      <c r="H485" s="147">
        <f>'Jrnl Rev'!H490</f>
        <v>0</v>
      </c>
      <c r="I485" s="147" t="str">
        <f t="shared" si="14"/>
        <v>0</v>
      </c>
      <c r="J485" s="148" t="b">
        <f t="shared" si="15"/>
        <v>0</v>
      </c>
      <c r="K485" s="149">
        <f>'Jrnl Rev'!$G490</f>
        <v>0</v>
      </c>
      <c r="L485" s="150"/>
      <c r="M485" s="151"/>
      <c r="N485" s="152">
        <f>'Jrnl Rev'!$H280</f>
        <v>0</v>
      </c>
    </row>
    <row r="486" spans="2:14" s="1" customFormat="1" ht="30" hidden="1" customHeight="1" x14ac:dyDescent="0.15">
      <c r="B486" s="146">
        <f>IF(AND('Jrnl Rev'!G491&lt;&gt;"",'Jrnl Rev'!C491&lt;&gt;""),1,0)</f>
        <v>0</v>
      </c>
      <c r="C486" s="146">
        <f>'Jrnl Rev'!$C491</f>
        <v>0</v>
      </c>
      <c r="D486" s="147">
        <f>'Jrnl Rev'!$D491</f>
        <v>0</v>
      </c>
      <c r="E486" s="1510">
        <f>'Jrnl Rev'!$F491</f>
        <v>0</v>
      </c>
      <c r="F486" s="1510"/>
      <c r="G486" s="951" t="str">
        <f>IF('Jrnl Rev'!$E491="","",'Jrnl Rev'!$E491)</f>
        <v/>
      </c>
      <c r="H486" s="147">
        <f>'Jrnl Rev'!H491</f>
        <v>0</v>
      </c>
      <c r="I486" s="147" t="str">
        <f t="shared" si="14"/>
        <v>0</v>
      </c>
      <c r="J486" s="148" t="b">
        <f t="shared" si="15"/>
        <v>0</v>
      </c>
      <c r="K486" s="149">
        <f>'Jrnl Rev'!$G491</f>
        <v>0</v>
      </c>
      <c r="L486" s="150"/>
      <c r="M486" s="151"/>
      <c r="N486" s="152">
        <f>'Jrnl Rev'!$H281</f>
        <v>0</v>
      </c>
    </row>
    <row r="487" spans="2:14" s="1" customFormat="1" ht="30" hidden="1" customHeight="1" x14ac:dyDescent="0.15">
      <c r="B487" s="146">
        <f>IF(AND('Jrnl Rev'!G492&lt;&gt;"",'Jrnl Rev'!C492&lt;&gt;""),1,0)</f>
        <v>0</v>
      </c>
      <c r="C487" s="146">
        <f>'Jrnl Rev'!$C492</f>
        <v>0</v>
      </c>
      <c r="D487" s="147">
        <f>'Jrnl Rev'!$D492</f>
        <v>0</v>
      </c>
      <c r="E487" s="1510">
        <f>'Jrnl Rev'!$F492</f>
        <v>0</v>
      </c>
      <c r="F487" s="1510"/>
      <c r="G487" s="951" t="str">
        <f>IF('Jrnl Rev'!$E492="","",'Jrnl Rev'!$E492)</f>
        <v/>
      </c>
      <c r="H487" s="147">
        <f>'Jrnl Rev'!H492</f>
        <v>0</v>
      </c>
      <c r="I487" s="147" t="str">
        <f t="shared" si="14"/>
        <v>0</v>
      </c>
      <c r="J487" s="148" t="b">
        <f t="shared" si="15"/>
        <v>0</v>
      </c>
      <c r="K487" s="149">
        <f>'Jrnl Rev'!$G492</f>
        <v>0</v>
      </c>
      <c r="L487" s="150"/>
      <c r="M487" s="151"/>
      <c r="N487" s="152">
        <f>'Jrnl Rev'!$H282</f>
        <v>0</v>
      </c>
    </row>
    <row r="488" spans="2:14" s="1" customFormat="1" ht="30" hidden="1" customHeight="1" x14ac:dyDescent="0.15">
      <c r="B488" s="146">
        <f>IF(AND('Jrnl Rev'!G493&lt;&gt;"",'Jrnl Rev'!C493&lt;&gt;""),1,0)</f>
        <v>0</v>
      </c>
      <c r="C488" s="146">
        <f>'Jrnl Rev'!$C493</f>
        <v>0</v>
      </c>
      <c r="D488" s="147">
        <f>'Jrnl Rev'!$D493</f>
        <v>0</v>
      </c>
      <c r="E488" s="1510">
        <f>'Jrnl Rev'!$F493</f>
        <v>0</v>
      </c>
      <c r="F488" s="1510"/>
      <c r="G488" s="951" t="str">
        <f>IF('Jrnl Rev'!$E493="","",'Jrnl Rev'!$E493)</f>
        <v/>
      </c>
      <c r="H488" s="147">
        <f>'Jrnl Rev'!H493</f>
        <v>0</v>
      </c>
      <c r="I488" s="147" t="str">
        <f t="shared" si="14"/>
        <v>0</v>
      </c>
      <c r="J488" s="148" t="b">
        <f t="shared" si="15"/>
        <v>0</v>
      </c>
      <c r="K488" s="149">
        <f>'Jrnl Rev'!$G493</f>
        <v>0</v>
      </c>
      <c r="L488" s="150"/>
      <c r="M488" s="151"/>
      <c r="N488" s="152">
        <f>'Jrnl Rev'!$H283</f>
        <v>0</v>
      </c>
    </row>
    <row r="489" spans="2:14" s="1" customFormat="1" ht="30" hidden="1" customHeight="1" x14ac:dyDescent="0.15">
      <c r="B489" s="146">
        <f>IF(AND('Jrnl Rev'!G494&lt;&gt;"",'Jrnl Rev'!C494&lt;&gt;""),1,0)</f>
        <v>0</v>
      </c>
      <c r="C489" s="146">
        <f>'Jrnl Rev'!$C494</f>
        <v>0</v>
      </c>
      <c r="D489" s="147">
        <f>'Jrnl Rev'!$D494</f>
        <v>0</v>
      </c>
      <c r="E489" s="1510">
        <f>'Jrnl Rev'!$F494</f>
        <v>0</v>
      </c>
      <c r="F489" s="1510"/>
      <c r="G489" s="951" t="str">
        <f>IF('Jrnl Rev'!$E494="","",'Jrnl Rev'!$E494)</f>
        <v/>
      </c>
      <c r="H489" s="147">
        <f>'Jrnl Rev'!H494</f>
        <v>0</v>
      </c>
      <c r="I489" s="147" t="str">
        <f t="shared" si="14"/>
        <v>0</v>
      </c>
      <c r="J489" s="148" t="b">
        <f t="shared" si="15"/>
        <v>0</v>
      </c>
      <c r="K489" s="149">
        <f>'Jrnl Rev'!$G494</f>
        <v>0</v>
      </c>
      <c r="L489" s="150"/>
      <c r="M489" s="151"/>
      <c r="N489" s="152">
        <f>'Jrnl Rev'!$H284</f>
        <v>0</v>
      </c>
    </row>
    <row r="490" spans="2:14" s="1" customFormat="1" ht="30" hidden="1" customHeight="1" x14ac:dyDescent="0.15">
      <c r="B490" s="146">
        <f>IF(AND('Jrnl Rev'!G495&lt;&gt;"",'Jrnl Rev'!C495&lt;&gt;""),1,0)</f>
        <v>0</v>
      </c>
      <c r="C490" s="146">
        <f>'Jrnl Rev'!$C495</f>
        <v>0</v>
      </c>
      <c r="D490" s="147">
        <f>'Jrnl Rev'!$D495</f>
        <v>0</v>
      </c>
      <c r="E490" s="1510">
        <f>'Jrnl Rev'!$F495</f>
        <v>0</v>
      </c>
      <c r="F490" s="1510"/>
      <c r="G490" s="951" t="str">
        <f>IF('Jrnl Rev'!$E495="","",'Jrnl Rev'!$E495)</f>
        <v/>
      </c>
      <c r="H490" s="147">
        <f>'Jrnl Rev'!H495</f>
        <v>0</v>
      </c>
      <c r="I490" s="147" t="str">
        <f t="shared" si="14"/>
        <v>0</v>
      </c>
      <c r="J490" s="148" t="b">
        <f t="shared" si="15"/>
        <v>0</v>
      </c>
      <c r="K490" s="149">
        <f>'Jrnl Rev'!$G495</f>
        <v>0</v>
      </c>
      <c r="L490" s="150"/>
      <c r="M490" s="151"/>
      <c r="N490" s="152">
        <f>'Jrnl Rev'!$H285</f>
        <v>0</v>
      </c>
    </row>
    <row r="491" spans="2:14" s="1" customFormat="1" ht="30" hidden="1" customHeight="1" x14ac:dyDescent="0.15">
      <c r="B491" s="146">
        <f>IF(AND('Jrnl Rev'!G496&lt;&gt;"",'Jrnl Rev'!C496&lt;&gt;""),1,0)</f>
        <v>0</v>
      </c>
      <c r="C491" s="146">
        <f>'Jrnl Rev'!$C496</f>
        <v>0</v>
      </c>
      <c r="D491" s="147">
        <f>'Jrnl Rev'!$D496</f>
        <v>0</v>
      </c>
      <c r="E491" s="1510">
        <f>'Jrnl Rev'!$F496</f>
        <v>0</v>
      </c>
      <c r="F491" s="1510"/>
      <c r="G491" s="951" t="str">
        <f>IF('Jrnl Rev'!$E496="","",'Jrnl Rev'!$E496)</f>
        <v/>
      </c>
      <c r="H491" s="147">
        <f>'Jrnl Rev'!H496</f>
        <v>0</v>
      </c>
      <c r="I491" s="147" t="str">
        <f t="shared" si="14"/>
        <v>0</v>
      </c>
      <c r="J491" s="148" t="b">
        <f t="shared" si="15"/>
        <v>0</v>
      </c>
      <c r="K491" s="149">
        <f>'Jrnl Rev'!$G496</f>
        <v>0</v>
      </c>
      <c r="L491" s="150"/>
      <c r="M491" s="151"/>
      <c r="N491" s="152">
        <f>'Jrnl Rev'!$H286</f>
        <v>0</v>
      </c>
    </row>
    <row r="492" spans="2:14" s="1" customFormat="1" ht="30" hidden="1" customHeight="1" x14ac:dyDescent="0.15">
      <c r="B492" s="146">
        <f>IF(AND('Jrnl Rev'!G497&lt;&gt;"",'Jrnl Rev'!C497&lt;&gt;""),1,0)</f>
        <v>0</v>
      </c>
      <c r="C492" s="146">
        <f>'Jrnl Rev'!$C497</f>
        <v>0</v>
      </c>
      <c r="D492" s="147">
        <f>'Jrnl Rev'!$D497</f>
        <v>0</v>
      </c>
      <c r="E492" s="1510">
        <f>'Jrnl Rev'!$F497</f>
        <v>0</v>
      </c>
      <c r="F492" s="1510"/>
      <c r="G492" s="951" t="str">
        <f>IF('Jrnl Rev'!$E497="","",'Jrnl Rev'!$E497)</f>
        <v/>
      </c>
      <c r="H492" s="147">
        <f>'Jrnl Rev'!H497</f>
        <v>0</v>
      </c>
      <c r="I492" s="147" t="str">
        <f t="shared" si="14"/>
        <v>0</v>
      </c>
      <c r="J492" s="148" t="b">
        <f t="shared" si="15"/>
        <v>0</v>
      </c>
      <c r="K492" s="149">
        <f>'Jrnl Rev'!$G497</f>
        <v>0</v>
      </c>
      <c r="L492" s="150"/>
      <c r="M492" s="151"/>
      <c r="N492" s="152">
        <f>'Jrnl Rev'!$H287</f>
        <v>0</v>
      </c>
    </row>
    <row r="493" spans="2:14" s="1" customFormat="1" ht="30" hidden="1" customHeight="1" x14ac:dyDescent="0.15">
      <c r="B493" s="146">
        <f>IF(AND('Jrnl Rev'!G498&lt;&gt;"",'Jrnl Rev'!C498&lt;&gt;""),1,0)</f>
        <v>0</v>
      </c>
      <c r="C493" s="146">
        <f>'Jrnl Rev'!$C498</f>
        <v>0</v>
      </c>
      <c r="D493" s="147">
        <f>'Jrnl Rev'!$D498</f>
        <v>0</v>
      </c>
      <c r="E493" s="1510">
        <f>'Jrnl Rev'!$F498</f>
        <v>0</v>
      </c>
      <c r="F493" s="1510"/>
      <c r="G493" s="951" t="str">
        <f>IF('Jrnl Rev'!$E498="","",'Jrnl Rev'!$E498)</f>
        <v/>
      </c>
      <c r="H493" s="147">
        <f>'Jrnl Rev'!H498</f>
        <v>0</v>
      </c>
      <c r="I493" s="147" t="str">
        <f t="shared" si="14"/>
        <v>0</v>
      </c>
      <c r="J493" s="148" t="b">
        <f t="shared" si="15"/>
        <v>0</v>
      </c>
      <c r="K493" s="149">
        <f>'Jrnl Rev'!$G498</f>
        <v>0</v>
      </c>
      <c r="L493" s="150"/>
      <c r="M493" s="151"/>
      <c r="N493" s="152">
        <f>'Jrnl Rev'!$H288</f>
        <v>0</v>
      </c>
    </row>
    <row r="494" spans="2:14" s="1" customFormat="1" ht="30" hidden="1" customHeight="1" x14ac:dyDescent="0.15">
      <c r="B494" s="146">
        <f>IF(AND('Jrnl Rev'!G499&lt;&gt;"",'Jrnl Rev'!C499&lt;&gt;""),1,0)</f>
        <v>0</v>
      </c>
      <c r="C494" s="146">
        <f>'Jrnl Rev'!$C499</f>
        <v>0</v>
      </c>
      <c r="D494" s="147">
        <f>'Jrnl Rev'!$D499</f>
        <v>0</v>
      </c>
      <c r="E494" s="1510">
        <f>'Jrnl Rev'!$F499</f>
        <v>0</v>
      </c>
      <c r="F494" s="1510"/>
      <c r="G494" s="951" t="str">
        <f>IF('Jrnl Rev'!$E499="","",'Jrnl Rev'!$E499)</f>
        <v/>
      </c>
      <c r="H494" s="147">
        <f>'Jrnl Rev'!H499</f>
        <v>0</v>
      </c>
      <c r="I494" s="147" t="str">
        <f t="shared" si="14"/>
        <v>0</v>
      </c>
      <c r="J494" s="148" t="b">
        <f t="shared" si="15"/>
        <v>0</v>
      </c>
      <c r="K494" s="149">
        <f>'Jrnl Rev'!$G499</f>
        <v>0</v>
      </c>
      <c r="L494" s="150"/>
      <c r="M494" s="151"/>
      <c r="N494" s="152">
        <f>'Jrnl Rev'!$H289</f>
        <v>0</v>
      </c>
    </row>
    <row r="495" spans="2:14" s="1" customFormat="1" ht="30" hidden="1" customHeight="1" x14ac:dyDescent="0.15">
      <c r="B495" s="146">
        <f>IF(AND('Jrnl Rev'!G500&lt;&gt;"",'Jrnl Rev'!C500&lt;&gt;""),1,0)</f>
        <v>0</v>
      </c>
      <c r="C495" s="146">
        <f>'Jrnl Rev'!$C500</f>
        <v>0</v>
      </c>
      <c r="D495" s="147">
        <f>'Jrnl Rev'!$D500</f>
        <v>0</v>
      </c>
      <c r="E495" s="1510">
        <f>'Jrnl Rev'!$F500</f>
        <v>0</v>
      </c>
      <c r="F495" s="1510"/>
      <c r="G495" s="951" t="str">
        <f>IF('Jrnl Rev'!$E500="","",'Jrnl Rev'!$E500)</f>
        <v/>
      </c>
      <c r="H495" s="147">
        <f>'Jrnl Rev'!H500</f>
        <v>0</v>
      </c>
      <c r="I495" s="147" t="str">
        <f t="shared" si="14"/>
        <v>0</v>
      </c>
      <c r="J495" s="148" t="b">
        <f t="shared" si="15"/>
        <v>0</v>
      </c>
      <c r="K495" s="149">
        <f>'Jrnl Rev'!$G500</f>
        <v>0</v>
      </c>
      <c r="L495" s="150"/>
      <c r="M495" s="151"/>
      <c r="N495" s="152">
        <f>'Jrnl Rev'!$H290</f>
        <v>0</v>
      </c>
    </row>
    <row r="496" spans="2:14" s="1" customFormat="1" ht="30" hidden="1" customHeight="1" x14ac:dyDescent="0.15">
      <c r="B496" s="146">
        <f>IF(AND('Jrnl Rev'!G501&lt;&gt;"",'Jrnl Rev'!C501&lt;&gt;""),1,0)</f>
        <v>0</v>
      </c>
      <c r="C496" s="146">
        <f>'Jrnl Rev'!$C501</f>
        <v>0</v>
      </c>
      <c r="D496" s="147">
        <f>'Jrnl Rev'!$D501</f>
        <v>0</v>
      </c>
      <c r="E496" s="1510">
        <f>'Jrnl Rev'!$F501</f>
        <v>0</v>
      </c>
      <c r="F496" s="1510"/>
      <c r="G496" s="951" t="str">
        <f>IF('Jrnl Rev'!$E501="","",'Jrnl Rev'!$E501)</f>
        <v/>
      </c>
      <c r="H496" s="147">
        <f>'Jrnl Rev'!H501</f>
        <v>0</v>
      </c>
      <c r="I496" s="147" t="str">
        <f t="shared" si="14"/>
        <v>0</v>
      </c>
      <c r="J496" s="148" t="b">
        <f t="shared" si="15"/>
        <v>0</v>
      </c>
      <c r="K496" s="149">
        <f>'Jrnl Rev'!$G501</f>
        <v>0</v>
      </c>
      <c r="L496" s="150"/>
      <c r="M496" s="151"/>
      <c r="N496" s="152">
        <f>'Jrnl Rev'!$H291</f>
        <v>0</v>
      </c>
    </row>
    <row r="497" spans="2:14" s="1" customFormat="1" ht="30" hidden="1" customHeight="1" x14ac:dyDescent="0.15">
      <c r="B497" s="146">
        <f>IF(AND('Jrnl Rev'!G502&lt;&gt;"",'Jrnl Rev'!C502&lt;&gt;""),1,0)</f>
        <v>0</v>
      </c>
      <c r="C497" s="146">
        <f>'Jrnl Rev'!$C502</f>
        <v>0</v>
      </c>
      <c r="D497" s="147">
        <f>'Jrnl Rev'!$D502</f>
        <v>0</v>
      </c>
      <c r="E497" s="1510">
        <f>'Jrnl Rev'!$F502</f>
        <v>0</v>
      </c>
      <c r="F497" s="1510"/>
      <c r="G497" s="951" t="str">
        <f>IF('Jrnl Rev'!$E502="","",'Jrnl Rev'!$E502)</f>
        <v/>
      </c>
      <c r="H497" s="147">
        <f>'Jrnl Rev'!H502</f>
        <v>0</v>
      </c>
      <c r="I497" s="147" t="str">
        <f t="shared" si="14"/>
        <v>0</v>
      </c>
      <c r="J497" s="148" t="b">
        <f t="shared" si="15"/>
        <v>0</v>
      </c>
      <c r="K497" s="149">
        <f>'Jrnl Rev'!$G502</f>
        <v>0</v>
      </c>
      <c r="L497" s="150"/>
      <c r="M497" s="151"/>
      <c r="N497" s="152">
        <f>'Jrnl Rev'!$H292</f>
        <v>0</v>
      </c>
    </row>
    <row r="498" spans="2:14" s="1" customFormat="1" ht="30" hidden="1" customHeight="1" x14ac:dyDescent="0.15">
      <c r="B498" s="146">
        <f>IF(AND('Jrnl Rev'!G503&lt;&gt;"",'Jrnl Rev'!C503&lt;&gt;""),1,0)</f>
        <v>0</v>
      </c>
      <c r="C498" s="146">
        <f>'Jrnl Rev'!$C503</f>
        <v>0</v>
      </c>
      <c r="D498" s="147">
        <f>'Jrnl Rev'!$D503</f>
        <v>0</v>
      </c>
      <c r="E498" s="1510">
        <f>'Jrnl Rev'!$F503</f>
        <v>0</v>
      </c>
      <c r="F498" s="1510"/>
      <c r="G498" s="951" t="str">
        <f>IF('Jrnl Rev'!$E503="","",'Jrnl Rev'!$E503)</f>
        <v/>
      </c>
      <c r="H498" s="147">
        <f>'Jrnl Rev'!H503</f>
        <v>0</v>
      </c>
      <c r="I498" s="147" t="str">
        <f t="shared" si="14"/>
        <v>0</v>
      </c>
      <c r="J498" s="148" t="b">
        <f t="shared" si="15"/>
        <v>0</v>
      </c>
      <c r="K498" s="149">
        <f>'Jrnl Rev'!$G503</f>
        <v>0</v>
      </c>
      <c r="L498" s="150"/>
      <c r="M498" s="151"/>
      <c r="N498" s="152">
        <f>'Jrnl Rev'!$H293</f>
        <v>0</v>
      </c>
    </row>
    <row r="499" spans="2:14" s="1" customFormat="1" ht="30" hidden="1" customHeight="1" x14ac:dyDescent="0.15">
      <c r="B499" s="146">
        <f>IF(AND('Jrnl Rev'!G504&lt;&gt;"",'Jrnl Rev'!C504&lt;&gt;""),1,0)</f>
        <v>0</v>
      </c>
      <c r="C499" s="146">
        <f>'Jrnl Rev'!$C504</f>
        <v>0</v>
      </c>
      <c r="D499" s="147">
        <f>'Jrnl Rev'!$D504</f>
        <v>0</v>
      </c>
      <c r="E499" s="1510">
        <f>'Jrnl Rev'!$F504</f>
        <v>0</v>
      </c>
      <c r="F499" s="1510"/>
      <c r="G499" s="951" t="str">
        <f>IF('Jrnl Rev'!$E504="","",'Jrnl Rev'!$E504)</f>
        <v/>
      </c>
      <c r="H499" s="147">
        <f>'Jrnl Rev'!H504</f>
        <v>0</v>
      </c>
      <c r="I499" s="147" t="str">
        <f t="shared" si="14"/>
        <v>0</v>
      </c>
      <c r="J499" s="148" t="b">
        <f t="shared" si="15"/>
        <v>0</v>
      </c>
      <c r="K499" s="149">
        <f>'Jrnl Rev'!$G504</f>
        <v>0</v>
      </c>
      <c r="L499" s="150"/>
      <c r="M499" s="151"/>
      <c r="N499" s="152">
        <f>'Jrnl Rev'!$H294</f>
        <v>0</v>
      </c>
    </row>
    <row r="500" spans="2:14" s="1" customFormat="1" ht="30" hidden="1" customHeight="1" x14ac:dyDescent="0.15">
      <c r="B500" s="146">
        <f>IF(AND('Jrnl Rev'!G505&lt;&gt;"",'Jrnl Rev'!C505&lt;&gt;""),1,0)</f>
        <v>0</v>
      </c>
      <c r="C500" s="146">
        <f>'Jrnl Rev'!$C505</f>
        <v>0</v>
      </c>
      <c r="D500" s="147">
        <f>'Jrnl Rev'!$D505</f>
        <v>0</v>
      </c>
      <c r="E500" s="1510">
        <f>'Jrnl Rev'!$F505</f>
        <v>0</v>
      </c>
      <c r="F500" s="1510"/>
      <c r="G500" s="951" t="str">
        <f>IF('Jrnl Rev'!$E505="","",'Jrnl Rev'!$E505)</f>
        <v/>
      </c>
      <c r="H500" s="147">
        <f>'Jrnl Rev'!H505</f>
        <v>0</v>
      </c>
      <c r="I500" s="147" t="str">
        <f t="shared" si="14"/>
        <v>0</v>
      </c>
      <c r="J500" s="148" t="b">
        <f t="shared" si="15"/>
        <v>0</v>
      </c>
      <c r="K500" s="149">
        <f>'Jrnl Rev'!$G505</f>
        <v>0</v>
      </c>
      <c r="L500" s="150"/>
      <c r="M500" s="151"/>
      <c r="N500" s="152">
        <f>'Jrnl Rev'!$H295</f>
        <v>0</v>
      </c>
    </row>
    <row r="501" spans="2:14" s="1" customFormat="1" ht="30" hidden="1" customHeight="1" x14ac:dyDescent="0.15">
      <c r="B501" s="146">
        <f>IF(AND('Jrnl Rev'!G506&lt;&gt;"",'Jrnl Rev'!C506&lt;&gt;""),1,0)</f>
        <v>0</v>
      </c>
      <c r="C501" s="146">
        <f>'Jrnl Rev'!$C506</f>
        <v>0</v>
      </c>
      <c r="D501" s="147">
        <f>'Jrnl Rev'!$D506</f>
        <v>0</v>
      </c>
      <c r="E501" s="1510">
        <f>'Jrnl Rev'!$F506</f>
        <v>0</v>
      </c>
      <c r="F501" s="1510"/>
      <c r="G501" s="951" t="str">
        <f>IF('Jrnl Rev'!$E506="","",'Jrnl Rev'!$E506)</f>
        <v/>
      </c>
      <c r="H501" s="147">
        <f>'Jrnl Rev'!H506</f>
        <v>0</v>
      </c>
      <c r="I501" s="147" t="str">
        <f t="shared" si="14"/>
        <v>0</v>
      </c>
      <c r="J501" s="148" t="b">
        <f t="shared" si="15"/>
        <v>0</v>
      </c>
      <c r="K501" s="149">
        <f>'Jrnl Rev'!$G506</f>
        <v>0</v>
      </c>
      <c r="L501" s="150"/>
      <c r="M501" s="151"/>
      <c r="N501" s="152">
        <f>'Jrnl Rev'!$H296</f>
        <v>0</v>
      </c>
    </row>
    <row r="502" spans="2:14" s="1" customFormat="1" ht="30" hidden="1" customHeight="1" x14ac:dyDescent="0.15">
      <c r="B502" s="146">
        <f>IF(AND('Jrnl Rev'!G507&lt;&gt;"",'Jrnl Rev'!C507&lt;&gt;""),1,0)</f>
        <v>0</v>
      </c>
      <c r="C502" s="146">
        <f>'Jrnl Rev'!$C507</f>
        <v>0</v>
      </c>
      <c r="D502" s="147">
        <f>'Jrnl Rev'!$D507</f>
        <v>0</v>
      </c>
      <c r="E502" s="1510">
        <f>'Jrnl Rev'!$F507</f>
        <v>0</v>
      </c>
      <c r="F502" s="1510"/>
      <c r="G502" s="951" t="str">
        <f>IF('Jrnl Rev'!$E507="","",'Jrnl Rev'!$E507)</f>
        <v/>
      </c>
      <c r="H502" s="147">
        <f>'Jrnl Rev'!H507</f>
        <v>0</v>
      </c>
      <c r="I502" s="147" t="str">
        <f t="shared" si="14"/>
        <v>0</v>
      </c>
      <c r="J502" s="148" t="b">
        <f t="shared" si="15"/>
        <v>0</v>
      </c>
      <c r="K502" s="149">
        <f>'Jrnl Rev'!$G507</f>
        <v>0</v>
      </c>
      <c r="L502" s="150"/>
      <c r="M502" s="151"/>
      <c r="N502" s="152">
        <f>'Jrnl Rev'!$H297</f>
        <v>0</v>
      </c>
    </row>
    <row r="503" spans="2:14" s="1" customFormat="1" ht="30" hidden="1" customHeight="1" x14ac:dyDescent="0.15">
      <c r="B503" s="146">
        <f>IF(AND('Jrnl Rev'!G508&lt;&gt;"",'Jrnl Rev'!C508&lt;&gt;""),1,0)</f>
        <v>0</v>
      </c>
      <c r="C503" s="146">
        <f>'Jrnl Rev'!$C508</f>
        <v>0</v>
      </c>
      <c r="D503" s="147">
        <f>'Jrnl Rev'!$D508</f>
        <v>0</v>
      </c>
      <c r="E503" s="1510">
        <f>'Jrnl Rev'!$F508</f>
        <v>0</v>
      </c>
      <c r="F503" s="1510"/>
      <c r="G503" s="951" t="str">
        <f>IF('Jrnl Rev'!$E508="","",'Jrnl Rev'!$E508)</f>
        <v/>
      </c>
      <c r="H503" s="147">
        <f>'Jrnl Rev'!H508</f>
        <v>0</v>
      </c>
      <c r="I503" s="147" t="str">
        <f t="shared" si="14"/>
        <v>0</v>
      </c>
      <c r="J503" s="148" t="b">
        <f t="shared" si="15"/>
        <v>0</v>
      </c>
      <c r="K503" s="149">
        <f>'Jrnl Rev'!$G508</f>
        <v>0</v>
      </c>
      <c r="L503" s="150"/>
      <c r="M503" s="151"/>
      <c r="N503" s="152">
        <f>'Jrnl Rev'!$H298</f>
        <v>0</v>
      </c>
    </row>
    <row r="504" spans="2:14" s="1" customFormat="1" ht="30" hidden="1" customHeight="1" x14ac:dyDescent="0.15">
      <c r="B504" s="146">
        <f>IF(AND('Jrnl Rev'!G509&lt;&gt;"",'Jrnl Rev'!C509&lt;&gt;""),1,0)</f>
        <v>0</v>
      </c>
      <c r="C504" s="146">
        <f>'Jrnl Rev'!$C509</f>
        <v>0</v>
      </c>
      <c r="D504" s="147">
        <f>'Jrnl Rev'!$D509</f>
        <v>0</v>
      </c>
      <c r="E504" s="1510">
        <f>'Jrnl Rev'!$F509</f>
        <v>0</v>
      </c>
      <c r="F504" s="1510"/>
      <c r="G504" s="951" t="str">
        <f>IF('Jrnl Rev'!$E509="","",'Jrnl Rev'!$E509)</f>
        <v/>
      </c>
      <c r="H504" s="147">
        <f>'Jrnl Rev'!H509</f>
        <v>0</v>
      </c>
      <c r="I504" s="147" t="str">
        <f t="shared" si="14"/>
        <v>0</v>
      </c>
      <c r="J504" s="148" t="b">
        <f t="shared" si="15"/>
        <v>0</v>
      </c>
      <c r="K504" s="149">
        <f>'Jrnl Rev'!$G509</f>
        <v>0</v>
      </c>
      <c r="L504" s="150"/>
      <c r="M504" s="151"/>
      <c r="N504" s="152">
        <f>'Jrnl Rev'!$H299</f>
        <v>0</v>
      </c>
    </row>
    <row r="505" spans="2:14" s="1" customFormat="1" ht="30" hidden="1" customHeight="1" x14ac:dyDescent="0.15">
      <c r="B505" s="146">
        <f>IF(AND('Jrnl Rev'!G510&lt;&gt;"",'Jrnl Rev'!C510&lt;&gt;""),1,0)</f>
        <v>0</v>
      </c>
      <c r="C505" s="146">
        <f>'Jrnl Rev'!$C510</f>
        <v>0</v>
      </c>
      <c r="D505" s="147">
        <f>'Jrnl Rev'!$D510</f>
        <v>0</v>
      </c>
      <c r="E505" s="1510">
        <f>'Jrnl Rev'!$F510</f>
        <v>0</v>
      </c>
      <c r="F505" s="1510"/>
      <c r="G505" s="951" t="str">
        <f>IF('Jrnl Rev'!$E510="","",'Jrnl Rev'!$E510)</f>
        <v/>
      </c>
      <c r="H505" s="147">
        <f>'Jrnl Rev'!H510</f>
        <v>0</v>
      </c>
      <c r="I505" s="147" t="str">
        <f t="shared" si="14"/>
        <v>0</v>
      </c>
      <c r="J505" s="148" t="b">
        <f t="shared" si="15"/>
        <v>0</v>
      </c>
      <c r="K505" s="149">
        <f>'Jrnl Rev'!$G510</f>
        <v>0</v>
      </c>
      <c r="L505" s="150"/>
      <c r="M505" s="151"/>
      <c r="N505" s="152">
        <f>'Jrnl Rev'!$H300</f>
        <v>0</v>
      </c>
    </row>
    <row r="506" spans="2:14" s="1" customFormat="1" ht="30" hidden="1" customHeight="1" x14ac:dyDescent="0.15">
      <c r="B506" s="146">
        <f>IF(AND('Jrnl Rev'!G511&lt;&gt;"",'Jrnl Rev'!C511&lt;&gt;""),1,0)</f>
        <v>0</v>
      </c>
      <c r="C506" s="146">
        <f>'Jrnl Rev'!$C511</f>
        <v>0</v>
      </c>
      <c r="D506" s="147">
        <f>'Jrnl Rev'!$D511</f>
        <v>0</v>
      </c>
      <c r="E506" s="1510">
        <f>'Jrnl Rev'!$F511</f>
        <v>0</v>
      </c>
      <c r="F506" s="1510"/>
      <c r="G506" s="951" t="str">
        <f>IF('Jrnl Rev'!$E511="","",'Jrnl Rev'!$E511)</f>
        <v/>
      </c>
      <c r="H506" s="147">
        <f>'Jrnl Rev'!H511</f>
        <v>0</v>
      </c>
      <c r="I506" s="147" t="str">
        <f t="shared" si="14"/>
        <v>0</v>
      </c>
      <c r="J506" s="148" t="b">
        <f t="shared" si="15"/>
        <v>0</v>
      </c>
      <c r="K506" s="149">
        <f>'Jrnl Rev'!$G511</f>
        <v>0</v>
      </c>
      <c r="L506" s="150"/>
      <c r="M506" s="151"/>
      <c r="N506" s="152">
        <f>'Jrnl Rev'!$H301</f>
        <v>0</v>
      </c>
    </row>
    <row r="507" spans="2:14" s="1" customFormat="1" ht="30" hidden="1" customHeight="1" x14ac:dyDescent="0.15">
      <c r="B507" s="146">
        <f>IF(AND('Jrnl Rev'!G512&lt;&gt;"",'Jrnl Rev'!C512&lt;&gt;""),1,0)</f>
        <v>0</v>
      </c>
      <c r="C507" s="146">
        <f>'Jrnl Rev'!$C512</f>
        <v>0</v>
      </c>
      <c r="D507" s="147">
        <f>'Jrnl Rev'!$D512</f>
        <v>0</v>
      </c>
      <c r="E507" s="1510">
        <f>'Jrnl Rev'!$F512</f>
        <v>0</v>
      </c>
      <c r="F507" s="1510"/>
      <c r="G507" s="951" t="str">
        <f>IF('Jrnl Rev'!$E512="","",'Jrnl Rev'!$E512)</f>
        <v/>
      </c>
      <c r="H507" s="147">
        <f>'Jrnl Rev'!H512</f>
        <v>0</v>
      </c>
      <c r="I507" s="147" t="str">
        <f t="shared" si="14"/>
        <v>0</v>
      </c>
      <c r="J507" s="148" t="b">
        <f t="shared" si="15"/>
        <v>0</v>
      </c>
      <c r="K507" s="149">
        <f>'Jrnl Rev'!$G512</f>
        <v>0</v>
      </c>
      <c r="L507" s="150"/>
      <c r="M507" s="151"/>
      <c r="N507" s="152">
        <f>'Jrnl Rev'!$H302</f>
        <v>0</v>
      </c>
    </row>
    <row r="508" spans="2:14" s="1" customFormat="1" ht="30" hidden="1" customHeight="1" x14ac:dyDescent="0.15">
      <c r="B508" s="146">
        <f>IF(AND('Jrnl Rev'!G513&lt;&gt;"",'Jrnl Rev'!C513&lt;&gt;""),1,0)</f>
        <v>0</v>
      </c>
      <c r="C508" s="146">
        <f>'Jrnl Rev'!$C513</f>
        <v>0</v>
      </c>
      <c r="D508" s="147">
        <f>'Jrnl Rev'!$D513</f>
        <v>0</v>
      </c>
      <c r="E508" s="1510">
        <f>'Jrnl Rev'!$F513</f>
        <v>0</v>
      </c>
      <c r="F508" s="1510"/>
      <c r="G508" s="951" t="str">
        <f>IF('Jrnl Rev'!$E513="","",'Jrnl Rev'!$E513)</f>
        <v/>
      </c>
      <c r="H508" s="147">
        <f>'Jrnl Rev'!H513</f>
        <v>0</v>
      </c>
      <c r="I508" s="147" t="str">
        <f t="shared" si="14"/>
        <v>0</v>
      </c>
      <c r="J508" s="148" t="b">
        <f t="shared" si="15"/>
        <v>0</v>
      </c>
      <c r="K508" s="149">
        <f>'Jrnl Rev'!$G513</f>
        <v>0</v>
      </c>
      <c r="L508" s="150"/>
      <c r="M508" s="151"/>
      <c r="N508" s="152">
        <f>'Jrnl Rev'!$H303</f>
        <v>0</v>
      </c>
    </row>
    <row r="509" spans="2:14" s="1" customFormat="1" ht="30" hidden="1" customHeight="1" x14ac:dyDescent="0.15">
      <c r="B509" s="146">
        <f>IF(AND('Jrnl Rev'!G514&lt;&gt;"",'Jrnl Rev'!C514&lt;&gt;""),1,0)</f>
        <v>0</v>
      </c>
      <c r="C509" s="146">
        <f>'Jrnl Rev'!$C514</f>
        <v>0</v>
      </c>
      <c r="D509" s="147">
        <f>'Jrnl Rev'!$D514</f>
        <v>0</v>
      </c>
      <c r="E509" s="1510">
        <f>'Jrnl Rev'!$F514</f>
        <v>0</v>
      </c>
      <c r="F509" s="1510"/>
      <c r="G509" s="951" t="str">
        <f>IF('Jrnl Rev'!$E514="","",'Jrnl Rev'!$E514)</f>
        <v/>
      </c>
      <c r="H509" s="147">
        <f>'Jrnl Rev'!H514</f>
        <v>0</v>
      </c>
      <c r="I509" s="147" t="str">
        <f t="shared" si="14"/>
        <v>0</v>
      </c>
      <c r="J509" s="148" t="b">
        <f t="shared" si="15"/>
        <v>0</v>
      </c>
      <c r="K509" s="149">
        <f>'Jrnl Rev'!$G514</f>
        <v>0</v>
      </c>
      <c r="L509" s="150"/>
      <c r="M509" s="151"/>
      <c r="N509" s="152">
        <f>'Jrnl Rev'!$H304</f>
        <v>0</v>
      </c>
    </row>
    <row r="510" spans="2:14" s="1" customFormat="1" ht="30" hidden="1" customHeight="1" x14ac:dyDescent="0.15">
      <c r="B510" s="146">
        <f>IF(AND('Jrnl Rev'!G515&lt;&gt;"",'Jrnl Rev'!C515&lt;&gt;""),1,0)</f>
        <v>0</v>
      </c>
      <c r="C510" s="146">
        <f>'Jrnl Rev'!$C515</f>
        <v>0</v>
      </c>
      <c r="D510" s="147">
        <f>'Jrnl Rev'!$D515</f>
        <v>0</v>
      </c>
      <c r="E510" s="1510">
        <f>'Jrnl Rev'!$F515</f>
        <v>0</v>
      </c>
      <c r="F510" s="1510"/>
      <c r="G510" s="951" t="str">
        <f>IF('Jrnl Rev'!$E515="","",'Jrnl Rev'!$E515)</f>
        <v/>
      </c>
      <c r="H510" s="147">
        <f>'Jrnl Rev'!H515</f>
        <v>0</v>
      </c>
      <c r="I510" s="147" t="str">
        <f t="shared" si="14"/>
        <v>0</v>
      </c>
      <c r="J510" s="148" t="b">
        <f t="shared" si="15"/>
        <v>0</v>
      </c>
      <c r="K510" s="149">
        <f>'Jrnl Rev'!$G515</f>
        <v>0</v>
      </c>
      <c r="L510" s="150"/>
      <c r="M510" s="151"/>
      <c r="N510" s="152">
        <f>'Jrnl Rev'!$H305</f>
        <v>0</v>
      </c>
    </row>
    <row r="511" spans="2:14" s="1" customFormat="1" ht="10.5" customHeight="1" x14ac:dyDescent="0.15">
      <c r="B511" s="156">
        <v>1</v>
      </c>
      <c r="C511" s="157" t="s">
        <v>89</v>
      </c>
      <c r="D511" s="158"/>
      <c r="E511" s="159"/>
      <c r="F511" s="159"/>
      <c r="G511" s="160"/>
      <c r="H511" s="158"/>
      <c r="I511" s="158"/>
      <c r="J511" s="158"/>
      <c r="K511" s="161"/>
      <c r="L511" s="162"/>
      <c r="M511" s="163"/>
      <c r="N511" s="152"/>
    </row>
    <row r="512" spans="2:14" s="1" customFormat="1" ht="30" customHeight="1" x14ac:dyDescent="0.15">
      <c r="B512" s="146">
        <v>1</v>
      </c>
      <c r="C512" s="164" t="s">
        <v>89</v>
      </c>
      <c r="D512" s="141" t="str">
        <f>IF(A3=2,"DÉPENSES","EXPENSES")</f>
        <v>EXPENSES</v>
      </c>
      <c r="E512" s="141"/>
      <c r="F512" s="142"/>
      <c r="G512" s="165"/>
      <c r="H512" s="165"/>
      <c r="I512" s="165"/>
      <c r="J512" s="165"/>
      <c r="K512" s="141"/>
      <c r="L512" s="166"/>
      <c r="M512" s="151"/>
      <c r="N512" s="167"/>
    </row>
    <row r="513" spans="2:14" s="1" customFormat="1" ht="30" hidden="1" customHeight="1" x14ac:dyDescent="0.15">
      <c r="B513" s="146">
        <f>IF(AND('Jrnl Exp ~ Dép'!$G16&lt;&gt;"",'Jrnl Exp ~ Dép'!$C16&lt;&gt;""),1,0)</f>
        <v>0</v>
      </c>
      <c r="C513" s="146">
        <f>'Jrnl Exp ~ Dép'!$C16</f>
        <v>0</v>
      </c>
      <c r="D513" s="168">
        <f>'Jrnl Exp ~ Dép'!$D16</f>
        <v>0</v>
      </c>
      <c r="E513" s="1510">
        <f>'Jrnl Exp ~ Dép'!$F16</f>
        <v>0</v>
      </c>
      <c r="F513" s="1510"/>
      <c r="G513" s="951" t="str">
        <f>IF('Jrnl Exp ~ Dép'!$E16="","",'Jrnl Exp ~ Dép'!$E16)</f>
        <v/>
      </c>
      <c r="H513" s="147">
        <f>'Jrnl Exp ~ Dép'!H16</f>
        <v>0</v>
      </c>
      <c r="I513" s="147" t="str">
        <f t="shared" ref="I513:I576" si="16">LEFT(H513,4)</f>
        <v>0</v>
      </c>
      <c r="J513" s="148" t="b">
        <f t="shared" ref="J513:J576" si="17">IF(I513="1020",IF(G513&gt;=$E$3,IF(G513&lt;=$G$3,L513,0)))</f>
        <v>0</v>
      </c>
      <c r="K513" s="169"/>
      <c r="L513" s="169">
        <f>'Jrnl Exp ~ Dép'!$G16</f>
        <v>0</v>
      </c>
      <c r="M513" s="151">
        <f>'Jrnl Exp ~ Dép'!E16</f>
        <v>0</v>
      </c>
      <c r="N513" s="167">
        <f>'Jrnl Exp ~ Dép'!$H16</f>
        <v>0</v>
      </c>
    </row>
    <row r="514" spans="2:14" s="1" customFormat="1" ht="30" hidden="1" customHeight="1" x14ac:dyDescent="0.15">
      <c r="B514" s="146">
        <f>IF(AND('Jrnl Exp ~ Dép'!$G17&lt;&gt;"",'Jrnl Exp ~ Dép'!$C17&lt;&gt;""),1,0)</f>
        <v>0</v>
      </c>
      <c r="C514" s="146">
        <f>'Jrnl Exp ~ Dép'!$C17</f>
        <v>0</v>
      </c>
      <c r="D514" s="168">
        <f>'Jrnl Exp ~ Dép'!$D17</f>
        <v>0</v>
      </c>
      <c r="E514" s="1510">
        <f>'Jrnl Exp ~ Dép'!$F17</f>
        <v>0</v>
      </c>
      <c r="F514" s="1510"/>
      <c r="G514" s="951" t="str">
        <f>IF('Jrnl Exp ~ Dép'!$E17="","",'Jrnl Exp ~ Dép'!$E17)</f>
        <v/>
      </c>
      <c r="H514" s="147">
        <f>'Jrnl Exp ~ Dép'!H17</f>
        <v>0</v>
      </c>
      <c r="I514" s="147" t="str">
        <f t="shared" si="16"/>
        <v>0</v>
      </c>
      <c r="J514" s="148" t="b">
        <f t="shared" si="17"/>
        <v>0</v>
      </c>
      <c r="K514" s="169"/>
      <c r="L514" s="169">
        <f>'Jrnl Exp ~ Dép'!$G17</f>
        <v>0</v>
      </c>
      <c r="M514" s="151"/>
      <c r="N514" s="167"/>
    </row>
    <row r="515" spans="2:14" s="1" customFormat="1" ht="30" hidden="1" customHeight="1" x14ac:dyDescent="0.15">
      <c r="B515" s="146">
        <f>IF(AND('Jrnl Exp ~ Dép'!$G18&lt;&gt;"",'Jrnl Exp ~ Dép'!$C18&lt;&gt;""),1,0)</f>
        <v>0</v>
      </c>
      <c r="C515" s="146">
        <f>'Jrnl Exp ~ Dép'!$C18</f>
        <v>0</v>
      </c>
      <c r="D515" s="168">
        <f>'Jrnl Exp ~ Dép'!$D18</f>
        <v>0</v>
      </c>
      <c r="E515" s="1510">
        <f>'Jrnl Exp ~ Dép'!$F18</f>
        <v>0</v>
      </c>
      <c r="F515" s="1510"/>
      <c r="G515" s="951" t="str">
        <f>IF('Jrnl Exp ~ Dép'!$E18="","",'Jrnl Exp ~ Dép'!$E18)</f>
        <v/>
      </c>
      <c r="H515" s="147">
        <f>'Jrnl Exp ~ Dép'!H18</f>
        <v>0</v>
      </c>
      <c r="I515" s="147" t="str">
        <f t="shared" si="16"/>
        <v>0</v>
      </c>
      <c r="J515" s="148" t="b">
        <f t="shared" si="17"/>
        <v>0</v>
      </c>
      <c r="K515" s="169"/>
      <c r="L515" s="169">
        <f>'Jrnl Exp ~ Dép'!$G18</f>
        <v>0</v>
      </c>
      <c r="M515" s="151"/>
      <c r="N515" s="167"/>
    </row>
    <row r="516" spans="2:14" s="1" customFormat="1" ht="30" hidden="1" customHeight="1" x14ac:dyDescent="0.15">
      <c r="B516" s="146">
        <f>IF(AND('Jrnl Exp ~ Dép'!$G19&lt;&gt;"",'Jrnl Exp ~ Dép'!$C19&lt;&gt;""),1,0)</f>
        <v>0</v>
      </c>
      <c r="C516" s="146">
        <f>'Jrnl Exp ~ Dép'!$C19</f>
        <v>0</v>
      </c>
      <c r="D516" s="168">
        <f>'Jrnl Exp ~ Dép'!$D19</f>
        <v>0</v>
      </c>
      <c r="E516" s="1510">
        <f>'Jrnl Exp ~ Dép'!$F19</f>
        <v>0</v>
      </c>
      <c r="F516" s="1510"/>
      <c r="G516" s="951" t="str">
        <f>IF('Jrnl Exp ~ Dép'!$E19="","",'Jrnl Exp ~ Dép'!$E19)</f>
        <v/>
      </c>
      <c r="H516" s="147">
        <f>'Jrnl Exp ~ Dép'!H19</f>
        <v>0</v>
      </c>
      <c r="I516" s="147" t="str">
        <f t="shared" si="16"/>
        <v>0</v>
      </c>
      <c r="J516" s="148" t="b">
        <f t="shared" si="17"/>
        <v>0</v>
      </c>
      <c r="K516" s="169"/>
      <c r="L516" s="169">
        <f>'Jrnl Exp ~ Dép'!$G19</f>
        <v>0</v>
      </c>
      <c r="M516" s="151"/>
      <c r="N516" s="167"/>
    </row>
    <row r="517" spans="2:14" s="1" customFormat="1" ht="30" hidden="1" customHeight="1" x14ac:dyDescent="0.15">
      <c r="B517" s="146">
        <f>IF(AND('Jrnl Exp ~ Dép'!$G20&lt;&gt;"",'Jrnl Exp ~ Dép'!$C20&lt;&gt;""),1,0)</f>
        <v>0</v>
      </c>
      <c r="C517" s="146">
        <f>'Jrnl Exp ~ Dép'!$C20</f>
        <v>0</v>
      </c>
      <c r="D517" s="168">
        <f>'Jrnl Exp ~ Dép'!$D20</f>
        <v>0</v>
      </c>
      <c r="E517" s="1510">
        <f>'Jrnl Exp ~ Dép'!$F20</f>
        <v>0</v>
      </c>
      <c r="F517" s="1510"/>
      <c r="G517" s="951" t="str">
        <f>IF('Jrnl Exp ~ Dép'!$E20="","",'Jrnl Exp ~ Dép'!$E20)</f>
        <v/>
      </c>
      <c r="H517" s="147">
        <f>'Jrnl Exp ~ Dép'!H20</f>
        <v>0</v>
      </c>
      <c r="I517" s="147" t="str">
        <f t="shared" si="16"/>
        <v>0</v>
      </c>
      <c r="J517" s="148" t="b">
        <f t="shared" si="17"/>
        <v>0</v>
      </c>
      <c r="K517" s="169"/>
      <c r="L517" s="169">
        <f>'Jrnl Exp ~ Dép'!$G20</f>
        <v>0</v>
      </c>
      <c r="M517" s="151"/>
      <c r="N517" s="167"/>
    </row>
    <row r="518" spans="2:14" s="1" customFormat="1" ht="30" hidden="1" customHeight="1" x14ac:dyDescent="0.15">
      <c r="B518" s="146">
        <f>IF(AND('Jrnl Exp ~ Dép'!$G21&lt;&gt;"",'Jrnl Exp ~ Dép'!$C21&lt;&gt;""),1,0)</f>
        <v>0</v>
      </c>
      <c r="C518" s="146">
        <f>'Jrnl Exp ~ Dép'!$C21</f>
        <v>0</v>
      </c>
      <c r="D518" s="168">
        <f>'Jrnl Exp ~ Dép'!$D21</f>
        <v>0</v>
      </c>
      <c r="E518" s="1510">
        <f>'Jrnl Exp ~ Dép'!$F21</f>
        <v>0</v>
      </c>
      <c r="F518" s="1510"/>
      <c r="G518" s="951" t="str">
        <f>IF('Jrnl Exp ~ Dép'!$E21="","",'Jrnl Exp ~ Dép'!$E21)</f>
        <v/>
      </c>
      <c r="H518" s="147">
        <f>'Jrnl Exp ~ Dép'!H21</f>
        <v>0</v>
      </c>
      <c r="I518" s="147" t="str">
        <f t="shared" si="16"/>
        <v>0</v>
      </c>
      <c r="J518" s="148" t="b">
        <f t="shared" si="17"/>
        <v>0</v>
      </c>
      <c r="K518" s="169"/>
      <c r="L518" s="169">
        <f>'Jrnl Exp ~ Dép'!$G21</f>
        <v>0</v>
      </c>
      <c r="M518" s="151"/>
      <c r="N518" s="167"/>
    </row>
    <row r="519" spans="2:14" s="1" customFormat="1" ht="30" hidden="1" customHeight="1" x14ac:dyDescent="0.15">
      <c r="B519" s="146">
        <f>IF(AND('Jrnl Exp ~ Dép'!$G22&lt;&gt;"",'Jrnl Exp ~ Dép'!$C22&lt;&gt;""),1,0)</f>
        <v>0</v>
      </c>
      <c r="C519" s="146">
        <f>'Jrnl Exp ~ Dép'!$C22</f>
        <v>0</v>
      </c>
      <c r="D519" s="168">
        <f>'Jrnl Exp ~ Dép'!$D22</f>
        <v>0</v>
      </c>
      <c r="E519" s="1510">
        <f>'Jrnl Exp ~ Dép'!$F22</f>
        <v>0</v>
      </c>
      <c r="F519" s="1510"/>
      <c r="G519" s="951" t="str">
        <f>IF('Jrnl Exp ~ Dép'!$E22="","",'Jrnl Exp ~ Dép'!$E22)</f>
        <v/>
      </c>
      <c r="H519" s="147">
        <f>'Jrnl Exp ~ Dép'!H22</f>
        <v>0</v>
      </c>
      <c r="I519" s="147" t="str">
        <f t="shared" si="16"/>
        <v>0</v>
      </c>
      <c r="J519" s="148" t="b">
        <f t="shared" si="17"/>
        <v>0</v>
      </c>
      <c r="K519" s="169"/>
      <c r="L519" s="169">
        <f>'Jrnl Exp ~ Dép'!$G22</f>
        <v>0</v>
      </c>
      <c r="M519" s="151"/>
      <c r="N519" s="167"/>
    </row>
    <row r="520" spans="2:14" s="1" customFormat="1" ht="30" hidden="1" customHeight="1" x14ac:dyDescent="0.15">
      <c r="B520" s="146">
        <f>IF(AND('Jrnl Exp ~ Dép'!$G23&lt;&gt;"",'Jrnl Exp ~ Dép'!$C23&lt;&gt;""),1,0)</f>
        <v>0</v>
      </c>
      <c r="C520" s="146">
        <f>'Jrnl Exp ~ Dép'!$C23</f>
        <v>0</v>
      </c>
      <c r="D520" s="168">
        <f>'Jrnl Exp ~ Dép'!$D23</f>
        <v>0</v>
      </c>
      <c r="E520" s="1510">
        <f>'Jrnl Exp ~ Dép'!$F23</f>
        <v>0</v>
      </c>
      <c r="F520" s="1510"/>
      <c r="G520" s="951" t="str">
        <f>IF('Jrnl Exp ~ Dép'!$E23="","",'Jrnl Exp ~ Dép'!$E23)</f>
        <v/>
      </c>
      <c r="H520" s="147">
        <f>'Jrnl Exp ~ Dép'!H23</f>
        <v>0</v>
      </c>
      <c r="I520" s="147" t="str">
        <f t="shared" si="16"/>
        <v>0</v>
      </c>
      <c r="J520" s="148" t="b">
        <f t="shared" si="17"/>
        <v>0</v>
      </c>
      <c r="K520" s="169"/>
      <c r="L520" s="169">
        <f>'Jrnl Exp ~ Dép'!$G23</f>
        <v>0</v>
      </c>
      <c r="M520" s="151"/>
      <c r="N520" s="167"/>
    </row>
    <row r="521" spans="2:14" s="1" customFormat="1" ht="30" hidden="1" customHeight="1" x14ac:dyDescent="0.15">
      <c r="B521" s="146">
        <f>IF(AND('Jrnl Exp ~ Dép'!$G24&lt;&gt;"",'Jrnl Exp ~ Dép'!$C24&lt;&gt;""),1,0)</f>
        <v>0</v>
      </c>
      <c r="C521" s="146">
        <f>'Jrnl Exp ~ Dép'!$C24</f>
        <v>0</v>
      </c>
      <c r="D521" s="168">
        <f>'Jrnl Exp ~ Dép'!$D24</f>
        <v>0</v>
      </c>
      <c r="E521" s="1510">
        <f>'Jrnl Exp ~ Dép'!$F24</f>
        <v>0</v>
      </c>
      <c r="F521" s="1510"/>
      <c r="G521" s="951" t="str">
        <f>IF('Jrnl Exp ~ Dép'!$E24="","",'Jrnl Exp ~ Dép'!$E24)</f>
        <v/>
      </c>
      <c r="H521" s="147">
        <f>'Jrnl Exp ~ Dép'!H24</f>
        <v>0</v>
      </c>
      <c r="I521" s="147" t="str">
        <f t="shared" si="16"/>
        <v>0</v>
      </c>
      <c r="J521" s="148" t="b">
        <f t="shared" si="17"/>
        <v>0</v>
      </c>
      <c r="K521" s="169"/>
      <c r="L521" s="169">
        <f>'Jrnl Exp ~ Dép'!$G24</f>
        <v>0</v>
      </c>
      <c r="M521" s="151"/>
      <c r="N521" s="167"/>
    </row>
    <row r="522" spans="2:14" s="1" customFormat="1" ht="30" hidden="1" customHeight="1" x14ac:dyDescent="0.15">
      <c r="B522" s="146">
        <f>IF(AND('Jrnl Exp ~ Dép'!$G25&lt;&gt;"",'Jrnl Exp ~ Dép'!$C25&lt;&gt;""),1,0)</f>
        <v>0</v>
      </c>
      <c r="C522" s="146">
        <f>'Jrnl Exp ~ Dép'!$C25</f>
        <v>0</v>
      </c>
      <c r="D522" s="168">
        <f>'Jrnl Exp ~ Dép'!$D25</f>
        <v>0</v>
      </c>
      <c r="E522" s="1510">
        <f>'Jrnl Exp ~ Dép'!$F25</f>
        <v>0</v>
      </c>
      <c r="F522" s="1510"/>
      <c r="G522" s="951" t="str">
        <f>IF('Jrnl Exp ~ Dép'!$E25="","",'Jrnl Exp ~ Dép'!$E25)</f>
        <v/>
      </c>
      <c r="H522" s="147">
        <f>'Jrnl Exp ~ Dép'!H25</f>
        <v>0</v>
      </c>
      <c r="I522" s="147" t="str">
        <f t="shared" si="16"/>
        <v>0</v>
      </c>
      <c r="J522" s="148" t="b">
        <f t="shared" si="17"/>
        <v>0</v>
      </c>
      <c r="K522" s="169"/>
      <c r="L522" s="169">
        <f>'Jrnl Exp ~ Dép'!$G25</f>
        <v>0</v>
      </c>
      <c r="M522" s="151"/>
      <c r="N522" s="167"/>
    </row>
    <row r="523" spans="2:14" s="1" customFormat="1" ht="30" hidden="1" customHeight="1" x14ac:dyDescent="0.15">
      <c r="B523" s="146">
        <f>IF(AND('Jrnl Exp ~ Dép'!$G26&lt;&gt;"",'Jrnl Exp ~ Dép'!$C26&lt;&gt;""),1,0)</f>
        <v>0</v>
      </c>
      <c r="C523" s="146">
        <f>'Jrnl Exp ~ Dép'!$C26</f>
        <v>0</v>
      </c>
      <c r="D523" s="168">
        <f>'Jrnl Exp ~ Dép'!$D26</f>
        <v>0</v>
      </c>
      <c r="E523" s="1510">
        <f>'Jrnl Exp ~ Dép'!$F26</f>
        <v>0</v>
      </c>
      <c r="F523" s="1510"/>
      <c r="G523" s="951" t="str">
        <f>IF('Jrnl Exp ~ Dép'!$E26="","",'Jrnl Exp ~ Dép'!$E26)</f>
        <v/>
      </c>
      <c r="H523" s="147">
        <f>'Jrnl Exp ~ Dép'!H26</f>
        <v>0</v>
      </c>
      <c r="I523" s="147" t="str">
        <f t="shared" si="16"/>
        <v>0</v>
      </c>
      <c r="J523" s="148" t="b">
        <f t="shared" si="17"/>
        <v>0</v>
      </c>
      <c r="K523" s="169"/>
      <c r="L523" s="169">
        <f>'Jrnl Exp ~ Dép'!$G26</f>
        <v>0</v>
      </c>
      <c r="M523" s="151"/>
      <c r="N523" s="167"/>
    </row>
    <row r="524" spans="2:14" s="1" customFormat="1" ht="30" hidden="1" customHeight="1" x14ac:dyDescent="0.15">
      <c r="B524" s="146">
        <f>IF(AND('Jrnl Exp ~ Dép'!$G27&lt;&gt;"",'Jrnl Exp ~ Dép'!$C27&lt;&gt;""),1,0)</f>
        <v>0</v>
      </c>
      <c r="C524" s="146">
        <f>'Jrnl Exp ~ Dép'!$C27</f>
        <v>0</v>
      </c>
      <c r="D524" s="168">
        <f>'Jrnl Exp ~ Dép'!$D27</f>
        <v>0</v>
      </c>
      <c r="E524" s="1510">
        <f>'Jrnl Exp ~ Dép'!$F27</f>
        <v>0</v>
      </c>
      <c r="F524" s="1510"/>
      <c r="G524" s="951" t="str">
        <f>IF('Jrnl Exp ~ Dép'!$E27="","",'Jrnl Exp ~ Dép'!$E27)</f>
        <v/>
      </c>
      <c r="H524" s="147">
        <f>'Jrnl Exp ~ Dép'!H27</f>
        <v>0</v>
      </c>
      <c r="I524" s="147" t="str">
        <f t="shared" si="16"/>
        <v>0</v>
      </c>
      <c r="J524" s="148" t="b">
        <f t="shared" si="17"/>
        <v>0</v>
      </c>
      <c r="K524" s="169"/>
      <c r="L524" s="169">
        <f>'Jrnl Exp ~ Dép'!$G27</f>
        <v>0</v>
      </c>
      <c r="M524" s="151"/>
      <c r="N524" s="167"/>
    </row>
    <row r="525" spans="2:14" s="1" customFormat="1" ht="30" hidden="1" customHeight="1" x14ac:dyDescent="0.15">
      <c r="B525" s="146">
        <f>IF(AND('Jrnl Exp ~ Dép'!$G28&lt;&gt;"",'Jrnl Exp ~ Dép'!$C28&lt;&gt;""),1,0)</f>
        <v>0</v>
      </c>
      <c r="C525" s="146">
        <f>'Jrnl Exp ~ Dép'!$C28</f>
        <v>0</v>
      </c>
      <c r="D525" s="168">
        <f>'Jrnl Exp ~ Dép'!$D28</f>
        <v>0</v>
      </c>
      <c r="E525" s="1510">
        <f>'Jrnl Exp ~ Dép'!$F28</f>
        <v>0</v>
      </c>
      <c r="F525" s="1510"/>
      <c r="G525" s="951" t="str">
        <f>IF('Jrnl Exp ~ Dép'!$E28="","",'Jrnl Exp ~ Dép'!$E28)</f>
        <v/>
      </c>
      <c r="H525" s="147">
        <f>'Jrnl Exp ~ Dép'!H28</f>
        <v>0</v>
      </c>
      <c r="I525" s="147" t="str">
        <f t="shared" si="16"/>
        <v>0</v>
      </c>
      <c r="J525" s="148" t="b">
        <f t="shared" si="17"/>
        <v>0</v>
      </c>
      <c r="K525" s="169"/>
      <c r="L525" s="169">
        <f>'Jrnl Exp ~ Dép'!$G28</f>
        <v>0</v>
      </c>
      <c r="M525" s="151"/>
      <c r="N525" s="167"/>
    </row>
    <row r="526" spans="2:14" s="1" customFormat="1" ht="30" hidden="1" customHeight="1" x14ac:dyDescent="0.15">
      <c r="B526" s="146">
        <f>IF(AND('Jrnl Exp ~ Dép'!$G29&lt;&gt;"",'Jrnl Exp ~ Dép'!$C29&lt;&gt;""),1,0)</f>
        <v>0</v>
      </c>
      <c r="C526" s="146">
        <f>'Jrnl Exp ~ Dép'!$C29</f>
        <v>0</v>
      </c>
      <c r="D526" s="168">
        <f>'Jrnl Exp ~ Dép'!$D29</f>
        <v>0</v>
      </c>
      <c r="E526" s="1510">
        <f>'Jrnl Exp ~ Dép'!$F29</f>
        <v>0</v>
      </c>
      <c r="F526" s="1510"/>
      <c r="G526" s="951" t="str">
        <f>IF('Jrnl Exp ~ Dép'!$E29="","",'Jrnl Exp ~ Dép'!$E29)</f>
        <v/>
      </c>
      <c r="H526" s="147">
        <f>'Jrnl Exp ~ Dép'!H29</f>
        <v>0</v>
      </c>
      <c r="I526" s="147" t="str">
        <f t="shared" si="16"/>
        <v>0</v>
      </c>
      <c r="J526" s="148" t="b">
        <f t="shared" si="17"/>
        <v>0</v>
      </c>
      <c r="K526" s="169"/>
      <c r="L526" s="169">
        <f>'Jrnl Exp ~ Dép'!$G29</f>
        <v>0</v>
      </c>
      <c r="M526" s="151"/>
      <c r="N526" s="167"/>
    </row>
    <row r="527" spans="2:14" s="1" customFormat="1" ht="30" hidden="1" customHeight="1" x14ac:dyDescent="0.15">
      <c r="B527" s="146">
        <f>IF(AND('Jrnl Exp ~ Dép'!$G30&lt;&gt;"",'Jrnl Exp ~ Dép'!$C30&lt;&gt;""),1,0)</f>
        <v>0</v>
      </c>
      <c r="C527" s="146">
        <f>'Jrnl Exp ~ Dép'!$C30</f>
        <v>0</v>
      </c>
      <c r="D527" s="168">
        <f>'Jrnl Exp ~ Dép'!$D30</f>
        <v>0</v>
      </c>
      <c r="E527" s="1510">
        <f>'Jrnl Exp ~ Dép'!$F30</f>
        <v>0</v>
      </c>
      <c r="F527" s="1510"/>
      <c r="G527" s="951" t="str">
        <f>IF('Jrnl Exp ~ Dép'!$E30="","",'Jrnl Exp ~ Dép'!$E30)</f>
        <v/>
      </c>
      <c r="H527" s="147">
        <f>'Jrnl Exp ~ Dép'!H30</f>
        <v>0</v>
      </c>
      <c r="I527" s="147" t="str">
        <f t="shared" si="16"/>
        <v>0</v>
      </c>
      <c r="J527" s="148" t="b">
        <f t="shared" si="17"/>
        <v>0</v>
      </c>
      <c r="K527" s="169"/>
      <c r="L527" s="169">
        <f>'Jrnl Exp ~ Dép'!$G30</f>
        <v>0</v>
      </c>
      <c r="M527" s="151"/>
      <c r="N527" s="167"/>
    </row>
    <row r="528" spans="2:14" s="1" customFormat="1" ht="30" hidden="1" customHeight="1" x14ac:dyDescent="0.15">
      <c r="B528" s="146">
        <f>IF(AND('Jrnl Exp ~ Dép'!$G31&lt;&gt;"",'Jrnl Exp ~ Dép'!$C31&lt;&gt;""),1,0)</f>
        <v>0</v>
      </c>
      <c r="C528" s="146">
        <f>'Jrnl Exp ~ Dép'!$C31</f>
        <v>0</v>
      </c>
      <c r="D528" s="168">
        <f>'Jrnl Exp ~ Dép'!$D31</f>
        <v>0</v>
      </c>
      <c r="E528" s="1510">
        <f>'Jrnl Exp ~ Dép'!$F31</f>
        <v>0</v>
      </c>
      <c r="F528" s="1510"/>
      <c r="G528" s="951" t="str">
        <f>IF('Jrnl Exp ~ Dép'!$E31="","",'Jrnl Exp ~ Dép'!$E31)</f>
        <v/>
      </c>
      <c r="H528" s="147">
        <f>'Jrnl Exp ~ Dép'!H31</f>
        <v>0</v>
      </c>
      <c r="I528" s="147" t="str">
        <f t="shared" si="16"/>
        <v>0</v>
      </c>
      <c r="J528" s="148" t="b">
        <f t="shared" si="17"/>
        <v>0</v>
      </c>
      <c r="K528" s="169"/>
      <c r="L528" s="169">
        <f>'Jrnl Exp ~ Dép'!$G31</f>
        <v>0</v>
      </c>
      <c r="M528" s="151"/>
      <c r="N528" s="167"/>
    </row>
    <row r="529" spans="2:14" s="1" customFormat="1" ht="30" hidden="1" customHeight="1" x14ac:dyDescent="0.15">
      <c r="B529" s="146">
        <f>IF(AND('Jrnl Exp ~ Dép'!$G32&lt;&gt;"",'Jrnl Exp ~ Dép'!$C32&lt;&gt;""),1,0)</f>
        <v>0</v>
      </c>
      <c r="C529" s="146">
        <f>'Jrnl Exp ~ Dép'!$C32</f>
        <v>0</v>
      </c>
      <c r="D529" s="168">
        <f>'Jrnl Exp ~ Dép'!$D32</f>
        <v>0</v>
      </c>
      <c r="E529" s="1510">
        <f>'Jrnl Exp ~ Dép'!$F32</f>
        <v>0</v>
      </c>
      <c r="F529" s="1510"/>
      <c r="G529" s="951" t="str">
        <f>IF('Jrnl Exp ~ Dép'!$E32="","",'Jrnl Exp ~ Dép'!$E32)</f>
        <v/>
      </c>
      <c r="H529" s="147">
        <f>'Jrnl Exp ~ Dép'!H32</f>
        <v>0</v>
      </c>
      <c r="I529" s="147" t="str">
        <f t="shared" si="16"/>
        <v>0</v>
      </c>
      <c r="J529" s="148" t="b">
        <f t="shared" si="17"/>
        <v>0</v>
      </c>
      <c r="K529" s="169"/>
      <c r="L529" s="169">
        <f>'Jrnl Exp ~ Dép'!$G32</f>
        <v>0</v>
      </c>
      <c r="M529" s="151"/>
      <c r="N529" s="167"/>
    </row>
    <row r="530" spans="2:14" s="1" customFormat="1" ht="30" hidden="1" customHeight="1" x14ac:dyDescent="0.15">
      <c r="B530" s="146">
        <f>IF(AND('Jrnl Exp ~ Dép'!$G33&lt;&gt;"",'Jrnl Exp ~ Dép'!$C33&lt;&gt;""),1,0)</f>
        <v>0</v>
      </c>
      <c r="C530" s="146">
        <f>'Jrnl Exp ~ Dép'!$C33</f>
        <v>0</v>
      </c>
      <c r="D530" s="168">
        <f>'Jrnl Exp ~ Dép'!$D33</f>
        <v>0</v>
      </c>
      <c r="E530" s="1510">
        <f>'Jrnl Exp ~ Dép'!$F33</f>
        <v>0</v>
      </c>
      <c r="F530" s="1510"/>
      <c r="G530" s="951" t="str">
        <f>IF('Jrnl Exp ~ Dép'!$E33="","",'Jrnl Exp ~ Dép'!$E33)</f>
        <v/>
      </c>
      <c r="H530" s="147">
        <f>'Jrnl Exp ~ Dép'!H33</f>
        <v>0</v>
      </c>
      <c r="I530" s="147" t="str">
        <f t="shared" si="16"/>
        <v>0</v>
      </c>
      <c r="J530" s="148" t="b">
        <f t="shared" si="17"/>
        <v>0</v>
      </c>
      <c r="K530" s="169"/>
      <c r="L530" s="169">
        <f>'Jrnl Exp ~ Dép'!$G33</f>
        <v>0</v>
      </c>
      <c r="M530" s="151"/>
      <c r="N530" s="167"/>
    </row>
    <row r="531" spans="2:14" s="1" customFormat="1" ht="30" hidden="1" customHeight="1" x14ac:dyDescent="0.15">
      <c r="B531" s="146">
        <f>IF(AND('Jrnl Exp ~ Dép'!$G34&lt;&gt;"",'Jrnl Exp ~ Dép'!$C34&lt;&gt;""),1,0)</f>
        <v>0</v>
      </c>
      <c r="C531" s="146">
        <f>'Jrnl Exp ~ Dép'!$C34</f>
        <v>0</v>
      </c>
      <c r="D531" s="168">
        <f>'Jrnl Exp ~ Dép'!$D34</f>
        <v>0</v>
      </c>
      <c r="E531" s="1510">
        <f>'Jrnl Exp ~ Dép'!$F34</f>
        <v>0</v>
      </c>
      <c r="F531" s="1510"/>
      <c r="G531" s="951" t="str">
        <f>IF('Jrnl Exp ~ Dép'!$E34="","",'Jrnl Exp ~ Dép'!$E34)</f>
        <v/>
      </c>
      <c r="H531" s="147">
        <f>'Jrnl Exp ~ Dép'!H34</f>
        <v>0</v>
      </c>
      <c r="I531" s="147" t="str">
        <f t="shared" si="16"/>
        <v>0</v>
      </c>
      <c r="J531" s="148" t="b">
        <f t="shared" si="17"/>
        <v>0</v>
      </c>
      <c r="K531" s="169"/>
      <c r="L531" s="169">
        <f>'Jrnl Exp ~ Dép'!$G34</f>
        <v>0</v>
      </c>
      <c r="M531" s="151"/>
      <c r="N531" s="167"/>
    </row>
    <row r="532" spans="2:14" s="1" customFormat="1" ht="30" hidden="1" customHeight="1" x14ac:dyDescent="0.15">
      <c r="B532" s="146">
        <f>IF(AND('Jrnl Exp ~ Dép'!$G35&lt;&gt;"",'Jrnl Exp ~ Dép'!$C35&lt;&gt;""),1,0)</f>
        <v>0</v>
      </c>
      <c r="C532" s="146">
        <f>'Jrnl Exp ~ Dép'!$C35</f>
        <v>0</v>
      </c>
      <c r="D532" s="168">
        <f>'Jrnl Exp ~ Dép'!$D35</f>
        <v>0</v>
      </c>
      <c r="E532" s="1510">
        <f>'Jrnl Exp ~ Dép'!$F35</f>
        <v>0</v>
      </c>
      <c r="F532" s="1510"/>
      <c r="G532" s="951" t="str">
        <f>IF('Jrnl Exp ~ Dép'!$E35="","",'Jrnl Exp ~ Dép'!$E35)</f>
        <v/>
      </c>
      <c r="H532" s="147">
        <f>'Jrnl Exp ~ Dép'!H35</f>
        <v>0</v>
      </c>
      <c r="I532" s="147" t="str">
        <f t="shared" si="16"/>
        <v>0</v>
      </c>
      <c r="J532" s="148" t="b">
        <f t="shared" si="17"/>
        <v>0</v>
      </c>
      <c r="K532" s="169"/>
      <c r="L532" s="169">
        <f>'Jrnl Exp ~ Dép'!$G35</f>
        <v>0</v>
      </c>
      <c r="M532" s="151"/>
      <c r="N532" s="167"/>
    </row>
    <row r="533" spans="2:14" s="1" customFormat="1" ht="30" hidden="1" customHeight="1" x14ac:dyDescent="0.15">
      <c r="B533" s="146">
        <f>IF(AND('Jrnl Exp ~ Dép'!$G36&lt;&gt;"",'Jrnl Exp ~ Dép'!$C36&lt;&gt;""),1,0)</f>
        <v>0</v>
      </c>
      <c r="C533" s="146">
        <f>'Jrnl Exp ~ Dép'!$C36</f>
        <v>0</v>
      </c>
      <c r="D533" s="168">
        <f>'Jrnl Exp ~ Dép'!$D36</f>
        <v>0</v>
      </c>
      <c r="E533" s="1510">
        <f>'Jrnl Exp ~ Dép'!$F36</f>
        <v>0</v>
      </c>
      <c r="F533" s="1510"/>
      <c r="G533" s="951" t="str">
        <f>IF('Jrnl Exp ~ Dép'!$E36="","",'Jrnl Exp ~ Dép'!$E36)</f>
        <v/>
      </c>
      <c r="H533" s="147">
        <f>'Jrnl Exp ~ Dép'!H36</f>
        <v>0</v>
      </c>
      <c r="I533" s="147" t="str">
        <f t="shared" si="16"/>
        <v>0</v>
      </c>
      <c r="J533" s="148" t="b">
        <f t="shared" si="17"/>
        <v>0</v>
      </c>
      <c r="K533" s="169"/>
      <c r="L533" s="169">
        <f>'Jrnl Exp ~ Dép'!$G36</f>
        <v>0</v>
      </c>
      <c r="M533" s="151"/>
      <c r="N533" s="167"/>
    </row>
    <row r="534" spans="2:14" s="1" customFormat="1" ht="30" hidden="1" customHeight="1" x14ac:dyDescent="0.15">
      <c r="B534" s="146">
        <f>IF(AND('Jrnl Exp ~ Dép'!$G37&lt;&gt;"",'Jrnl Exp ~ Dép'!$C37&lt;&gt;""),1,0)</f>
        <v>0</v>
      </c>
      <c r="C534" s="146">
        <f>'Jrnl Exp ~ Dép'!$C37</f>
        <v>0</v>
      </c>
      <c r="D534" s="168">
        <f>'Jrnl Exp ~ Dép'!$D37</f>
        <v>0</v>
      </c>
      <c r="E534" s="1510">
        <f>'Jrnl Exp ~ Dép'!$F37</f>
        <v>0</v>
      </c>
      <c r="F534" s="1510"/>
      <c r="G534" s="951" t="str">
        <f>IF('Jrnl Exp ~ Dép'!$E37="","",'Jrnl Exp ~ Dép'!$E37)</f>
        <v/>
      </c>
      <c r="H534" s="147">
        <f>'Jrnl Exp ~ Dép'!H37</f>
        <v>0</v>
      </c>
      <c r="I534" s="147" t="str">
        <f t="shared" si="16"/>
        <v>0</v>
      </c>
      <c r="J534" s="148" t="b">
        <f t="shared" si="17"/>
        <v>0</v>
      </c>
      <c r="K534" s="169"/>
      <c r="L534" s="169">
        <f>'Jrnl Exp ~ Dép'!$G37</f>
        <v>0</v>
      </c>
      <c r="M534" s="151"/>
      <c r="N534" s="167"/>
    </row>
    <row r="535" spans="2:14" s="1" customFormat="1" ht="30" hidden="1" customHeight="1" x14ac:dyDescent="0.15">
      <c r="B535" s="146">
        <f>IF(AND('Jrnl Exp ~ Dép'!$G38&lt;&gt;"",'Jrnl Exp ~ Dép'!$C38&lt;&gt;""),1,0)</f>
        <v>0</v>
      </c>
      <c r="C535" s="146">
        <f>'Jrnl Exp ~ Dép'!$C38</f>
        <v>0</v>
      </c>
      <c r="D535" s="168">
        <f>'Jrnl Exp ~ Dép'!$D38</f>
        <v>0</v>
      </c>
      <c r="E535" s="1510">
        <f>'Jrnl Exp ~ Dép'!$F38</f>
        <v>0</v>
      </c>
      <c r="F535" s="1510"/>
      <c r="G535" s="951" t="str">
        <f>IF('Jrnl Exp ~ Dép'!$E38="","",'Jrnl Exp ~ Dép'!$E38)</f>
        <v/>
      </c>
      <c r="H535" s="147">
        <f>'Jrnl Exp ~ Dép'!H38</f>
        <v>0</v>
      </c>
      <c r="I535" s="147" t="str">
        <f t="shared" si="16"/>
        <v>0</v>
      </c>
      <c r="J535" s="148" t="b">
        <f t="shared" si="17"/>
        <v>0</v>
      </c>
      <c r="K535" s="169"/>
      <c r="L535" s="169">
        <f>'Jrnl Exp ~ Dép'!$G38</f>
        <v>0</v>
      </c>
      <c r="M535" s="151"/>
      <c r="N535" s="167"/>
    </row>
    <row r="536" spans="2:14" s="1" customFormat="1" ht="30" hidden="1" customHeight="1" x14ac:dyDescent="0.15">
      <c r="B536" s="146">
        <f>IF(AND('Jrnl Exp ~ Dép'!$G39&lt;&gt;"",'Jrnl Exp ~ Dép'!$C39&lt;&gt;""),1,0)</f>
        <v>0</v>
      </c>
      <c r="C536" s="146">
        <f>'Jrnl Exp ~ Dép'!$C39</f>
        <v>0</v>
      </c>
      <c r="D536" s="168">
        <f>'Jrnl Exp ~ Dép'!$D39</f>
        <v>0</v>
      </c>
      <c r="E536" s="1510">
        <f>'Jrnl Exp ~ Dép'!$F39</f>
        <v>0</v>
      </c>
      <c r="F536" s="1510"/>
      <c r="G536" s="951" t="str">
        <f>IF('Jrnl Exp ~ Dép'!$E39="","",'Jrnl Exp ~ Dép'!$E39)</f>
        <v/>
      </c>
      <c r="H536" s="147">
        <f>'Jrnl Exp ~ Dép'!H39</f>
        <v>0</v>
      </c>
      <c r="I536" s="147" t="str">
        <f t="shared" si="16"/>
        <v>0</v>
      </c>
      <c r="J536" s="148" t="b">
        <f t="shared" si="17"/>
        <v>0</v>
      </c>
      <c r="K536" s="169"/>
      <c r="L536" s="169">
        <f>'Jrnl Exp ~ Dép'!$G39</f>
        <v>0</v>
      </c>
      <c r="M536" s="151"/>
      <c r="N536" s="167"/>
    </row>
    <row r="537" spans="2:14" s="1" customFormat="1" ht="30" hidden="1" customHeight="1" x14ac:dyDescent="0.15">
      <c r="B537" s="146">
        <f>IF(AND('Jrnl Exp ~ Dép'!$G40&lt;&gt;"",'Jrnl Exp ~ Dép'!$C40&lt;&gt;""),1,0)</f>
        <v>0</v>
      </c>
      <c r="C537" s="146">
        <f>'Jrnl Exp ~ Dép'!$C40</f>
        <v>0</v>
      </c>
      <c r="D537" s="168">
        <f>'Jrnl Exp ~ Dép'!$D40</f>
        <v>0</v>
      </c>
      <c r="E537" s="1510">
        <f>'Jrnl Exp ~ Dép'!$F40</f>
        <v>0</v>
      </c>
      <c r="F537" s="1510"/>
      <c r="G537" s="951" t="str">
        <f>IF('Jrnl Exp ~ Dép'!$E40="","",'Jrnl Exp ~ Dép'!$E40)</f>
        <v/>
      </c>
      <c r="H537" s="147">
        <f>'Jrnl Exp ~ Dép'!H40</f>
        <v>0</v>
      </c>
      <c r="I537" s="147" t="str">
        <f t="shared" si="16"/>
        <v>0</v>
      </c>
      <c r="J537" s="148" t="b">
        <f t="shared" si="17"/>
        <v>0</v>
      </c>
      <c r="K537" s="169"/>
      <c r="L537" s="169">
        <f>'Jrnl Exp ~ Dép'!$G40</f>
        <v>0</v>
      </c>
      <c r="M537" s="151"/>
      <c r="N537" s="167"/>
    </row>
    <row r="538" spans="2:14" s="1" customFormat="1" ht="30" hidden="1" customHeight="1" x14ac:dyDescent="0.15">
      <c r="B538" s="146">
        <f>IF(AND('Jrnl Exp ~ Dép'!$G41&lt;&gt;"",'Jrnl Exp ~ Dép'!$C41&lt;&gt;""),1,0)</f>
        <v>0</v>
      </c>
      <c r="C538" s="146">
        <f>'Jrnl Exp ~ Dép'!$C41</f>
        <v>0</v>
      </c>
      <c r="D538" s="168">
        <f>'Jrnl Exp ~ Dép'!$D41</f>
        <v>0</v>
      </c>
      <c r="E538" s="1510">
        <f>'Jrnl Exp ~ Dép'!$F41</f>
        <v>0</v>
      </c>
      <c r="F538" s="1510"/>
      <c r="G538" s="951" t="str">
        <f>IF('Jrnl Exp ~ Dép'!$E41="","",'Jrnl Exp ~ Dép'!$E41)</f>
        <v/>
      </c>
      <c r="H538" s="147">
        <f>'Jrnl Exp ~ Dép'!H41</f>
        <v>0</v>
      </c>
      <c r="I538" s="147" t="str">
        <f t="shared" si="16"/>
        <v>0</v>
      </c>
      <c r="J538" s="148" t="b">
        <f t="shared" si="17"/>
        <v>0</v>
      </c>
      <c r="K538" s="169"/>
      <c r="L538" s="169">
        <f>'Jrnl Exp ~ Dép'!$G41</f>
        <v>0</v>
      </c>
      <c r="M538" s="151"/>
      <c r="N538" s="167"/>
    </row>
    <row r="539" spans="2:14" s="1" customFormat="1" ht="30" hidden="1" customHeight="1" x14ac:dyDescent="0.15">
      <c r="B539" s="146">
        <f>IF(AND('Jrnl Exp ~ Dép'!$G42&lt;&gt;"",'Jrnl Exp ~ Dép'!$C42&lt;&gt;""),1,0)</f>
        <v>0</v>
      </c>
      <c r="C539" s="146">
        <f>'Jrnl Exp ~ Dép'!$C42</f>
        <v>0</v>
      </c>
      <c r="D539" s="168">
        <f>'Jrnl Exp ~ Dép'!$D42</f>
        <v>0</v>
      </c>
      <c r="E539" s="1510">
        <f>'Jrnl Exp ~ Dép'!$F42</f>
        <v>0</v>
      </c>
      <c r="F539" s="1510"/>
      <c r="G539" s="951" t="str">
        <f>IF('Jrnl Exp ~ Dép'!$E42="","",'Jrnl Exp ~ Dép'!$E42)</f>
        <v/>
      </c>
      <c r="H539" s="147">
        <f>'Jrnl Exp ~ Dép'!H42</f>
        <v>0</v>
      </c>
      <c r="I539" s="147" t="str">
        <f t="shared" si="16"/>
        <v>0</v>
      </c>
      <c r="J539" s="148" t="b">
        <f t="shared" si="17"/>
        <v>0</v>
      </c>
      <c r="K539" s="169"/>
      <c r="L539" s="169">
        <f>'Jrnl Exp ~ Dép'!$G42</f>
        <v>0</v>
      </c>
      <c r="M539" s="151"/>
      <c r="N539" s="167"/>
    </row>
    <row r="540" spans="2:14" s="1" customFormat="1" ht="30" hidden="1" customHeight="1" x14ac:dyDescent="0.15">
      <c r="B540" s="146">
        <f>IF(AND('Jrnl Exp ~ Dép'!$G43&lt;&gt;"",'Jrnl Exp ~ Dép'!$C43&lt;&gt;""),1,0)</f>
        <v>0</v>
      </c>
      <c r="C540" s="146">
        <f>'Jrnl Exp ~ Dép'!$C43</f>
        <v>0</v>
      </c>
      <c r="D540" s="168">
        <f>'Jrnl Exp ~ Dép'!$D43</f>
        <v>0</v>
      </c>
      <c r="E540" s="1510">
        <f>'Jrnl Exp ~ Dép'!$F43</f>
        <v>0</v>
      </c>
      <c r="F540" s="1510"/>
      <c r="G540" s="951" t="str">
        <f>IF('Jrnl Exp ~ Dép'!$E43="","",'Jrnl Exp ~ Dép'!$E43)</f>
        <v/>
      </c>
      <c r="H540" s="147">
        <f>'Jrnl Exp ~ Dép'!H43</f>
        <v>0</v>
      </c>
      <c r="I540" s="147" t="str">
        <f t="shared" si="16"/>
        <v>0</v>
      </c>
      <c r="J540" s="148" t="b">
        <f t="shared" si="17"/>
        <v>0</v>
      </c>
      <c r="K540" s="169"/>
      <c r="L540" s="169">
        <f>'Jrnl Exp ~ Dép'!$G43</f>
        <v>0</v>
      </c>
      <c r="M540" s="151"/>
      <c r="N540" s="167"/>
    </row>
    <row r="541" spans="2:14" s="1" customFormat="1" ht="30" hidden="1" customHeight="1" x14ac:dyDescent="0.15">
      <c r="B541" s="146">
        <f>IF(AND('Jrnl Exp ~ Dép'!$G44&lt;&gt;"",'Jrnl Exp ~ Dép'!$C44&lt;&gt;""),1,0)</f>
        <v>0</v>
      </c>
      <c r="C541" s="146">
        <f>'Jrnl Exp ~ Dép'!$C44</f>
        <v>0</v>
      </c>
      <c r="D541" s="168">
        <f>'Jrnl Exp ~ Dép'!$D44</f>
        <v>0</v>
      </c>
      <c r="E541" s="1510">
        <f>'Jrnl Exp ~ Dép'!$F44</f>
        <v>0</v>
      </c>
      <c r="F541" s="1510"/>
      <c r="G541" s="951" t="str">
        <f>IF('Jrnl Exp ~ Dép'!$E44="","",'Jrnl Exp ~ Dép'!$E44)</f>
        <v/>
      </c>
      <c r="H541" s="147">
        <f>'Jrnl Exp ~ Dép'!H44</f>
        <v>0</v>
      </c>
      <c r="I541" s="147" t="str">
        <f t="shared" si="16"/>
        <v>0</v>
      </c>
      <c r="J541" s="148" t="b">
        <f t="shared" si="17"/>
        <v>0</v>
      </c>
      <c r="K541" s="169"/>
      <c r="L541" s="169">
        <f>'Jrnl Exp ~ Dép'!$G44</f>
        <v>0</v>
      </c>
      <c r="M541" s="151"/>
      <c r="N541" s="167"/>
    </row>
    <row r="542" spans="2:14" s="1" customFormat="1" ht="30" hidden="1" customHeight="1" x14ac:dyDescent="0.15">
      <c r="B542" s="146">
        <f>IF(AND('Jrnl Exp ~ Dép'!$G45&lt;&gt;"",'Jrnl Exp ~ Dép'!$C45&lt;&gt;""),1,0)</f>
        <v>0</v>
      </c>
      <c r="C542" s="146">
        <f>'Jrnl Exp ~ Dép'!$C45</f>
        <v>0</v>
      </c>
      <c r="D542" s="168">
        <f>'Jrnl Exp ~ Dép'!$D45</f>
        <v>0</v>
      </c>
      <c r="E542" s="1510">
        <f>'Jrnl Exp ~ Dép'!$F45</f>
        <v>0</v>
      </c>
      <c r="F542" s="1510"/>
      <c r="G542" s="951" t="str">
        <f>IF('Jrnl Exp ~ Dép'!$E45="","",'Jrnl Exp ~ Dép'!$E45)</f>
        <v/>
      </c>
      <c r="H542" s="147">
        <f>'Jrnl Exp ~ Dép'!H45</f>
        <v>0</v>
      </c>
      <c r="I542" s="147" t="str">
        <f t="shared" si="16"/>
        <v>0</v>
      </c>
      <c r="J542" s="148" t="b">
        <f t="shared" si="17"/>
        <v>0</v>
      </c>
      <c r="K542" s="169"/>
      <c r="L542" s="169">
        <f>'Jrnl Exp ~ Dép'!$G45</f>
        <v>0</v>
      </c>
      <c r="M542" s="151"/>
      <c r="N542" s="167"/>
    </row>
    <row r="543" spans="2:14" s="1" customFormat="1" ht="30" hidden="1" customHeight="1" x14ac:dyDescent="0.15">
      <c r="B543" s="146">
        <f>IF(AND('Jrnl Exp ~ Dép'!$G46&lt;&gt;"",'Jrnl Exp ~ Dép'!$C46&lt;&gt;""),1,0)</f>
        <v>0</v>
      </c>
      <c r="C543" s="146">
        <f>'Jrnl Exp ~ Dép'!$C46</f>
        <v>0</v>
      </c>
      <c r="D543" s="168">
        <f>'Jrnl Exp ~ Dép'!$D46</f>
        <v>0</v>
      </c>
      <c r="E543" s="1510">
        <f>'Jrnl Exp ~ Dép'!$F46</f>
        <v>0</v>
      </c>
      <c r="F543" s="1510"/>
      <c r="G543" s="951" t="str">
        <f>IF('Jrnl Exp ~ Dép'!$E46="","",'Jrnl Exp ~ Dép'!$E46)</f>
        <v/>
      </c>
      <c r="H543" s="147">
        <f>'Jrnl Exp ~ Dép'!H46</f>
        <v>0</v>
      </c>
      <c r="I543" s="147" t="str">
        <f t="shared" si="16"/>
        <v>0</v>
      </c>
      <c r="J543" s="148" t="b">
        <f t="shared" si="17"/>
        <v>0</v>
      </c>
      <c r="K543" s="169"/>
      <c r="L543" s="169">
        <f>'Jrnl Exp ~ Dép'!$G46</f>
        <v>0</v>
      </c>
      <c r="M543" s="151"/>
      <c r="N543" s="167"/>
    </row>
    <row r="544" spans="2:14" s="1" customFormat="1" ht="30" hidden="1" customHeight="1" x14ac:dyDescent="0.15">
      <c r="B544" s="146">
        <f>IF(AND('Jrnl Exp ~ Dép'!$G47&lt;&gt;"",'Jrnl Exp ~ Dép'!$C47&lt;&gt;""),1,0)</f>
        <v>0</v>
      </c>
      <c r="C544" s="146">
        <f>'Jrnl Exp ~ Dép'!$C47</f>
        <v>0</v>
      </c>
      <c r="D544" s="168">
        <f>'Jrnl Exp ~ Dép'!$D47</f>
        <v>0</v>
      </c>
      <c r="E544" s="1510">
        <f>'Jrnl Exp ~ Dép'!$F47</f>
        <v>0</v>
      </c>
      <c r="F544" s="1510"/>
      <c r="G544" s="951" t="str">
        <f>IF('Jrnl Exp ~ Dép'!$E47="","",'Jrnl Exp ~ Dép'!$E47)</f>
        <v/>
      </c>
      <c r="H544" s="147">
        <f>'Jrnl Exp ~ Dép'!H47</f>
        <v>0</v>
      </c>
      <c r="I544" s="147" t="str">
        <f t="shared" si="16"/>
        <v>0</v>
      </c>
      <c r="J544" s="148" t="b">
        <f t="shared" si="17"/>
        <v>0</v>
      </c>
      <c r="K544" s="169"/>
      <c r="L544" s="169">
        <f>'Jrnl Exp ~ Dép'!$G47</f>
        <v>0</v>
      </c>
      <c r="M544" s="151"/>
      <c r="N544" s="167"/>
    </row>
    <row r="545" spans="2:14" s="1" customFormat="1" ht="30" hidden="1" customHeight="1" x14ac:dyDescent="0.15">
      <c r="B545" s="146">
        <f>IF(AND('Jrnl Exp ~ Dép'!$G48&lt;&gt;"",'Jrnl Exp ~ Dép'!$C48&lt;&gt;""),1,0)</f>
        <v>0</v>
      </c>
      <c r="C545" s="146">
        <f>'Jrnl Exp ~ Dép'!$C48</f>
        <v>0</v>
      </c>
      <c r="D545" s="168">
        <f>'Jrnl Exp ~ Dép'!$D48</f>
        <v>0</v>
      </c>
      <c r="E545" s="1510">
        <f>'Jrnl Exp ~ Dép'!$F48</f>
        <v>0</v>
      </c>
      <c r="F545" s="1510"/>
      <c r="G545" s="951" t="str">
        <f>IF('Jrnl Exp ~ Dép'!$E48="","",'Jrnl Exp ~ Dép'!$E48)</f>
        <v/>
      </c>
      <c r="H545" s="147">
        <f>'Jrnl Exp ~ Dép'!H48</f>
        <v>0</v>
      </c>
      <c r="I545" s="147" t="str">
        <f t="shared" si="16"/>
        <v>0</v>
      </c>
      <c r="J545" s="148" t="b">
        <f t="shared" si="17"/>
        <v>0</v>
      </c>
      <c r="K545" s="169"/>
      <c r="L545" s="169">
        <f>'Jrnl Exp ~ Dép'!$G48</f>
        <v>0</v>
      </c>
      <c r="M545" s="151"/>
      <c r="N545" s="167"/>
    </row>
    <row r="546" spans="2:14" s="1" customFormat="1" ht="30" hidden="1" customHeight="1" x14ac:dyDescent="0.15">
      <c r="B546" s="146">
        <f>IF(AND('Jrnl Exp ~ Dép'!$G49&lt;&gt;"",'Jrnl Exp ~ Dép'!$C49&lt;&gt;""),1,0)</f>
        <v>0</v>
      </c>
      <c r="C546" s="146">
        <f>'Jrnl Exp ~ Dép'!$C49</f>
        <v>0</v>
      </c>
      <c r="D546" s="168">
        <f>'Jrnl Exp ~ Dép'!$D49</f>
        <v>0</v>
      </c>
      <c r="E546" s="1510">
        <f>'Jrnl Exp ~ Dép'!$F49</f>
        <v>0</v>
      </c>
      <c r="F546" s="1510"/>
      <c r="G546" s="951" t="str">
        <f>IF('Jrnl Exp ~ Dép'!$E49="","",'Jrnl Exp ~ Dép'!$E49)</f>
        <v/>
      </c>
      <c r="H546" s="147">
        <f>'Jrnl Exp ~ Dép'!H49</f>
        <v>0</v>
      </c>
      <c r="I546" s="147" t="str">
        <f t="shared" si="16"/>
        <v>0</v>
      </c>
      <c r="J546" s="148" t="b">
        <f t="shared" si="17"/>
        <v>0</v>
      </c>
      <c r="K546" s="169"/>
      <c r="L546" s="169">
        <f>'Jrnl Exp ~ Dép'!$G49</f>
        <v>0</v>
      </c>
      <c r="M546" s="151"/>
      <c r="N546" s="167"/>
    </row>
    <row r="547" spans="2:14" s="1" customFormat="1" ht="30" hidden="1" customHeight="1" x14ac:dyDescent="0.15">
      <c r="B547" s="146">
        <f>IF(AND('Jrnl Exp ~ Dép'!$G50&lt;&gt;"",'Jrnl Exp ~ Dép'!$C50&lt;&gt;""),1,0)</f>
        <v>0</v>
      </c>
      <c r="C547" s="146">
        <f>'Jrnl Exp ~ Dép'!$C50</f>
        <v>0</v>
      </c>
      <c r="D547" s="168">
        <f>'Jrnl Exp ~ Dép'!$D50</f>
        <v>0</v>
      </c>
      <c r="E547" s="1510">
        <f>'Jrnl Exp ~ Dép'!$F50</f>
        <v>0</v>
      </c>
      <c r="F547" s="1510"/>
      <c r="G547" s="951" t="str">
        <f>IF('Jrnl Exp ~ Dép'!$E50="","",'Jrnl Exp ~ Dép'!$E50)</f>
        <v/>
      </c>
      <c r="H547" s="147">
        <f>'Jrnl Exp ~ Dép'!H50</f>
        <v>0</v>
      </c>
      <c r="I547" s="147" t="str">
        <f t="shared" si="16"/>
        <v>0</v>
      </c>
      <c r="J547" s="148" t="b">
        <f t="shared" si="17"/>
        <v>0</v>
      </c>
      <c r="K547" s="169"/>
      <c r="L547" s="169">
        <f>'Jrnl Exp ~ Dép'!$G50</f>
        <v>0</v>
      </c>
      <c r="M547" s="151"/>
      <c r="N547" s="167"/>
    </row>
    <row r="548" spans="2:14" s="1" customFormat="1" ht="30" hidden="1" customHeight="1" x14ac:dyDescent="0.15">
      <c r="B548" s="146">
        <f>IF(AND('Jrnl Exp ~ Dép'!$G51&lt;&gt;"",'Jrnl Exp ~ Dép'!$C51&lt;&gt;""),1,0)</f>
        <v>0</v>
      </c>
      <c r="C548" s="146">
        <f>'Jrnl Exp ~ Dép'!$C51</f>
        <v>0</v>
      </c>
      <c r="D548" s="168">
        <f>'Jrnl Exp ~ Dép'!$D51</f>
        <v>0</v>
      </c>
      <c r="E548" s="1510">
        <f>'Jrnl Exp ~ Dép'!$F51</f>
        <v>0</v>
      </c>
      <c r="F548" s="1510"/>
      <c r="G548" s="951" t="str">
        <f>IF('Jrnl Exp ~ Dép'!$E51="","",'Jrnl Exp ~ Dép'!$E51)</f>
        <v/>
      </c>
      <c r="H548" s="147">
        <f>'Jrnl Exp ~ Dép'!H51</f>
        <v>0</v>
      </c>
      <c r="I548" s="147" t="str">
        <f t="shared" si="16"/>
        <v>0</v>
      </c>
      <c r="J548" s="148" t="b">
        <f t="shared" si="17"/>
        <v>0</v>
      </c>
      <c r="K548" s="169"/>
      <c r="L548" s="169">
        <f>'Jrnl Exp ~ Dép'!$G51</f>
        <v>0</v>
      </c>
      <c r="M548" s="151"/>
      <c r="N548" s="167"/>
    </row>
    <row r="549" spans="2:14" s="1" customFormat="1" ht="30" hidden="1" customHeight="1" x14ac:dyDescent="0.15">
      <c r="B549" s="146">
        <f>IF(AND('Jrnl Exp ~ Dép'!$G52&lt;&gt;"",'Jrnl Exp ~ Dép'!$C52&lt;&gt;""),1,0)</f>
        <v>0</v>
      </c>
      <c r="C549" s="146">
        <f>'Jrnl Exp ~ Dép'!$C52</f>
        <v>0</v>
      </c>
      <c r="D549" s="168">
        <f>'Jrnl Exp ~ Dép'!$D52</f>
        <v>0</v>
      </c>
      <c r="E549" s="1510">
        <f>'Jrnl Exp ~ Dép'!$F52</f>
        <v>0</v>
      </c>
      <c r="F549" s="1510"/>
      <c r="G549" s="951" t="str">
        <f>IF('Jrnl Exp ~ Dép'!$E52="","",'Jrnl Exp ~ Dép'!$E52)</f>
        <v/>
      </c>
      <c r="H549" s="147">
        <f>'Jrnl Exp ~ Dép'!H52</f>
        <v>0</v>
      </c>
      <c r="I549" s="147" t="str">
        <f t="shared" si="16"/>
        <v>0</v>
      </c>
      <c r="J549" s="148" t="b">
        <f t="shared" si="17"/>
        <v>0</v>
      </c>
      <c r="K549" s="169"/>
      <c r="L549" s="169">
        <f>'Jrnl Exp ~ Dép'!$G52</f>
        <v>0</v>
      </c>
      <c r="M549" s="151"/>
      <c r="N549" s="167"/>
    </row>
    <row r="550" spans="2:14" s="1" customFormat="1" ht="30" hidden="1" customHeight="1" x14ac:dyDescent="0.15">
      <c r="B550" s="146">
        <f>IF(AND('Jrnl Exp ~ Dép'!$G53&lt;&gt;"",'Jrnl Exp ~ Dép'!$C53&lt;&gt;""),1,0)</f>
        <v>0</v>
      </c>
      <c r="C550" s="146">
        <f>'Jrnl Exp ~ Dép'!$C53</f>
        <v>0</v>
      </c>
      <c r="D550" s="168">
        <f>'Jrnl Exp ~ Dép'!$D53</f>
        <v>0</v>
      </c>
      <c r="E550" s="1510">
        <f>'Jrnl Exp ~ Dép'!$F53</f>
        <v>0</v>
      </c>
      <c r="F550" s="1510"/>
      <c r="G550" s="951" t="str">
        <f>IF('Jrnl Exp ~ Dép'!$E53="","",'Jrnl Exp ~ Dép'!$E53)</f>
        <v/>
      </c>
      <c r="H550" s="147">
        <f>'Jrnl Exp ~ Dép'!H53</f>
        <v>0</v>
      </c>
      <c r="I550" s="147" t="str">
        <f t="shared" si="16"/>
        <v>0</v>
      </c>
      <c r="J550" s="148" t="b">
        <f t="shared" si="17"/>
        <v>0</v>
      </c>
      <c r="K550" s="169"/>
      <c r="L550" s="169">
        <f>'Jrnl Exp ~ Dép'!$G53</f>
        <v>0</v>
      </c>
      <c r="M550" s="151"/>
      <c r="N550" s="167"/>
    </row>
    <row r="551" spans="2:14" s="1" customFormat="1" ht="30" hidden="1" customHeight="1" x14ac:dyDescent="0.15">
      <c r="B551" s="146">
        <f>IF(AND('Jrnl Exp ~ Dép'!$G54&lt;&gt;"",'Jrnl Exp ~ Dép'!$C54&lt;&gt;""),1,0)</f>
        <v>0</v>
      </c>
      <c r="C551" s="146">
        <f>'Jrnl Exp ~ Dép'!$C54</f>
        <v>0</v>
      </c>
      <c r="D551" s="168">
        <f>'Jrnl Exp ~ Dép'!$D54</f>
        <v>0</v>
      </c>
      <c r="E551" s="1510">
        <f>'Jrnl Exp ~ Dép'!$F54</f>
        <v>0</v>
      </c>
      <c r="F551" s="1510"/>
      <c r="G551" s="951" t="str">
        <f>IF('Jrnl Exp ~ Dép'!$E54="","",'Jrnl Exp ~ Dép'!$E54)</f>
        <v/>
      </c>
      <c r="H551" s="147">
        <f>'Jrnl Exp ~ Dép'!H54</f>
        <v>0</v>
      </c>
      <c r="I551" s="147" t="str">
        <f t="shared" si="16"/>
        <v>0</v>
      </c>
      <c r="J551" s="148" t="b">
        <f t="shared" si="17"/>
        <v>0</v>
      </c>
      <c r="K551" s="169"/>
      <c r="L551" s="169">
        <f>'Jrnl Exp ~ Dép'!$G54</f>
        <v>0</v>
      </c>
      <c r="M551" s="151"/>
      <c r="N551" s="167"/>
    </row>
    <row r="552" spans="2:14" s="1" customFormat="1" ht="30" hidden="1" customHeight="1" x14ac:dyDescent="0.15">
      <c r="B552" s="146">
        <f>IF(AND('Jrnl Exp ~ Dép'!$G55&lt;&gt;"",'Jrnl Exp ~ Dép'!$C55&lt;&gt;""),1,0)</f>
        <v>0</v>
      </c>
      <c r="C552" s="146">
        <f>'Jrnl Exp ~ Dép'!$C55</f>
        <v>0</v>
      </c>
      <c r="D552" s="168">
        <f>'Jrnl Exp ~ Dép'!$D55</f>
        <v>0</v>
      </c>
      <c r="E552" s="1510">
        <f>'Jrnl Exp ~ Dép'!$F55</f>
        <v>0</v>
      </c>
      <c r="F552" s="1510"/>
      <c r="G552" s="951" t="str">
        <f>IF('Jrnl Exp ~ Dép'!$E55="","",'Jrnl Exp ~ Dép'!$E55)</f>
        <v/>
      </c>
      <c r="H552" s="147">
        <f>'Jrnl Exp ~ Dép'!H55</f>
        <v>0</v>
      </c>
      <c r="I552" s="147" t="str">
        <f t="shared" si="16"/>
        <v>0</v>
      </c>
      <c r="J552" s="148" t="b">
        <f t="shared" si="17"/>
        <v>0</v>
      </c>
      <c r="K552" s="169"/>
      <c r="L552" s="169">
        <f>'Jrnl Exp ~ Dép'!$G55</f>
        <v>0</v>
      </c>
      <c r="M552" s="151"/>
      <c r="N552" s="167"/>
    </row>
    <row r="553" spans="2:14" s="1" customFormat="1" ht="30" hidden="1" customHeight="1" x14ac:dyDescent="0.15">
      <c r="B553" s="146">
        <f>IF(AND('Jrnl Exp ~ Dép'!$G56&lt;&gt;"",'Jrnl Exp ~ Dép'!$C56&lt;&gt;""),1,0)</f>
        <v>0</v>
      </c>
      <c r="C553" s="146">
        <f>'Jrnl Exp ~ Dép'!$C56</f>
        <v>0</v>
      </c>
      <c r="D553" s="168">
        <f>'Jrnl Exp ~ Dép'!$D56</f>
        <v>0</v>
      </c>
      <c r="E553" s="1510">
        <f>'Jrnl Exp ~ Dép'!$F56</f>
        <v>0</v>
      </c>
      <c r="F553" s="1510"/>
      <c r="G553" s="951" t="str">
        <f>IF('Jrnl Exp ~ Dép'!$E56="","",'Jrnl Exp ~ Dép'!$E56)</f>
        <v/>
      </c>
      <c r="H553" s="147">
        <f>'Jrnl Exp ~ Dép'!H56</f>
        <v>0</v>
      </c>
      <c r="I553" s="147" t="str">
        <f t="shared" si="16"/>
        <v>0</v>
      </c>
      <c r="J553" s="148" t="b">
        <f t="shared" si="17"/>
        <v>0</v>
      </c>
      <c r="K553" s="169"/>
      <c r="L553" s="169">
        <f>'Jrnl Exp ~ Dép'!$G56</f>
        <v>0</v>
      </c>
      <c r="M553" s="151"/>
      <c r="N553" s="167"/>
    </row>
    <row r="554" spans="2:14" s="1" customFormat="1" ht="30" hidden="1" customHeight="1" x14ac:dyDescent="0.15">
      <c r="B554" s="146">
        <f>IF(AND('Jrnl Exp ~ Dép'!$G57&lt;&gt;"",'Jrnl Exp ~ Dép'!$C57&lt;&gt;""),1,0)</f>
        <v>0</v>
      </c>
      <c r="C554" s="146">
        <f>'Jrnl Exp ~ Dép'!$C57</f>
        <v>0</v>
      </c>
      <c r="D554" s="168">
        <f>'Jrnl Exp ~ Dép'!$D57</f>
        <v>0</v>
      </c>
      <c r="E554" s="1510">
        <f>'Jrnl Exp ~ Dép'!$F57</f>
        <v>0</v>
      </c>
      <c r="F554" s="1510"/>
      <c r="G554" s="951" t="str">
        <f>IF('Jrnl Exp ~ Dép'!$E57="","",'Jrnl Exp ~ Dép'!$E57)</f>
        <v/>
      </c>
      <c r="H554" s="147">
        <f>'Jrnl Exp ~ Dép'!H57</f>
        <v>0</v>
      </c>
      <c r="I554" s="147" t="str">
        <f t="shared" si="16"/>
        <v>0</v>
      </c>
      <c r="J554" s="148" t="b">
        <f t="shared" si="17"/>
        <v>0</v>
      </c>
      <c r="K554" s="169"/>
      <c r="L554" s="169">
        <f>'Jrnl Exp ~ Dép'!$G57</f>
        <v>0</v>
      </c>
      <c r="M554" s="151"/>
      <c r="N554" s="167"/>
    </row>
    <row r="555" spans="2:14" s="1" customFormat="1" ht="30" hidden="1" customHeight="1" x14ac:dyDescent="0.15">
      <c r="B555" s="146">
        <f>IF(AND('Jrnl Exp ~ Dép'!$G58&lt;&gt;"",'Jrnl Exp ~ Dép'!$C58&lt;&gt;""),1,0)</f>
        <v>0</v>
      </c>
      <c r="C555" s="146">
        <f>'Jrnl Exp ~ Dép'!$C58</f>
        <v>0</v>
      </c>
      <c r="D555" s="168">
        <f>'Jrnl Exp ~ Dép'!$D58</f>
        <v>0</v>
      </c>
      <c r="E555" s="1510">
        <f>'Jrnl Exp ~ Dép'!$F58</f>
        <v>0</v>
      </c>
      <c r="F555" s="1510"/>
      <c r="G555" s="951" t="str">
        <f>IF('Jrnl Exp ~ Dép'!$E58="","",'Jrnl Exp ~ Dép'!$E58)</f>
        <v/>
      </c>
      <c r="H555" s="147">
        <f>'Jrnl Exp ~ Dép'!H58</f>
        <v>0</v>
      </c>
      <c r="I555" s="147" t="str">
        <f t="shared" si="16"/>
        <v>0</v>
      </c>
      <c r="J555" s="148" t="b">
        <f t="shared" si="17"/>
        <v>0</v>
      </c>
      <c r="K555" s="169"/>
      <c r="L555" s="169">
        <f>'Jrnl Exp ~ Dép'!$G58</f>
        <v>0</v>
      </c>
      <c r="M555" s="151"/>
      <c r="N555" s="167"/>
    </row>
    <row r="556" spans="2:14" s="1" customFormat="1" ht="30" hidden="1" customHeight="1" x14ac:dyDescent="0.15">
      <c r="B556" s="146">
        <f>IF(AND('Jrnl Exp ~ Dép'!$G59&lt;&gt;"",'Jrnl Exp ~ Dép'!$C59&lt;&gt;""),1,0)</f>
        <v>0</v>
      </c>
      <c r="C556" s="146">
        <f>'Jrnl Exp ~ Dép'!$C59</f>
        <v>0</v>
      </c>
      <c r="D556" s="168">
        <f>'Jrnl Exp ~ Dép'!$D59</f>
        <v>0</v>
      </c>
      <c r="E556" s="1510">
        <f>'Jrnl Exp ~ Dép'!$F59</f>
        <v>0</v>
      </c>
      <c r="F556" s="1510"/>
      <c r="G556" s="951" t="str">
        <f>IF('Jrnl Exp ~ Dép'!$E59="","",'Jrnl Exp ~ Dép'!$E59)</f>
        <v/>
      </c>
      <c r="H556" s="147">
        <f>'Jrnl Exp ~ Dép'!H59</f>
        <v>0</v>
      </c>
      <c r="I556" s="147" t="str">
        <f t="shared" si="16"/>
        <v>0</v>
      </c>
      <c r="J556" s="148" t="b">
        <f t="shared" si="17"/>
        <v>0</v>
      </c>
      <c r="K556" s="169"/>
      <c r="L556" s="169">
        <f>'Jrnl Exp ~ Dép'!$G59</f>
        <v>0</v>
      </c>
      <c r="M556" s="151"/>
      <c r="N556" s="167"/>
    </row>
    <row r="557" spans="2:14" s="1" customFormat="1" ht="30" hidden="1" customHeight="1" x14ac:dyDescent="0.15">
      <c r="B557" s="146">
        <f>IF(AND('Jrnl Exp ~ Dép'!$G60&lt;&gt;"",'Jrnl Exp ~ Dép'!$C60&lt;&gt;""),1,0)</f>
        <v>0</v>
      </c>
      <c r="C557" s="146">
        <f>'Jrnl Exp ~ Dép'!$C60</f>
        <v>0</v>
      </c>
      <c r="D557" s="168">
        <f>'Jrnl Exp ~ Dép'!$D60</f>
        <v>0</v>
      </c>
      <c r="E557" s="1510">
        <f>'Jrnl Exp ~ Dép'!$F60</f>
        <v>0</v>
      </c>
      <c r="F557" s="1510"/>
      <c r="G557" s="951" t="str">
        <f>IF('Jrnl Exp ~ Dép'!$E60="","",'Jrnl Exp ~ Dép'!$E60)</f>
        <v/>
      </c>
      <c r="H557" s="147">
        <f>'Jrnl Exp ~ Dép'!H60</f>
        <v>0</v>
      </c>
      <c r="I557" s="147" t="str">
        <f t="shared" si="16"/>
        <v>0</v>
      </c>
      <c r="J557" s="148" t="b">
        <f t="shared" si="17"/>
        <v>0</v>
      </c>
      <c r="K557" s="169"/>
      <c r="L557" s="169">
        <f>'Jrnl Exp ~ Dép'!$G60</f>
        <v>0</v>
      </c>
      <c r="M557" s="151"/>
      <c r="N557" s="167"/>
    </row>
    <row r="558" spans="2:14" s="1" customFormat="1" ht="30" hidden="1" customHeight="1" x14ac:dyDescent="0.15">
      <c r="B558" s="146">
        <f>IF(AND('Jrnl Exp ~ Dép'!$G61&lt;&gt;"",'Jrnl Exp ~ Dép'!$C61&lt;&gt;""),1,0)</f>
        <v>0</v>
      </c>
      <c r="C558" s="146">
        <f>'Jrnl Exp ~ Dép'!$C61</f>
        <v>0</v>
      </c>
      <c r="D558" s="168">
        <f>'Jrnl Exp ~ Dép'!$D61</f>
        <v>0</v>
      </c>
      <c r="E558" s="1510">
        <f>'Jrnl Exp ~ Dép'!$F61</f>
        <v>0</v>
      </c>
      <c r="F558" s="1510"/>
      <c r="G558" s="951" t="str">
        <f>IF('Jrnl Exp ~ Dép'!$E61="","",'Jrnl Exp ~ Dép'!$E61)</f>
        <v/>
      </c>
      <c r="H558" s="147">
        <f>'Jrnl Exp ~ Dép'!H61</f>
        <v>0</v>
      </c>
      <c r="I558" s="147" t="str">
        <f t="shared" si="16"/>
        <v>0</v>
      </c>
      <c r="J558" s="148" t="b">
        <f t="shared" si="17"/>
        <v>0</v>
      </c>
      <c r="K558" s="169"/>
      <c r="L558" s="169">
        <f>'Jrnl Exp ~ Dép'!$G61</f>
        <v>0</v>
      </c>
      <c r="M558" s="151"/>
      <c r="N558" s="167"/>
    </row>
    <row r="559" spans="2:14" s="1" customFormat="1" ht="30" hidden="1" customHeight="1" x14ac:dyDescent="0.15">
      <c r="B559" s="146">
        <f>IF(AND('Jrnl Exp ~ Dép'!$G62&lt;&gt;"",'Jrnl Exp ~ Dép'!$C62&lt;&gt;""),1,0)</f>
        <v>0</v>
      </c>
      <c r="C559" s="146">
        <f>'Jrnl Exp ~ Dép'!$C62</f>
        <v>0</v>
      </c>
      <c r="D559" s="168">
        <f>'Jrnl Exp ~ Dép'!$D62</f>
        <v>0</v>
      </c>
      <c r="E559" s="1510">
        <f>'Jrnl Exp ~ Dép'!$F62</f>
        <v>0</v>
      </c>
      <c r="F559" s="1510"/>
      <c r="G559" s="951" t="str">
        <f>IF('Jrnl Exp ~ Dép'!$E62="","",'Jrnl Exp ~ Dép'!$E62)</f>
        <v/>
      </c>
      <c r="H559" s="147">
        <f>'Jrnl Exp ~ Dép'!H62</f>
        <v>0</v>
      </c>
      <c r="I559" s="147" t="str">
        <f t="shared" si="16"/>
        <v>0</v>
      </c>
      <c r="J559" s="148" t="b">
        <f t="shared" si="17"/>
        <v>0</v>
      </c>
      <c r="K559" s="169"/>
      <c r="L559" s="169">
        <f>'Jrnl Exp ~ Dép'!$G62</f>
        <v>0</v>
      </c>
      <c r="M559" s="151"/>
      <c r="N559" s="167"/>
    </row>
    <row r="560" spans="2:14" s="1" customFormat="1" ht="30" hidden="1" customHeight="1" x14ac:dyDescent="0.15">
      <c r="B560" s="146">
        <f>IF(AND('Jrnl Exp ~ Dép'!$G63&lt;&gt;"",'Jrnl Exp ~ Dép'!$C63&lt;&gt;""),1,0)</f>
        <v>0</v>
      </c>
      <c r="C560" s="146">
        <f>'Jrnl Exp ~ Dép'!$C63</f>
        <v>0</v>
      </c>
      <c r="D560" s="168">
        <f>'Jrnl Exp ~ Dép'!$D63</f>
        <v>0</v>
      </c>
      <c r="E560" s="1510">
        <f>'Jrnl Exp ~ Dép'!$F63</f>
        <v>0</v>
      </c>
      <c r="F560" s="1510"/>
      <c r="G560" s="951" t="str">
        <f>IF('Jrnl Exp ~ Dép'!$E63="","",'Jrnl Exp ~ Dép'!$E63)</f>
        <v/>
      </c>
      <c r="H560" s="147">
        <f>'Jrnl Exp ~ Dép'!H63</f>
        <v>0</v>
      </c>
      <c r="I560" s="147" t="str">
        <f t="shared" si="16"/>
        <v>0</v>
      </c>
      <c r="J560" s="148" t="b">
        <f t="shared" si="17"/>
        <v>0</v>
      </c>
      <c r="K560" s="169"/>
      <c r="L560" s="169">
        <f>'Jrnl Exp ~ Dép'!$G63</f>
        <v>0</v>
      </c>
      <c r="M560" s="151"/>
      <c r="N560" s="167"/>
    </row>
    <row r="561" spans="2:14" s="1" customFormat="1" ht="30" hidden="1" customHeight="1" x14ac:dyDescent="0.15">
      <c r="B561" s="146">
        <f>IF(AND('Jrnl Exp ~ Dép'!$G64&lt;&gt;"",'Jrnl Exp ~ Dép'!$C64&lt;&gt;""),1,0)</f>
        <v>0</v>
      </c>
      <c r="C561" s="146">
        <f>'Jrnl Exp ~ Dép'!$C64</f>
        <v>0</v>
      </c>
      <c r="D561" s="168">
        <f>'Jrnl Exp ~ Dép'!$D64</f>
        <v>0</v>
      </c>
      <c r="E561" s="1510">
        <f>'Jrnl Exp ~ Dép'!$F64</f>
        <v>0</v>
      </c>
      <c r="F561" s="1510"/>
      <c r="G561" s="951" t="str">
        <f>IF('Jrnl Exp ~ Dép'!$E64="","",'Jrnl Exp ~ Dép'!$E64)</f>
        <v/>
      </c>
      <c r="H561" s="147">
        <f>'Jrnl Exp ~ Dép'!H64</f>
        <v>0</v>
      </c>
      <c r="I561" s="147" t="str">
        <f t="shared" si="16"/>
        <v>0</v>
      </c>
      <c r="J561" s="148" t="b">
        <f t="shared" si="17"/>
        <v>0</v>
      </c>
      <c r="K561" s="169"/>
      <c r="L561" s="169">
        <f>'Jrnl Exp ~ Dép'!$G64</f>
        <v>0</v>
      </c>
      <c r="M561" s="151"/>
      <c r="N561" s="167"/>
    </row>
    <row r="562" spans="2:14" s="1" customFormat="1" ht="30" hidden="1" customHeight="1" x14ac:dyDescent="0.15">
      <c r="B562" s="146">
        <f>IF(AND('Jrnl Exp ~ Dép'!$G65&lt;&gt;"",'Jrnl Exp ~ Dép'!$C65&lt;&gt;""),1,0)</f>
        <v>0</v>
      </c>
      <c r="C562" s="146">
        <f>'Jrnl Exp ~ Dép'!$C65</f>
        <v>0</v>
      </c>
      <c r="D562" s="168">
        <f>'Jrnl Exp ~ Dép'!$D65</f>
        <v>0</v>
      </c>
      <c r="E562" s="1510">
        <f>'Jrnl Exp ~ Dép'!$F65</f>
        <v>0</v>
      </c>
      <c r="F562" s="1510"/>
      <c r="G562" s="951" t="str">
        <f>IF('Jrnl Exp ~ Dép'!$E65="","",'Jrnl Exp ~ Dép'!$E65)</f>
        <v/>
      </c>
      <c r="H562" s="147">
        <f>'Jrnl Exp ~ Dép'!H65</f>
        <v>0</v>
      </c>
      <c r="I562" s="147" t="str">
        <f t="shared" si="16"/>
        <v>0</v>
      </c>
      <c r="J562" s="148" t="b">
        <f t="shared" si="17"/>
        <v>0</v>
      </c>
      <c r="K562" s="169"/>
      <c r="L562" s="169">
        <f>'Jrnl Exp ~ Dép'!$G65</f>
        <v>0</v>
      </c>
      <c r="M562" s="151"/>
      <c r="N562" s="167"/>
    </row>
    <row r="563" spans="2:14" s="1" customFormat="1" ht="30" hidden="1" customHeight="1" x14ac:dyDescent="0.15">
      <c r="B563" s="146">
        <f>IF(AND('Jrnl Exp ~ Dép'!$G66&lt;&gt;"",'Jrnl Exp ~ Dép'!$C66&lt;&gt;""),1,0)</f>
        <v>0</v>
      </c>
      <c r="C563" s="146">
        <f>'Jrnl Exp ~ Dép'!$C66</f>
        <v>0</v>
      </c>
      <c r="D563" s="168">
        <f>'Jrnl Exp ~ Dép'!$D66</f>
        <v>0</v>
      </c>
      <c r="E563" s="1510">
        <f>'Jrnl Exp ~ Dép'!$F66</f>
        <v>0</v>
      </c>
      <c r="F563" s="1510"/>
      <c r="G563" s="951" t="str">
        <f>IF('Jrnl Exp ~ Dép'!$E66="","",'Jrnl Exp ~ Dép'!$E66)</f>
        <v/>
      </c>
      <c r="H563" s="147">
        <f>'Jrnl Exp ~ Dép'!H66</f>
        <v>0</v>
      </c>
      <c r="I563" s="147" t="str">
        <f t="shared" si="16"/>
        <v>0</v>
      </c>
      <c r="J563" s="148" t="b">
        <f t="shared" si="17"/>
        <v>0</v>
      </c>
      <c r="K563" s="169"/>
      <c r="L563" s="169">
        <f>'Jrnl Exp ~ Dép'!$G66</f>
        <v>0</v>
      </c>
      <c r="M563" s="151"/>
      <c r="N563" s="167"/>
    </row>
    <row r="564" spans="2:14" s="1" customFormat="1" ht="30" hidden="1" customHeight="1" x14ac:dyDescent="0.15">
      <c r="B564" s="146">
        <f>IF(AND('Jrnl Exp ~ Dép'!$G67&lt;&gt;"",'Jrnl Exp ~ Dép'!$C67&lt;&gt;""),1,0)</f>
        <v>0</v>
      </c>
      <c r="C564" s="146">
        <f>'Jrnl Exp ~ Dép'!$C67</f>
        <v>0</v>
      </c>
      <c r="D564" s="168">
        <f>'Jrnl Exp ~ Dép'!$D67</f>
        <v>0</v>
      </c>
      <c r="E564" s="1510">
        <f>'Jrnl Exp ~ Dép'!$F67</f>
        <v>0</v>
      </c>
      <c r="F564" s="1510"/>
      <c r="G564" s="951" t="str">
        <f>IF('Jrnl Exp ~ Dép'!$E67="","",'Jrnl Exp ~ Dép'!$E67)</f>
        <v/>
      </c>
      <c r="H564" s="147">
        <f>'Jrnl Exp ~ Dép'!H67</f>
        <v>0</v>
      </c>
      <c r="I564" s="147" t="str">
        <f t="shared" si="16"/>
        <v>0</v>
      </c>
      <c r="J564" s="148" t="b">
        <f t="shared" si="17"/>
        <v>0</v>
      </c>
      <c r="K564" s="169"/>
      <c r="L564" s="169">
        <f>'Jrnl Exp ~ Dép'!$G67</f>
        <v>0</v>
      </c>
      <c r="M564" s="151"/>
      <c r="N564" s="167"/>
    </row>
    <row r="565" spans="2:14" s="1" customFormat="1" ht="30" hidden="1" customHeight="1" x14ac:dyDescent="0.15">
      <c r="B565" s="146">
        <f>IF(AND('Jrnl Exp ~ Dép'!$G68&lt;&gt;"",'Jrnl Exp ~ Dép'!$C68&lt;&gt;""),1,0)</f>
        <v>0</v>
      </c>
      <c r="C565" s="146">
        <f>'Jrnl Exp ~ Dép'!$C68</f>
        <v>0</v>
      </c>
      <c r="D565" s="168">
        <f>'Jrnl Exp ~ Dép'!$D68</f>
        <v>0</v>
      </c>
      <c r="E565" s="1510">
        <f>'Jrnl Exp ~ Dép'!$F68</f>
        <v>0</v>
      </c>
      <c r="F565" s="1510"/>
      <c r="G565" s="951" t="str">
        <f>IF('Jrnl Exp ~ Dép'!$E68="","",'Jrnl Exp ~ Dép'!$E68)</f>
        <v/>
      </c>
      <c r="H565" s="147">
        <f>'Jrnl Exp ~ Dép'!H68</f>
        <v>0</v>
      </c>
      <c r="I565" s="147" t="str">
        <f t="shared" si="16"/>
        <v>0</v>
      </c>
      <c r="J565" s="148" t="b">
        <f t="shared" si="17"/>
        <v>0</v>
      </c>
      <c r="K565" s="169"/>
      <c r="L565" s="169">
        <f>'Jrnl Exp ~ Dép'!$G68</f>
        <v>0</v>
      </c>
      <c r="M565" s="151"/>
      <c r="N565" s="167"/>
    </row>
    <row r="566" spans="2:14" s="1" customFormat="1" ht="30" hidden="1" customHeight="1" x14ac:dyDescent="0.15">
      <c r="B566" s="146">
        <f>IF(AND('Jrnl Exp ~ Dép'!$G69&lt;&gt;"",'Jrnl Exp ~ Dép'!$C69&lt;&gt;""),1,0)</f>
        <v>0</v>
      </c>
      <c r="C566" s="146">
        <f>'Jrnl Exp ~ Dép'!$C69</f>
        <v>0</v>
      </c>
      <c r="D566" s="168">
        <f>'Jrnl Exp ~ Dép'!$D69</f>
        <v>0</v>
      </c>
      <c r="E566" s="1510">
        <f>'Jrnl Exp ~ Dép'!$F69</f>
        <v>0</v>
      </c>
      <c r="F566" s="1510"/>
      <c r="G566" s="951" t="str">
        <f>IF('Jrnl Exp ~ Dép'!$E69="","",'Jrnl Exp ~ Dép'!$E69)</f>
        <v/>
      </c>
      <c r="H566" s="147">
        <f>'Jrnl Exp ~ Dép'!H69</f>
        <v>0</v>
      </c>
      <c r="I566" s="147" t="str">
        <f t="shared" si="16"/>
        <v>0</v>
      </c>
      <c r="J566" s="148" t="b">
        <f t="shared" si="17"/>
        <v>0</v>
      </c>
      <c r="K566" s="169"/>
      <c r="L566" s="169">
        <f>'Jrnl Exp ~ Dép'!$G69</f>
        <v>0</v>
      </c>
      <c r="M566" s="151"/>
      <c r="N566" s="167"/>
    </row>
    <row r="567" spans="2:14" s="1" customFormat="1" ht="30" hidden="1" customHeight="1" x14ac:dyDescent="0.15">
      <c r="B567" s="146">
        <f>IF(AND('Jrnl Exp ~ Dép'!$G70&lt;&gt;"",'Jrnl Exp ~ Dép'!$C70&lt;&gt;""),1,0)</f>
        <v>0</v>
      </c>
      <c r="C567" s="146">
        <f>'Jrnl Exp ~ Dép'!$C70</f>
        <v>0</v>
      </c>
      <c r="D567" s="168">
        <f>'Jrnl Exp ~ Dép'!$D70</f>
        <v>0</v>
      </c>
      <c r="E567" s="1510">
        <f>'Jrnl Exp ~ Dép'!$F70</f>
        <v>0</v>
      </c>
      <c r="F567" s="1510"/>
      <c r="G567" s="951" t="str">
        <f>IF('Jrnl Exp ~ Dép'!$E70="","",'Jrnl Exp ~ Dép'!$E70)</f>
        <v/>
      </c>
      <c r="H567" s="147">
        <f>'Jrnl Exp ~ Dép'!H70</f>
        <v>0</v>
      </c>
      <c r="I567" s="147" t="str">
        <f t="shared" si="16"/>
        <v>0</v>
      </c>
      <c r="J567" s="148" t="b">
        <f t="shared" si="17"/>
        <v>0</v>
      </c>
      <c r="K567" s="169"/>
      <c r="L567" s="169">
        <f>'Jrnl Exp ~ Dép'!$G70</f>
        <v>0</v>
      </c>
      <c r="M567" s="151"/>
      <c r="N567" s="167"/>
    </row>
    <row r="568" spans="2:14" s="1" customFormat="1" ht="30" hidden="1" customHeight="1" x14ac:dyDescent="0.15">
      <c r="B568" s="146">
        <f>IF(AND('Jrnl Exp ~ Dép'!$G71&lt;&gt;"",'Jrnl Exp ~ Dép'!$C71&lt;&gt;""),1,0)</f>
        <v>0</v>
      </c>
      <c r="C568" s="146">
        <f>'Jrnl Exp ~ Dép'!$C71</f>
        <v>0</v>
      </c>
      <c r="D568" s="168">
        <f>'Jrnl Exp ~ Dép'!$D71</f>
        <v>0</v>
      </c>
      <c r="E568" s="1510">
        <f>'Jrnl Exp ~ Dép'!$F71</f>
        <v>0</v>
      </c>
      <c r="F568" s="1510"/>
      <c r="G568" s="951" t="str">
        <f>IF('Jrnl Exp ~ Dép'!$E71="","",'Jrnl Exp ~ Dép'!$E71)</f>
        <v/>
      </c>
      <c r="H568" s="147">
        <f>'Jrnl Exp ~ Dép'!H71</f>
        <v>0</v>
      </c>
      <c r="I568" s="147" t="str">
        <f t="shared" si="16"/>
        <v>0</v>
      </c>
      <c r="J568" s="148" t="b">
        <f t="shared" si="17"/>
        <v>0</v>
      </c>
      <c r="K568" s="169"/>
      <c r="L568" s="169">
        <f>'Jrnl Exp ~ Dép'!$G71</f>
        <v>0</v>
      </c>
      <c r="M568" s="151"/>
      <c r="N568" s="167"/>
    </row>
    <row r="569" spans="2:14" s="1" customFormat="1" ht="30" hidden="1" customHeight="1" x14ac:dyDescent="0.15">
      <c r="B569" s="146">
        <f>IF(AND('Jrnl Exp ~ Dép'!$G72&lt;&gt;"",'Jrnl Exp ~ Dép'!$C72&lt;&gt;""),1,0)</f>
        <v>0</v>
      </c>
      <c r="C569" s="146">
        <f>'Jrnl Exp ~ Dép'!$C72</f>
        <v>0</v>
      </c>
      <c r="D569" s="168">
        <f>'Jrnl Exp ~ Dép'!$D72</f>
        <v>0</v>
      </c>
      <c r="E569" s="1510">
        <f>'Jrnl Exp ~ Dép'!$F72</f>
        <v>0</v>
      </c>
      <c r="F569" s="1510"/>
      <c r="G569" s="951" t="str">
        <f>IF('Jrnl Exp ~ Dép'!$E72="","",'Jrnl Exp ~ Dép'!$E72)</f>
        <v/>
      </c>
      <c r="H569" s="147">
        <f>'Jrnl Exp ~ Dép'!H72</f>
        <v>0</v>
      </c>
      <c r="I569" s="147" t="str">
        <f t="shared" si="16"/>
        <v>0</v>
      </c>
      <c r="J569" s="148" t="b">
        <f t="shared" si="17"/>
        <v>0</v>
      </c>
      <c r="K569" s="169"/>
      <c r="L569" s="169">
        <f>'Jrnl Exp ~ Dép'!$G72</f>
        <v>0</v>
      </c>
      <c r="M569" s="151"/>
      <c r="N569" s="167"/>
    </row>
    <row r="570" spans="2:14" s="1" customFormat="1" ht="30" hidden="1" customHeight="1" x14ac:dyDescent="0.15">
      <c r="B570" s="146">
        <f>IF(AND('Jrnl Exp ~ Dép'!$G73&lt;&gt;"",'Jrnl Exp ~ Dép'!$C73&lt;&gt;""),1,0)</f>
        <v>0</v>
      </c>
      <c r="C570" s="146">
        <f>'Jrnl Exp ~ Dép'!$C73</f>
        <v>0</v>
      </c>
      <c r="D570" s="168">
        <f>'Jrnl Exp ~ Dép'!$D73</f>
        <v>0</v>
      </c>
      <c r="E570" s="1510">
        <f>'Jrnl Exp ~ Dép'!$F73</f>
        <v>0</v>
      </c>
      <c r="F570" s="1510"/>
      <c r="G570" s="951" t="str">
        <f>IF('Jrnl Exp ~ Dép'!$E73="","",'Jrnl Exp ~ Dép'!$E73)</f>
        <v/>
      </c>
      <c r="H570" s="147">
        <f>'Jrnl Exp ~ Dép'!H73</f>
        <v>0</v>
      </c>
      <c r="I570" s="147" t="str">
        <f t="shared" si="16"/>
        <v>0</v>
      </c>
      <c r="J570" s="148" t="b">
        <f t="shared" si="17"/>
        <v>0</v>
      </c>
      <c r="K570" s="169"/>
      <c r="L570" s="169">
        <f>'Jrnl Exp ~ Dép'!$G73</f>
        <v>0</v>
      </c>
      <c r="M570" s="151"/>
      <c r="N570" s="167"/>
    </row>
    <row r="571" spans="2:14" s="1" customFormat="1" ht="30" hidden="1" customHeight="1" x14ac:dyDescent="0.15">
      <c r="B571" s="146">
        <f>IF(AND('Jrnl Exp ~ Dép'!$G74&lt;&gt;"",'Jrnl Exp ~ Dép'!$C74&lt;&gt;""),1,0)</f>
        <v>0</v>
      </c>
      <c r="C571" s="146">
        <f>'Jrnl Exp ~ Dép'!$C74</f>
        <v>0</v>
      </c>
      <c r="D571" s="168">
        <f>'Jrnl Exp ~ Dép'!$D74</f>
        <v>0</v>
      </c>
      <c r="E571" s="1510">
        <f>'Jrnl Exp ~ Dép'!$F74</f>
        <v>0</v>
      </c>
      <c r="F571" s="1510"/>
      <c r="G571" s="951" t="str">
        <f>IF('Jrnl Exp ~ Dép'!$E74="","",'Jrnl Exp ~ Dép'!$E74)</f>
        <v/>
      </c>
      <c r="H571" s="147">
        <f>'Jrnl Exp ~ Dép'!H74</f>
        <v>0</v>
      </c>
      <c r="I571" s="147" t="str">
        <f t="shared" si="16"/>
        <v>0</v>
      </c>
      <c r="J571" s="148" t="b">
        <f t="shared" si="17"/>
        <v>0</v>
      </c>
      <c r="K571" s="169"/>
      <c r="L571" s="169">
        <f>'Jrnl Exp ~ Dép'!$G74</f>
        <v>0</v>
      </c>
      <c r="M571" s="151"/>
      <c r="N571" s="167"/>
    </row>
    <row r="572" spans="2:14" s="1" customFormat="1" ht="30" hidden="1" customHeight="1" x14ac:dyDescent="0.15">
      <c r="B572" s="146">
        <f>IF(AND('Jrnl Exp ~ Dép'!$G75&lt;&gt;"",'Jrnl Exp ~ Dép'!$C75&lt;&gt;""),1,0)</f>
        <v>0</v>
      </c>
      <c r="C572" s="146">
        <f>'Jrnl Exp ~ Dép'!$C75</f>
        <v>0</v>
      </c>
      <c r="D572" s="168">
        <f>'Jrnl Exp ~ Dép'!$D75</f>
        <v>0</v>
      </c>
      <c r="E572" s="1510">
        <f>'Jrnl Exp ~ Dép'!$F75</f>
        <v>0</v>
      </c>
      <c r="F572" s="1510"/>
      <c r="G572" s="951" t="str">
        <f>IF('Jrnl Exp ~ Dép'!$E75="","",'Jrnl Exp ~ Dép'!$E75)</f>
        <v/>
      </c>
      <c r="H572" s="147">
        <f>'Jrnl Exp ~ Dép'!H75</f>
        <v>0</v>
      </c>
      <c r="I572" s="147" t="str">
        <f t="shared" si="16"/>
        <v>0</v>
      </c>
      <c r="J572" s="148" t="b">
        <f t="shared" si="17"/>
        <v>0</v>
      </c>
      <c r="K572" s="169"/>
      <c r="L572" s="169">
        <f>'Jrnl Exp ~ Dép'!$G75</f>
        <v>0</v>
      </c>
      <c r="M572" s="151"/>
      <c r="N572" s="167"/>
    </row>
    <row r="573" spans="2:14" s="1" customFormat="1" ht="30" hidden="1" customHeight="1" x14ac:dyDescent="0.15">
      <c r="B573" s="146">
        <f>IF(AND('Jrnl Exp ~ Dép'!$G76&lt;&gt;"",'Jrnl Exp ~ Dép'!$C76&lt;&gt;""),1,0)</f>
        <v>0</v>
      </c>
      <c r="C573" s="146">
        <f>'Jrnl Exp ~ Dép'!$C76</f>
        <v>0</v>
      </c>
      <c r="D573" s="168">
        <f>'Jrnl Exp ~ Dép'!$D76</f>
        <v>0</v>
      </c>
      <c r="E573" s="1510">
        <f>'Jrnl Exp ~ Dép'!$F76</f>
        <v>0</v>
      </c>
      <c r="F573" s="1510"/>
      <c r="G573" s="951" t="str">
        <f>IF('Jrnl Exp ~ Dép'!$E76="","",'Jrnl Exp ~ Dép'!$E76)</f>
        <v/>
      </c>
      <c r="H573" s="147">
        <f>'Jrnl Exp ~ Dép'!H76</f>
        <v>0</v>
      </c>
      <c r="I573" s="147" t="str">
        <f t="shared" si="16"/>
        <v>0</v>
      </c>
      <c r="J573" s="148" t="b">
        <f t="shared" si="17"/>
        <v>0</v>
      </c>
      <c r="K573" s="169"/>
      <c r="L573" s="169">
        <f>'Jrnl Exp ~ Dép'!$G76</f>
        <v>0</v>
      </c>
      <c r="M573" s="151"/>
      <c r="N573" s="167"/>
    </row>
    <row r="574" spans="2:14" s="1" customFormat="1" ht="30" hidden="1" customHeight="1" x14ac:dyDescent="0.15">
      <c r="B574" s="146">
        <f>IF(AND('Jrnl Exp ~ Dép'!$G77&lt;&gt;"",'Jrnl Exp ~ Dép'!$C77&lt;&gt;""),1,0)</f>
        <v>0</v>
      </c>
      <c r="C574" s="146">
        <f>'Jrnl Exp ~ Dép'!$C77</f>
        <v>0</v>
      </c>
      <c r="D574" s="168">
        <f>'Jrnl Exp ~ Dép'!$D77</f>
        <v>0</v>
      </c>
      <c r="E574" s="1510">
        <f>'Jrnl Exp ~ Dép'!$F77</f>
        <v>0</v>
      </c>
      <c r="F574" s="1510"/>
      <c r="G574" s="951" t="str">
        <f>IF('Jrnl Exp ~ Dép'!$E77="","",'Jrnl Exp ~ Dép'!$E77)</f>
        <v/>
      </c>
      <c r="H574" s="147">
        <f>'Jrnl Exp ~ Dép'!H77</f>
        <v>0</v>
      </c>
      <c r="I574" s="147" t="str">
        <f t="shared" si="16"/>
        <v>0</v>
      </c>
      <c r="J574" s="148" t="b">
        <f t="shared" si="17"/>
        <v>0</v>
      </c>
      <c r="K574" s="169"/>
      <c r="L574" s="169">
        <f>'Jrnl Exp ~ Dép'!$G77</f>
        <v>0</v>
      </c>
      <c r="M574" s="151"/>
      <c r="N574" s="167"/>
    </row>
    <row r="575" spans="2:14" s="1" customFormat="1" ht="30" hidden="1" customHeight="1" x14ac:dyDescent="0.15">
      <c r="B575" s="146">
        <f>IF(AND('Jrnl Exp ~ Dép'!$G78&lt;&gt;"",'Jrnl Exp ~ Dép'!$C78&lt;&gt;""),1,0)</f>
        <v>0</v>
      </c>
      <c r="C575" s="146">
        <f>'Jrnl Exp ~ Dép'!$C78</f>
        <v>0</v>
      </c>
      <c r="D575" s="168">
        <f>'Jrnl Exp ~ Dép'!$D78</f>
        <v>0</v>
      </c>
      <c r="E575" s="1510">
        <f>'Jrnl Exp ~ Dép'!$F78</f>
        <v>0</v>
      </c>
      <c r="F575" s="1510"/>
      <c r="G575" s="951" t="str">
        <f>IF('Jrnl Exp ~ Dép'!$E78="","",'Jrnl Exp ~ Dép'!$E78)</f>
        <v/>
      </c>
      <c r="H575" s="147">
        <f>'Jrnl Exp ~ Dép'!H78</f>
        <v>0</v>
      </c>
      <c r="I575" s="147" t="str">
        <f t="shared" si="16"/>
        <v>0</v>
      </c>
      <c r="J575" s="148" t="b">
        <f t="shared" si="17"/>
        <v>0</v>
      </c>
      <c r="K575" s="169"/>
      <c r="L575" s="169">
        <f>'Jrnl Exp ~ Dép'!$G78</f>
        <v>0</v>
      </c>
      <c r="M575" s="151"/>
      <c r="N575" s="167"/>
    </row>
    <row r="576" spans="2:14" s="1" customFormat="1" ht="30" hidden="1" customHeight="1" x14ac:dyDescent="0.15">
      <c r="B576" s="146">
        <f>IF(AND('Jrnl Exp ~ Dép'!$G79&lt;&gt;"",'Jrnl Exp ~ Dép'!$C79&lt;&gt;""),1,0)</f>
        <v>0</v>
      </c>
      <c r="C576" s="146">
        <f>'Jrnl Exp ~ Dép'!$C79</f>
        <v>0</v>
      </c>
      <c r="D576" s="168">
        <f>'Jrnl Exp ~ Dép'!$D79</f>
        <v>0</v>
      </c>
      <c r="E576" s="1510">
        <f>'Jrnl Exp ~ Dép'!$F79</f>
        <v>0</v>
      </c>
      <c r="F576" s="1510"/>
      <c r="G576" s="951" t="str">
        <f>IF('Jrnl Exp ~ Dép'!$E79="","",'Jrnl Exp ~ Dép'!$E79)</f>
        <v/>
      </c>
      <c r="H576" s="147">
        <f>'Jrnl Exp ~ Dép'!H79</f>
        <v>0</v>
      </c>
      <c r="I576" s="147" t="str">
        <f t="shared" si="16"/>
        <v>0</v>
      </c>
      <c r="J576" s="148" t="b">
        <f t="shared" si="17"/>
        <v>0</v>
      </c>
      <c r="K576" s="169"/>
      <c r="L576" s="169">
        <f>'Jrnl Exp ~ Dép'!$G79</f>
        <v>0</v>
      </c>
      <c r="M576" s="151"/>
      <c r="N576" s="167"/>
    </row>
    <row r="577" spans="2:14" s="1" customFormat="1" ht="30" hidden="1" customHeight="1" x14ac:dyDescent="0.15">
      <c r="B577" s="146">
        <f>IF(AND('Jrnl Exp ~ Dép'!$G80&lt;&gt;"",'Jrnl Exp ~ Dép'!$C80&lt;&gt;""),1,0)</f>
        <v>0</v>
      </c>
      <c r="C577" s="146">
        <f>'Jrnl Exp ~ Dép'!$C80</f>
        <v>0</v>
      </c>
      <c r="D577" s="168">
        <f>'Jrnl Exp ~ Dép'!$D80</f>
        <v>0</v>
      </c>
      <c r="E577" s="1510">
        <f>'Jrnl Exp ~ Dép'!$F80</f>
        <v>0</v>
      </c>
      <c r="F577" s="1510"/>
      <c r="G577" s="951" t="str">
        <f>IF('Jrnl Exp ~ Dép'!$E80="","",'Jrnl Exp ~ Dép'!$E80)</f>
        <v/>
      </c>
      <c r="H577" s="147">
        <f>'Jrnl Exp ~ Dép'!H80</f>
        <v>0</v>
      </c>
      <c r="I577" s="147" t="str">
        <f t="shared" ref="I577:I640" si="18">LEFT(H577,4)</f>
        <v>0</v>
      </c>
      <c r="J577" s="148" t="b">
        <f t="shared" ref="J577:J640" si="19">IF(I577="1020",IF(G577&gt;=$E$3,IF(G577&lt;=$G$3,L577,0)))</f>
        <v>0</v>
      </c>
      <c r="K577" s="169"/>
      <c r="L577" s="169">
        <f>'Jrnl Exp ~ Dép'!$G80</f>
        <v>0</v>
      </c>
      <c r="M577" s="151"/>
      <c r="N577" s="167"/>
    </row>
    <row r="578" spans="2:14" s="1" customFormat="1" ht="30" hidden="1" customHeight="1" x14ac:dyDescent="0.15">
      <c r="B578" s="146">
        <f>IF(AND('Jrnl Exp ~ Dép'!$G81&lt;&gt;"",'Jrnl Exp ~ Dép'!$C81&lt;&gt;""),1,0)</f>
        <v>0</v>
      </c>
      <c r="C578" s="146">
        <f>'Jrnl Exp ~ Dép'!$C81</f>
        <v>0</v>
      </c>
      <c r="D578" s="168">
        <f>'Jrnl Exp ~ Dép'!$D81</f>
        <v>0</v>
      </c>
      <c r="E578" s="1510">
        <f>'Jrnl Exp ~ Dép'!$F81</f>
        <v>0</v>
      </c>
      <c r="F578" s="1510"/>
      <c r="G578" s="951" t="str">
        <f>IF('Jrnl Exp ~ Dép'!$E81="","",'Jrnl Exp ~ Dép'!$E81)</f>
        <v/>
      </c>
      <c r="H578" s="147">
        <f>'Jrnl Exp ~ Dép'!H81</f>
        <v>0</v>
      </c>
      <c r="I578" s="147" t="str">
        <f t="shared" si="18"/>
        <v>0</v>
      </c>
      <c r="J578" s="148" t="b">
        <f t="shared" si="19"/>
        <v>0</v>
      </c>
      <c r="K578" s="169"/>
      <c r="L578" s="169">
        <f>'Jrnl Exp ~ Dép'!$G81</f>
        <v>0</v>
      </c>
      <c r="M578" s="151"/>
      <c r="N578" s="167"/>
    </row>
    <row r="579" spans="2:14" s="1" customFormat="1" ht="30" hidden="1" customHeight="1" x14ac:dyDescent="0.15">
      <c r="B579" s="146">
        <f>IF(AND('Jrnl Exp ~ Dép'!$G82&lt;&gt;"",'Jrnl Exp ~ Dép'!$C82&lt;&gt;""),1,0)</f>
        <v>0</v>
      </c>
      <c r="C579" s="146">
        <f>'Jrnl Exp ~ Dép'!$C82</f>
        <v>0</v>
      </c>
      <c r="D579" s="168">
        <f>'Jrnl Exp ~ Dép'!$D82</f>
        <v>0</v>
      </c>
      <c r="E579" s="1510">
        <f>'Jrnl Exp ~ Dép'!$F82</f>
        <v>0</v>
      </c>
      <c r="F579" s="1510"/>
      <c r="G579" s="951" t="str">
        <f>IF('Jrnl Exp ~ Dép'!$E82="","",'Jrnl Exp ~ Dép'!$E82)</f>
        <v/>
      </c>
      <c r="H579" s="147">
        <f>'Jrnl Exp ~ Dép'!H82</f>
        <v>0</v>
      </c>
      <c r="I579" s="147" t="str">
        <f t="shared" si="18"/>
        <v>0</v>
      </c>
      <c r="J579" s="148" t="b">
        <f t="shared" si="19"/>
        <v>0</v>
      </c>
      <c r="K579" s="169"/>
      <c r="L579" s="169">
        <f>'Jrnl Exp ~ Dép'!$G82</f>
        <v>0</v>
      </c>
      <c r="M579" s="151"/>
      <c r="N579" s="167"/>
    </row>
    <row r="580" spans="2:14" s="1" customFormat="1" ht="30" hidden="1" customHeight="1" x14ac:dyDescent="0.15">
      <c r="B580" s="146">
        <f>IF(AND('Jrnl Exp ~ Dép'!$G83&lt;&gt;"",'Jrnl Exp ~ Dép'!$C83&lt;&gt;""),1,0)</f>
        <v>0</v>
      </c>
      <c r="C580" s="146">
        <f>'Jrnl Exp ~ Dép'!$C83</f>
        <v>0</v>
      </c>
      <c r="D580" s="168">
        <f>'Jrnl Exp ~ Dép'!$D83</f>
        <v>0</v>
      </c>
      <c r="E580" s="1510">
        <f>'Jrnl Exp ~ Dép'!$F83</f>
        <v>0</v>
      </c>
      <c r="F580" s="1510"/>
      <c r="G580" s="951" t="str">
        <f>IF('Jrnl Exp ~ Dép'!$E83="","",'Jrnl Exp ~ Dép'!$E83)</f>
        <v/>
      </c>
      <c r="H580" s="147">
        <f>'Jrnl Exp ~ Dép'!H83</f>
        <v>0</v>
      </c>
      <c r="I580" s="147" t="str">
        <f t="shared" si="18"/>
        <v>0</v>
      </c>
      <c r="J580" s="148" t="b">
        <f t="shared" si="19"/>
        <v>0</v>
      </c>
      <c r="K580" s="169"/>
      <c r="L580" s="169">
        <f>'Jrnl Exp ~ Dép'!$G83</f>
        <v>0</v>
      </c>
      <c r="M580" s="151"/>
      <c r="N580" s="167"/>
    </row>
    <row r="581" spans="2:14" s="1" customFormat="1" ht="30" hidden="1" customHeight="1" x14ac:dyDescent="0.15">
      <c r="B581" s="146">
        <f>IF(AND('Jrnl Exp ~ Dép'!$G84&lt;&gt;"",'Jrnl Exp ~ Dép'!$C84&lt;&gt;""),1,0)</f>
        <v>0</v>
      </c>
      <c r="C581" s="146">
        <f>'Jrnl Exp ~ Dép'!$C84</f>
        <v>0</v>
      </c>
      <c r="D581" s="168">
        <f>'Jrnl Exp ~ Dép'!$D84</f>
        <v>0</v>
      </c>
      <c r="E581" s="1510">
        <f>'Jrnl Exp ~ Dép'!$F84</f>
        <v>0</v>
      </c>
      <c r="F581" s="1510"/>
      <c r="G581" s="951" t="str">
        <f>IF('Jrnl Exp ~ Dép'!$E84="","",'Jrnl Exp ~ Dép'!$E84)</f>
        <v/>
      </c>
      <c r="H581" s="147">
        <f>'Jrnl Exp ~ Dép'!H84</f>
        <v>0</v>
      </c>
      <c r="I581" s="147" t="str">
        <f t="shared" si="18"/>
        <v>0</v>
      </c>
      <c r="J581" s="148" t="b">
        <f t="shared" si="19"/>
        <v>0</v>
      </c>
      <c r="K581" s="169"/>
      <c r="L581" s="169">
        <f>'Jrnl Exp ~ Dép'!$G84</f>
        <v>0</v>
      </c>
      <c r="M581" s="151"/>
      <c r="N581" s="167"/>
    </row>
    <row r="582" spans="2:14" s="1" customFormat="1" ht="30" hidden="1" customHeight="1" x14ac:dyDescent="0.15">
      <c r="B582" s="146">
        <f>IF(AND('Jrnl Exp ~ Dép'!$G85&lt;&gt;"",'Jrnl Exp ~ Dép'!$C85&lt;&gt;""),1,0)</f>
        <v>0</v>
      </c>
      <c r="C582" s="146">
        <f>'Jrnl Exp ~ Dép'!$C85</f>
        <v>0</v>
      </c>
      <c r="D582" s="168">
        <f>'Jrnl Exp ~ Dép'!$D85</f>
        <v>0</v>
      </c>
      <c r="E582" s="1510">
        <f>'Jrnl Exp ~ Dép'!$F85</f>
        <v>0</v>
      </c>
      <c r="F582" s="1510"/>
      <c r="G582" s="951" t="str">
        <f>IF('Jrnl Exp ~ Dép'!$E85="","",'Jrnl Exp ~ Dép'!$E85)</f>
        <v/>
      </c>
      <c r="H582" s="147">
        <f>'Jrnl Exp ~ Dép'!H85</f>
        <v>0</v>
      </c>
      <c r="I582" s="147" t="str">
        <f t="shared" si="18"/>
        <v>0</v>
      </c>
      <c r="J582" s="148" t="b">
        <f t="shared" si="19"/>
        <v>0</v>
      </c>
      <c r="K582" s="169"/>
      <c r="L582" s="169">
        <f>'Jrnl Exp ~ Dép'!$G85</f>
        <v>0</v>
      </c>
      <c r="M582" s="151"/>
      <c r="N582" s="167"/>
    </row>
    <row r="583" spans="2:14" s="1" customFormat="1" ht="30" hidden="1" customHeight="1" x14ac:dyDescent="0.15">
      <c r="B583" s="146">
        <f>IF(AND('Jrnl Exp ~ Dép'!$G86&lt;&gt;"",'Jrnl Exp ~ Dép'!$C86&lt;&gt;""),1,0)</f>
        <v>0</v>
      </c>
      <c r="C583" s="146">
        <f>'Jrnl Exp ~ Dép'!$C86</f>
        <v>0</v>
      </c>
      <c r="D583" s="168">
        <f>'Jrnl Exp ~ Dép'!$D86</f>
        <v>0</v>
      </c>
      <c r="E583" s="1510">
        <f>'Jrnl Exp ~ Dép'!$F86</f>
        <v>0</v>
      </c>
      <c r="F583" s="1510"/>
      <c r="G583" s="951" t="str">
        <f>IF('Jrnl Exp ~ Dép'!$E86="","",'Jrnl Exp ~ Dép'!$E86)</f>
        <v/>
      </c>
      <c r="H583" s="147">
        <f>'Jrnl Exp ~ Dép'!H86</f>
        <v>0</v>
      </c>
      <c r="I583" s="147" t="str">
        <f t="shared" si="18"/>
        <v>0</v>
      </c>
      <c r="J583" s="148" t="b">
        <f t="shared" si="19"/>
        <v>0</v>
      </c>
      <c r="K583" s="169"/>
      <c r="L583" s="169">
        <f>'Jrnl Exp ~ Dép'!$G86</f>
        <v>0</v>
      </c>
      <c r="M583" s="151"/>
      <c r="N583" s="167"/>
    </row>
    <row r="584" spans="2:14" s="1" customFormat="1" ht="30" hidden="1" customHeight="1" x14ac:dyDescent="0.15">
      <c r="B584" s="146">
        <f>IF(AND('Jrnl Exp ~ Dép'!$G87&lt;&gt;"",'Jrnl Exp ~ Dép'!$C87&lt;&gt;""),1,0)</f>
        <v>0</v>
      </c>
      <c r="C584" s="146">
        <f>'Jrnl Exp ~ Dép'!$C87</f>
        <v>0</v>
      </c>
      <c r="D584" s="168">
        <f>'Jrnl Exp ~ Dép'!$D87</f>
        <v>0</v>
      </c>
      <c r="E584" s="1510">
        <f>'Jrnl Exp ~ Dép'!$F87</f>
        <v>0</v>
      </c>
      <c r="F584" s="1510"/>
      <c r="G584" s="951" t="str">
        <f>IF('Jrnl Exp ~ Dép'!$E87="","",'Jrnl Exp ~ Dép'!$E87)</f>
        <v/>
      </c>
      <c r="H584" s="147">
        <f>'Jrnl Exp ~ Dép'!H87</f>
        <v>0</v>
      </c>
      <c r="I584" s="147" t="str">
        <f t="shared" si="18"/>
        <v>0</v>
      </c>
      <c r="J584" s="148" t="b">
        <f t="shared" si="19"/>
        <v>0</v>
      </c>
      <c r="K584" s="169"/>
      <c r="L584" s="169">
        <f>'Jrnl Exp ~ Dép'!$G87</f>
        <v>0</v>
      </c>
      <c r="M584" s="151"/>
      <c r="N584" s="167"/>
    </row>
    <row r="585" spans="2:14" s="1" customFormat="1" ht="30" hidden="1" customHeight="1" x14ac:dyDescent="0.15">
      <c r="B585" s="146">
        <f>IF(AND('Jrnl Exp ~ Dép'!$G88&lt;&gt;"",'Jrnl Exp ~ Dép'!$C88&lt;&gt;""),1,0)</f>
        <v>0</v>
      </c>
      <c r="C585" s="146">
        <f>'Jrnl Exp ~ Dép'!$C88</f>
        <v>0</v>
      </c>
      <c r="D585" s="168">
        <f>'Jrnl Exp ~ Dép'!$D88</f>
        <v>0</v>
      </c>
      <c r="E585" s="1510">
        <f>'Jrnl Exp ~ Dép'!$F88</f>
        <v>0</v>
      </c>
      <c r="F585" s="1510"/>
      <c r="G585" s="951" t="str">
        <f>IF('Jrnl Exp ~ Dép'!$E88="","",'Jrnl Exp ~ Dép'!$E88)</f>
        <v/>
      </c>
      <c r="H585" s="147">
        <f>'Jrnl Exp ~ Dép'!H88</f>
        <v>0</v>
      </c>
      <c r="I585" s="147" t="str">
        <f t="shared" si="18"/>
        <v>0</v>
      </c>
      <c r="J585" s="148" t="b">
        <f t="shared" si="19"/>
        <v>0</v>
      </c>
      <c r="K585" s="169"/>
      <c r="L585" s="169">
        <f>'Jrnl Exp ~ Dép'!$G88</f>
        <v>0</v>
      </c>
      <c r="M585" s="151"/>
      <c r="N585" s="167"/>
    </row>
    <row r="586" spans="2:14" s="1" customFormat="1" ht="30" hidden="1" customHeight="1" x14ac:dyDescent="0.15">
      <c r="B586" s="146">
        <f>IF(AND('Jrnl Exp ~ Dép'!$G89&lt;&gt;"",'Jrnl Exp ~ Dép'!$C89&lt;&gt;""),1,0)</f>
        <v>0</v>
      </c>
      <c r="C586" s="146">
        <f>'Jrnl Exp ~ Dép'!$C89</f>
        <v>0</v>
      </c>
      <c r="D586" s="168">
        <f>'Jrnl Exp ~ Dép'!$D89</f>
        <v>0</v>
      </c>
      <c r="E586" s="1510">
        <f>'Jrnl Exp ~ Dép'!$F89</f>
        <v>0</v>
      </c>
      <c r="F586" s="1510"/>
      <c r="G586" s="951" t="str">
        <f>IF('Jrnl Exp ~ Dép'!$E89="","",'Jrnl Exp ~ Dép'!$E89)</f>
        <v/>
      </c>
      <c r="H586" s="147">
        <f>'Jrnl Exp ~ Dép'!H89</f>
        <v>0</v>
      </c>
      <c r="I586" s="147" t="str">
        <f t="shared" si="18"/>
        <v>0</v>
      </c>
      <c r="J586" s="148" t="b">
        <f t="shared" si="19"/>
        <v>0</v>
      </c>
      <c r="K586" s="169"/>
      <c r="L586" s="169">
        <f>'Jrnl Exp ~ Dép'!$G89</f>
        <v>0</v>
      </c>
      <c r="M586" s="151"/>
      <c r="N586" s="167"/>
    </row>
    <row r="587" spans="2:14" s="1" customFormat="1" ht="30" hidden="1" customHeight="1" x14ac:dyDescent="0.15">
      <c r="B587" s="146">
        <f>IF(AND('Jrnl Exp ~ Dép'!$G90&lt;&gt;"",'Jrnl Exp ~ Dép'!$C90&lt;&gt;""),1,0)</f>
        <v>0</v>
      </c>
      <c r="C587" s="146">
        <f>'Jrnl Exp ~ Dép'!$C90</f>
        <v>0</v>
      </c>
      <c r="D587" s="168">
        <f>'Jrnl Exp ~ Dép'!$D90</f>
        <v>0</v>
      </c>
      <c r="E587" s="1510">
        <f>'Jrnl Exp ~ Dép'!$F90</f>
        <v>0</v>
      </c>
      <c r="F587" s="1510"/>
      <c r="G587" s="951" t="str">
        <f>IF('Jrnl Exp ~ Dép'!$E90="","",'Jrnl Exp ~ Dép'!$E90)</f>
        <v/>
      </c>
      <c r="H587" s="147">
        <f>'Jrnl Exp ~ Dép'!H90</f>
        <v>0</v>
      </c>
      <c r="I587" s="147" t="str">
        <f t="shared" si="18"/>
        <v>0</v>
      </c>
      <c r="J587" s="148" t="b">
        <f t="shared" si="19"/>
        <v>0</v>
      </c>
      <c r="K587" s="169"/>
      <c r="L587" s="169">
        <f>'Jrnl Exp ~ Dép'!$G90</f>
        <v>0</v>
      </c>
      <c r="M587" s="151"/>
      <c r="N587" s="167"/>
    </row>
    <row r="588" spans="2:14" s="1" customFormat="1" ht="30" hidden="1" customHeight="1" x14ac:dyDescent="0.15">
      <c r="B588" s="146">
        <f>IF(AND('Jrnl Exp ~ Dép'!$G91&lt;&gt;"",'Jrnl Exp ~ Dép'!$C91&lt;&gt;""),1,0)</f>
        <v>0</v>
      </c>
      <c r="C588" s="146">
        <f>'Jrnl Exp ~ Dép'!$C91</f>
        <v>0</v>
      </c>
      <c r="D588" s="168">
        <f>'Jrnl Exp ~ Dép'!$D91</f>
        <v>0</v>
      </c>
      <c r="E588" s="1510">
        <f>'Jrnl Exp ~ Dép'!$F91</f>
        <v>0</v>
      </c>
      <c r="F588" s="1510"/>
      <c r="G588" s="951" t="str">
        <f>IF('Jrnl Exp ~ Dép'!$E91="","",'Jrnl Exp ~ Dép'!$E91)</f>
        <v/>
      </c>
      <c r="H588" s="147">
        <f>'Jrnl Exp ~ Dép'!H91</f>
        <v>0</v>
      </c>
      <c r="I588" s="147" t="str">
        <f t="shared" si="18"/>
        <v>0</v>
      </c>
      <c r="J588" s="148" t="b">
        <f t="shared" si="19"/>
        <v>0</v>
      </c>
      <c r="K588" s="169"/>
      <c r="L588" s="169">
        <f>'Jrnl Exp ~ Dép'!$G91</f>
        <v>0</v>
      </c>
      <c r="M588" s="151"/>
      <c r="N588" s="167"/>
    </row>
    <row r="589" spans="2:14" s="1" customFormat="1" ht="30" hidden="1" customHeight="1" x14ac:dyDescent="0.15">
      <c r="B589" s="146">
        <f>IF(AND('Jrnl Exp ~ Dép'!$G92&lt;&gt;"",'Jrnl Exp ~ Dép'!$C92&lt;&gt;""),1,0)</f>
        <v>0</v>
      </c>
      <c r="C589" s="146">
        <f>'Jrnl Exp ~ Dép'!$C92</f>
        <v>0</v>
      </c>
      <c r="D589" s="168">
        <f>'Jrnl Exp ~ Dép'!$D92</f>
        <v>0</v>
      </c>
      <c r="E589" s="1510">
        <f>'Jrnl Exp ~ Dép'!$F92</f>
        <v>0</v>
      </c>
      <c r="F589" s="1510"/>
      <c r="G589" s="951" t="str">
        <f>IF('Jrnl Exp ~ Dép'!$E92="","",'Jrnl Exp ~ Dép'!$E92)</f>
        <v/>
      </c>
      <c r="H589" s="147">
        <f>'Jrnl Exp ~ Dép'!H92</f>
        <v>0</v>
      </c>
      <c r="I589" s="147" t="str">
        <f t="shared" si="18"/>
        <v>0</v>
      </c>
      <c r="J589" s="148" t="b">
        <f t="shared" si="19"/>
        <v>0</v>
      </c>
      <c r="K589" s="169"/>
      <c r="L589" s="169">
        <f>'Jrnl Exp ~ Dép'!$G92</f>
        <v>0</v>
      </c>
      <c r="M589" s="151"/>
      <c r="N589" s="167"/>
    </row>
    <row r="590" spans="2:14" s="1" customFormat="1" ht="30" hidden="1" customHeight="1" x14ac:dyDescent="0.15">
      <c r="B590" s="146">
        <f>IF(AND('Jrnl Exp ~ Dép'!$G93&lt;&gt;"",'Jrnl Exp ~ Dép'!$C93&lt;&gt;""),1,0)</f>
        <v>0</v>
      </c>
      <c r="C590" s="146">
        <f>'Jrnl Exp ~ Dép'!$C93</f>
        <v>0</v>
      </c>
      <c r="D590" s="168">
        <f>'Jrnl Exp ~ Dép'!$D93</f>
        <v>0</v>
      </c>
      <c r="E590" s="1510">
        <f>'Jrnl Exp ~ Dép'!$F93</f>
        <v>0</v>
      </c>
      <c r="F590" s="1510"/>
      <c r="G590" s="951" t="str">
        <f>IF('Jrnl Exp ~ Dép'!$E93="","",'Jrnl Exp ~ Dép'!$E93)</f>
        <v/>
      </c>
      <c r="H590" s="147">
        <f>'Jrnl Exp ~ Dép'!H93</f>
        <v>0</v>
      </c>
      <c r="I590" s="147" t="str">
        <f t="shared" si="18"/>
        <v>0</v>
      </c>
      <c r="J590" s="148" t="b">
        <f t="shared" si="19"/>
        <v>0</v>
      </c>
      <c r="K590" s="169"/>
      <c r="L590" s="169">
        <f>'Jrnl Exp ~ Dép'!$G93</f>
        <v>0</v>
      </c>
      <c r="M590" s="151"/>
      <c r="N590" s="167"/>
    </row>
    <row r="591" spans="2:14" s="1" customFormat="1" ht="30" hidden="1" customHeight="1" x14ac:dyDescent="0.15">
      <c r="B591" s="146">
        <f>IF(AND('Jrnl Exp ~ Dép'!$G94&lt;&gt;"",'Jrnl Exp ~ Dép'!$C94&lt;&gt;""),1,0)</f>
        <v>0</v>
      </c>
      <c r="C591" s="146">
        <f>'Jrnl Exp ~ Dép'!$C94</f>
        <v>0</v>
      </c>
      <c r="D591" s="168">
        <f>'Jrnl Exp ~ Dép'!$D94</f>
        <v>0</v>
      </c>
      <c r="E591" s="1510">
        <f>'Jrnl Exp ~ Dép'!$F94</f>
        <v>0</v>
      </c>
      <c r="F591" s="1510"/>
      <c r="G591" s="951" t="str">
        <f>IF('Jrnl Exp ~ Dép'!$E94="","",'Jrnl Exp ~ Dép'!$E94)</f>
        <v/>
      </c>
      <c r="H591" s="147">
        <f>'Jrnl Exp ~ Dép'!H94</f>
        <v>0</v>
      </c>
      <c r="I591" s="147" t="str">
        <f t="shared" si="18"/>
        <v>0</v>
      </c>
      <c r="J591" s="148" t="b">
        <f t="shared" si="19"/>
        <v>0</v>
      </c>
      <c r="K591" s="169"/>
      <c r="L591" s="169">
        <f>'Jrnl Exp ~ Dép'!$G94</f>
        <v>0</v>
      </c>
      <c r="M591" s="151"/>
      <c r="N591" s="167"/>
    </row>
    <row r="592" spans="2:14" s="1" customFormat="1" ht="30" hidden="1" customHeight="1" x14ac:dyDescent="0.15">
      <c r="B592" s="146">
        <f>IF(AND('Jrnl Exp ~ Dép'!$G95&lt;&gt;"",'Jrnl Exp ~ Dép'!$C95&lt;&gt;""),1,0)</f>
        <v>0</v>
      </c>
      <c r="C592" s="146">
        <f>'Jrnl Exp ~ Dép'!$C95</f>
        <v>0</v>
      </c>
      <c r="D592" s="168">
        <f>'Jrnl Exp ~ Dép'!$D95</f>
        <v>0</v>
      </c>
      <c r="E592" s="1510">
        <f>'Jrnl Exp ~ Dép'!$F95</f>
        <v>0</v>
      </c>
      <c r="F592" s="1510"/>
      <c r="G592" s="951" t="str">
        <f>IF('Jrnl Exp ~ Dép'!$E95="","",'Jrnl Exp ~ Dép'!$E95)</f>
        <v/>
      </c>
      <c r="H592" s="147">
        <f>'Jrnl Exp ~ Dép'!H95</f>
        <v>0</v>
      </c>
      <c r="I592" s="147" t="str">
        <f t="shared" si="18"/>
        <v>0</v>
      </c>
      <c r="J592" s="148" t="b">
        <f t="shared" si="19"/>
        <v>0</v>
      </c>
      <c r="K592" s="169"/>
      <c r="L592" s="169">
        <f>'Jrnl Exp ~ Dép'!$G95</f>
        <v>0</v>
      </c>
      <c r="M592" s="151"/>
      <c r="N592" s="167"/>
    </row>
    <row r="593" spans="2:14" s="1" customFormat="1" ht="30" hidden="1" customHeight="1" x14ac:dyDescent="0.15">
      <c r="B593" s="146">
        <f>IF(AND('Jrnl Exp ~ Dép'!$G96&lt;&gt;"",'Jrnl Exp ~ Dép'!$C96&lt;&gt;""),1,0)</f>
        <v>0</v>
      </c>
      <c r="C593" s="146">
        <f>'Jrnl Exp ~ Dép'!$C96</f>
        <v>0</v>
      </c>
      <c r="D593" s="168">
        <f>'Jrnl Exp ~ Dép'!$D96</f>
        <v>0</v>
      </c>
      <c r="E593" s="1510">
        <f>'Jrnl Exp ~ Dép'!$F96</f>
        <v>0</v>
      </c>
      <c r="F593" s="1510"/>
      <c r="G593" s="951" t="str">
        <f>IF('Jrnl Exp ~ Dép'!$E96="","",'Jrnl Exp ~ Dép'!$E96)</f>
        <v/>
      </c>
      <c r="H593" s="147">
        <f>'Jrnl Exp ~ Dép'!H96</f>
        <v>0</v>
      </c>
      <c r="I593" s="147" t="str">
        <f t="shared" si="18"/>
        <v>0</v>
      </c>
      <c r="J593" s="148" t="b">
        <f t="shared" si="19"/>
        <v>0</v>
      </c>
      <c r="K593" s="169"/>
      <c r="L593" s="169">
        <f>'Jrnl Exp ~ Dép'!$G96</f>
        <v>0</v>
      </c>
      <c r="M593" s="151"/>
      <c r="N593" s="167"/>
    </row>
    <row r="594" spans="2:14" s="1" customFormat="1" ht="30" hidden="1" customHeight="1" x14ac:dyDescent="0.15">
      <c r="B594" s="146">
        <f>IF(AND('Jrnl Exp ~ Dép'!$G97&lt;&gt;"",'Jrnl Exp ~ Dép'!$C97&lt;&gt;""),1,0)</f>
        <v>0</v>
      </c>
      <c r="C594" s="146">
        <f>'Jrnl Exp ~ Dép'!$C97</f>
        <v>0</v>
      </c>
      <c r="D594" s="168">
        <f>'Jrnl Exp ~ Dép'!$D97</f>
        <v>0</v>
      </c>
      <c r="E594" s="1510">
        <f>'Jrnl Exp ~ Dép'!$F97</f>
        <v>0</v>
      </c>
      <c r="F594" s="1510"/>
      <c r="G594" s="951" t="str">
        <f>IF('Jrnl Exp ~ Dép'!$E97="","",'Jrnl Exp ~ Dép'!$E97)</f>
        <v/>
      </c>
      <c r="H594" s="147">
        <f>'Jrnl Exp ~ Dép'!H97</f>
        <v>0</v>
      </c>
      <c r="I594" s="147" t="str">
        <f t="shared" si="18"/>
        <v>0</v>
      </c>
      <c r="J594" s="148" t="b">
        <f t="shared" si="19"/>
        <v>0</v>
      </c>
      <c r="K594" s="169"/>
      <c r="L594" s="169">
        <f>'Jrnl Exp ~ Dép'!$G97</f>
        <v>0</v>
      </c>
      <c r="M594" s="151"/>
      <c r="N594" s="167"/>
    </row>
    <row r="595" spans="2:14" s="1" customFormat="1" ht="30" hidden="1" customHeight="1" x14ac:dyDescent="0.15">
      <c r="B595" s="146">
        <f>IF(AND('Jrnl Exp ~ Dép'!$G98&lt;&gt;"",'Jrnl Exp ~ Dép'!$C98&lt;&gt;""),1,0)</f>
        <v>0</v>
      </c>
      <c r="C595" s="146">
        <f>'Jrnl Exp ~ Dép'!$C98</f>
        <v>0</v>
      </c>
      <c r="D595" s="168">
        <f>'Jrnl Exp ~ Dép'!$D98</f>
        <v>0</v>
      </c>
      <c r="E595" s="1510">
        <f>'Jrnl Exp ~ Dép'!$F98</f>
        <v>0</v>
      </c>
      <c r="F595" s="1510"/>
      <c r="G595" s="951" t="str">
        <f>IF('Jrnl Exp ~ Dép'!$E98="","",'Jrnl Exp ~ Dép'!$E98)</f>
        <v/>
      </c>
      <c r="H595" s="147">
        <f>'Jrnl Exp ~ Dép'!H98</f>
        <v>0</v>
      </c>
      <c r="I595" s="147" t="str">
        <f t="shared" si="18"/>
        <v>0</v>
      </c>
      <c r="J595" s="148" t="b">
        <f t="shared" si="19"/>
        <v>0</v>
      </c>
      <c r="K595" s="169"/>
      <c r="L595" s="169">
        <f>'Jrnl Exp ~ Dép'!$G98</f>
        <v>0</v>
      </c>
      <c r="M595" s="151"/>
      <c r="N595" s="167"/>
    </row>
    <row r="596" spans="2:14" s="1" customFormat="1" ht="30" hidden="1" customHeight="1" x14ac:dyDescent="0.15">
      <c r="B596" s="146">
        <f>IF(AND('Jrnl Exp ~ Dép'!$G99&lt;&gt;"",'Jrnl Exp ~ Dép'!$C99&lt;&gt;""),1,0)</f>
        <v>0</v>
      </c>
      <c r="C596" s="146">
        <f>'Jrnl Exp ~ Dép'!$C99</f>
        <v>0</v>
      </c>
      <c r="D596" s="168">
        <f>'Jrnl Exp ~ Dép'!$D99</f>
        <v>0</v>
      </c>
      <c r="E596" s="1510">
        <f>'Jrnl Exp ~ Dép'!$F99</f>
        <v>0</v>
      </c>
      <c r="F596" s="1510"/>
      <c r="G596" s="951" t="str">
        <f>IF('Jrnl Exp ~ Dép'!$E99="","",'Jrnl Exp ~ Dép'!$E99)</f>
        <v/>
      </c>
      <c r="H596" s="147">
        <f>'Jrnl Exp ~ Dép'!H99</f>
        <v>0</v>
      </c>
      <c r="I596" s="147" t="str">
        <f t="shared" si="18"/>
        <v>0</v>
      </c>
      <c r="J596" s="148" t="b">
        <f t="shared" si="19"/>
        <v>0</v>
      </c>
      <c r="K596" s="169"/>
      <c r="L596" s="169">
        <f>'Jrnl Exp ~ Dép'!$G99</f>
        <v>0</v>
      </c>
      <c r="M596" s="151"/>
      <c r="N596" s="167"/>
    </row>
    <row r="597" spans="2:14" s="1" customFormat="1" ht="30" hidden="1" customHeight="1" x14ac:dyDescent="0.15">
      <c r="B597" s="146">
        <f>IF(AND('Jrnl Exp ~ Dép'!$G100&lt;&gt;"",'Jrnl Exp ~ Dép'!$C100&lt;&gt;""),1,0)</f>
        <v>0</v>
      </c>
      <c r="C597" s="146">
        <f>'Jrnl Exp ~ Dép'!$C100</f>
        <v>0</v>
      </c>
      <c r="D597" s="168">
        <f>'Jrnl Exp ~ Dép'!$D100</f>
        <v>0</v>
      </c>
      <c r="E597" s="1510">
        <f>'Jrnl Exp ~ Dép'!$F100</f>
        <v>0</v>
      </c>
      <c r="F597" s="1510"/>
      <c r="G597" s="951" t="str">
        <f>IF('Jrnl Exp ~ Dép'!$E100="","",'Jrnl Exp ~ Dép'!$E100)</f>
        <v/>
      </c>
      <c r="H597" s="147">
        <f>'Jrnl Exp ~ Dép'!H100</f>
        <v>0</v>
      </c>
      <c r="I597" s="147" t="str">
        <f t="shared" si="18"/>
        <v>0</v>
      </c>
      <c r="J597" s="148" t="b">
        <f t="shared" si="19"/>
        <v>0</v>
      </c>
      <c r="K597" s="169"/>
      <c r="L597" s="169">
        <f>'Jrnl Exp ~ Dép'!$G100</f>
        <v>0</v>
      </c>
      <c r="M597" s="151"/>
      <c r="N597" s="167"/>
    </row>
    <row r="598" spans="2:14" s="1" customFormat="1" ht="30" hidden="1" customHeight="1" x14ac:dyDescent="0.15">
      <c r="B598" s="146">
        <f>IF(AND('Jrnl Exp ~ Dép'!$G101&lt;&gt;"",'Jrnl Exp ~ Dép'!$C101&lt;&gt;""),1,0)</f>
        <v>0</v>
      </c>
      <c r="C598" s="146">
        <f>'Jrnl Exp ~ Dép'!$C101</f>
        <v>0</v>
      </c>
      <c r="D598" s="168">
        <f>'Jrnl Exp ~ Dép'!$D101</f>
        <v>0</v>
      </c>
      <c r="E598" s="1510">
        <f>'Jrnl Exp ~ Dép'!$F101</f>
        <v>0</v>
      </c>
      <c r="F598" s="1510"/>
      <c r="G598" s="951" t="str">
        <f>IF('Jrnl Exp ~ Dép'!$E101="","",'Jrnl Exp ~ Dép'!$E101)</f>
        <v/>
      </c>
      <c r="H598" s="147">
        <f>'Jrnl Exp ~ Dép'!H101</f>
        <v>0</v>
      </c>
      <c r="I598" s="147" t="str">
        <f t="shared" si="18"/>
        <v>0</v>
      </c>
      <c r="J598" s="148" t="b">
        <f t="shared" si="19"/>
        <v>0</v>
      </c>
      <c r="K598" s="169"/>
      <c r="L598" s="169">
        <f>'Jrnl Exp ~ Dép'!$G101</f>
        <v>0</v>
      </c>
      <c r="M598" s="151"/>
      <c r="N598" s="167"/>
    </row>
    <row r="599" spans="2:14" s="1" customFormat="1" ht="30" hidden="1" customHeight="1" x14ac:dyDescent="0.15">
      <c r="B599" s="146">
        <f>IF(AND('Jrnl Exp ~ Dép'!$G102&lt;&gt;"",'Jrnl Exp ~ Dép'!$C102&lt;&gt;""),1,0)</f>
        <v>0</v>
      </c>
      <c r="C599" s="146">
        <f>'Jrnl Exp ~ Dép'!$C102</f>
        <v>0</v>
      </c>
      <c r="D599" s="168">
        <f>'Jrnl Exp ~ Dép'!$D102</f>
        <v>0</v>
      </c>
      <c r="E599" s="1510">
        <f>'Jrnl Exp ~ Dép'!$F102</f>
        <v>0</v>
      </c>
      <c r="F599" s="1510"/>
      <c r="G599" s="951" t="str">
        <f>IF('Jrnl Exp ~ Dép'!$E102="","",'Jrnl Exp ~ Dép'!$E102)</f>
        <v/>
      </c>
      <c r="H599" s="147">
        <f>'Jrnl Exp ~ Dép'!H102</f>
        <v>0</v>
      </c>
      <c r="I599" s="147" t="str">
        <f t="shared" si="18"/>
        <v>0</v>
      </c>
      <c r="J599" s="148" t="b">
        <f t="shared" si="19"/>
        <v>0</v>
      </c>
      <c r="K599" s="169"/>
      <c r="L599" s="169">
        <f>'Jrnl Exp ~ Dép'!$G102</f>
        <v>0</v>
      </c>
      <c r="M599" s="151"/>
      <c r="N599" s="167"/>
    </row>
    <row r="600" spans="2:14" s="1" customFormat="1" ht="30" hidden="1" customHeight="1" x14ac:dyDescent="0.15">
      <c r="B600" s="146">
        <f>IF(AND('Jrnl Exp ~ Dép'!$G103&lt;&gt;"",'Jrnl Exp ~ Dép'!$C103&lt;&gt;""),1,0)</f>
        <v>0</v>
      </c>
      <c r="C600" s="146">
        <f>'Jrnl Exp ~ Dép'!$C103</f>
        <v>0</v>
      </c>
      <c r="D600" s="168">
        <f>'Jrnl Exp ~ Dép'!$D103</f>
        <v>0</v>
      </c>
      <c r="E600" s="1510">
        <f>'Jrnl Exp ~ Dép'!$F103</f>
        <v>0</v>
      </c>
      <c r="F600" s="1510"/>
      <c r="G600" s="951" t="str">
        <f>IF('Jrnl Exp ~ Dép'!$E103="","",'Jrnl Exp ~ Dép'!$E103)</f>
        <v/>
      </c>
      <c r="H600" s="147">
        <f>'Jrnl Exp ~ Dép'!H103</f>
        <v>0</v>
      </c>
      <c r="I600" s="147" t="str">
        <f t="shared" si="18"/>
        <v>0</v>
      </c>
      <c r="J600" s="148" t="b">
        <f t="shared" si="19"/>
        <v>0</v>
      </c>
      <c r="K600" s="169"/>
      <c r="L600" s="169">
        <f>'Jrnl Exp ~ Dép'!$G103</f>
        <v>0</v>
      </c>
      <c r="M600" s="151"/>
      <c r="N600" s="167"/>
    </row>
    <row r="601" spans="2:14" s="1" customFormat="1" ht="30" hidden="1" customHeight="1" x14ac:dyDescent="0.15">
      <c r="B601" s="146">
        <f>IF(AND('Jrnl Exp ~ Dép'!$G104&lt;&gt;"",'Jrnl Exp ~ Dép'!$C104&lt;&gt;""),1,0)</f>
        <v>0</v>
      </c>
      <c r="C601" s="146">
        <f>'Jrnl Exp ~ Dép'!$C104</f>
        <v>0</v>
      </c>
      <c r="D601" s="168">
        <f>'Jrnl Exp ~ Dép'!$D104</f>
        <v>0</v>
      </c>
      <c r="E601" s="1510">
        <f>'Jrnl Exp ~ Dép'!$F104</f>
        <v>0</v>
      </c>
      <c r="F601" s="1510"/>
      <c r="G601" s="951" t="str">
        <f>IF('Jrnl Exp ~ Dép'!$E104="","",'Jrnl Exp ~ Dép'!$E104)</f>
        <v/>
      </c>
      <c r="H601" s="147">
        <f>'Jrnl Exp ~ Dép'!H104</f>
        <v>0</v>
      </c>
      <c r="I601" s="147" t="str">
        <f t="shared" si="18"/>
        <v>0</v>
      </c>
      <c r="J601" s="148" t="b">
        <f t="shared" si="19"/>
        <v>0</v>
      </c>
      <c r="K601" s="169"/>
      <c r="L601" s="169">
        <f>'Jrnl Exp ~ Dép'!$G104</f>
        <v>0</v>
      </c>
      <c r="M601" s="151"/>
      <c r="N601" s="167"/>
    </row>
    <row r="602" spans="2:14" s="1" customFormat="1" ht="30" hidden="1" customHeight="1" x14ac:dyDescent="0.15">
      <c r="B602" s="146">
        <f>IF(AND('Jrnl Exp ~ Dép'!$G105&lt;&gt;"",'Jrnl Exp ~ Dép'!$C105&lt;&gt;""),1,0)</f>
        <v>0</v>
      </c>
      <c r="C602" s="146">
        <f>'Jrnl Exp ~ Dép'!$C105</f>
        <v>0</v>
      </c>
      <c r="D602" s="168">
        <f>'Jrnl Exp ~ Dép'!$D105</f>
        <v>0</v>
      </c>
      <c r="E602" s="1510">
        <f>'Jrnl Exp ~ Dép'!$F105</f>
        <v>0</v>
      </c>
      <c r="F602" s="1510"/>
      <c r="G602" s="951" t="str">
        <f>IF('Jrnl Exp ~ Dép'!$E105="","",'Jrnl Exp ~ Dép'!$E105)</f>
        <v/>
      </c>
      <c r="H602" s="147">
        <f>'Jrnl Exp ~ Dép'!H105</f>
        <v>0</v>
      </c>
      <c r="I602" s="147" t="str">
        <f t="shared" si="18"/>
        <v>0</v>
      </c>
      <c r="J602" s="148" t="b">
        <f t="shared" si="19"/>
        <v>0</v>
      </c>
      <c r="K602" s="169"/>
      <c r="L602" s="169">
        <f>'Jrnl Exp ~ Dép'!$G105</f>
        <v>0</v>
      </c>
      <c r="M602" s="151"/>
      <c r="N602" s="167"/>
    </row>
    <row r="603" spans="2:14" s="1" customFormat="1" ht="30" hidden="1" customHeight="1" x14ac:dyDescent="0.15">
      <c r="B603" s="146">
        <f>IF(AND('Jrnl Exp ~ Dép'!$G106&lt;&gt;"",'Jrnl Exp ~ Dép'!$C106&lt;&gt;""),1,0)</f>
        <v>0</v>
      </c>
      <c r="C603" s="146">
        <f>'Jrnl Exp ~ Dép'!$C106</f>
        <v>0</v>
      </c>
      <c r="D603" s="168">
        <f>'Jrnl Exp ~ Dép'!$D106</f>
        <v>0</v>
      </c>
      <c r="E603" s="1510">
        <f>'Jrnl Exp ~ Dép'!$F106</f>
        <v>0</v>
      </c>
      <c r="F603" s="1510"/>
      <c r="G603" s="951" t="str">
        <f>IF('Jrnl Exp ~ Dép'!$E106="","",'Jrnl Exp ~ Dép'!$E106)</f>
        <v/>
      </c>
      <c r="H603" s="147">
        <f>'Jrnl Exp ~ Dép'!H106</f>
        <v>0</v>
      </c>
      <c r="I603" s="147" t="str">
        <f t="shared" si="18"/>
        <v>0</v>
      </c>
      <c r="J603" s="148" t="b">
        <f t="shared" si="19"/>
        <v>0</v>
      </c>
      <c r="K603" s="169"/>
      <c r="L603" s="169">
        <f>'Jrnl Exp ~ Dép'!$G106</f>
        <v>0</v>
      </c>
      <c r="M603" s="151"/>
      <c r="N603" s="167"/>
    </row>
    <row r="604" spans="2:14" s="1" customFormat="1" ht="30" hidden="1" customHeight="1" x14ac:dyDescent="0.15">
      <c r="B604" s="146">
        <f>IF(AND('Jrnl Exp ~ Dép'!$G107&lt;&gt;"",'Jrnl Exp ~ Dép'!$C107&lt;&gt;""),1,0)</f>
        <v>0</v>
      </c>
      <c r="C604" s="146">
        <f>'Jrnl Exp ~ Dép'!$C107</f>
        <v>0</v>
      </c>
      <c r="D604" s="168">
        <f>'Jrnl Exp ~ Dép'!$D107</f>
        <v>0</v>
      </c>
      <c r="E604" s="1510">
        <f>'Jrnl Exp ~ Dép'!$F107</f>
        <v>0</v>
      </c>
      <c r="F604" s="1510"/>
      <c r="G604" s="951" t="str">
        <f>IF('Jrnl Exp ~ Dép'!$E107="","",'Jrnl Exp ~ Dép'!$E107)</f>
        <v/>
      </c>
      <c r="H604" s="147">
        <f>'Jrnl Exp ~ Dép'!H107</f>
        <v>0</v>
      </c>
      <c r="I604" s="147" t="str">
        <f t="shared" si="18"/>
        <v>0</v>
      </c>
      <c r="J604" s="148" t="b">
        <f t="shared" si="19"/>
        <v>0</v>
      </c>
      <c r="K604" s="169"/>
      <c r="L604" s="169">
        <f>'Jrnl Exp ~ Dép'!$G107</f>
        <v>0</v>
      </c>
      <c r="M604" s="151"/>
      <c r="N604" s="167"/>
    </row>
    <row r="605" spans="2:14" s="1" customFormat="1" ht="30" hidden="1" customHeight="1" x14ac:dyDescent="0.15">
      <c r="B605" s="146">
        <f>IF(AND('Jrnl Exp ~ Dép'!$G108&lt;&gt;"",'Jrnl Exp ~ Dép'!$C108&lt;&gt;""),1,0)</f>
        <v>0</v>
      </c>
      <c r="C605" s="146">
        <f>'Jrnl Exp ~ Dép'!$C108</f>
        <v>0</v>
      </c>
      <c r="D605" s="168">
        <f>'Jrnl Exp ~ Dép'!$D108</f>
        <v>0</v>
      </c>
      <c r="E605" s="1510">
        <f>'Jrnl Exp ~ Dép'!$F108</f>
        <v>0</v>
      </c>
      <c r="F605" s="1510"/>
      <c r="G605" s="951" t="str">
        <f>IF('Jrnl Exp ~ Dép'!$E108="","",'Jrnl Exp ~ Dép'!$E108)</f>
        <v/>
      </c>
      <c r="H605" s="147">
        <f>'Jrnl Exp ~ Dép'!H108</f>
        <v>0</v>
      </c>
      <c r="I605" s="147" t="str">
        <f t="shared" si="18"/>
        <v>0</v>
      </c>
      <c r="J605" s="148" t="b">
        <f t="shared" si="19"/>
        <v>0</v>
      </c>
      <c r="K605" s="169"/>
      <c r="L605" s="169">
        <f>'Jrnl Exp ~ Dép'!$G108</f>
        <v>0</v>
      </c>
      <c r="M605" s="151"/>
      <c r="N605" s="167"/>
    </row>
    <row r="606" spans="2:14" s="1" customFormat="1" ht="30" hidden="1" customHeight="1" x14ac:dyDescent="0.15">
      <c r="B606" s="146">
        <f>IF(AND('Jrnl Exp ~ Dép'!$G109&lt;&gt;"",'Jrnl Exp ~ Dép'!$C109&lt;&gt;""),1,0)</f>
        <v>0</v>
      </c>
      <c r="C606" s="146">
        <f>'Jrnl Exp ~ Dép'!$C109</f>
        <v>0</v>
      </c>
      <c r="D606" s="168">
        <f>'Jrnl Exp ~ Dép'!$D109</f>
        <v>0</v>
      </c>
      <c r="E606" s="1510">
        <f>'Jrnl Exp ~ Dép'!$F109</f>
        <v>0</v>
      </c>
      <c r="F606" s="1510"/>
      <c r="G606" s="951" t="str">
        <f>IF('Jrnl Exp ~ Dép'!$E109="","",'Jrnl Exp ~ Dép'!$E109)</f>
        <v/>
      </c>
      <c r="H606" s="147">
        <f>'Jrnl Exp ~ Dép'!H109</f>
        <v>0</v>
      </c>
      <c r="I606" s="147" t="str">
        <f t="shared" si="18"/>
        <v>0</v>
      </c>
      <c r="J606" s="148" t="b">
        <f t="shared" si="19"/>
        <v>0</v>
      </c>
      <c r="K606" s="169"/>
      <c r="L606" s="169">
        <f>'Jrnl Exp ~ Dép'!$G109</f>
        <v>0</v>
      </c>
      <c r="M606" s="151"/>
      <c r="N606" s="167"/>
    </row>
    <row r="607" spans="2:14" s="1" customFormat="1" ht="30" hidden="1" customHeight="1" x14ac:dyDescent="0.15">
      <c r="B607" s="146">
        <f>IF(AND('Jrnl Exp ~ Dép'!$G110&lt;&gt;"",'Jrnl Exp ~ Dép'!$C110&lt;&gt;""),1,0)</f>
        <v>0</v>
      </c>
      <c r="C607" s="146">
        <f>'Jrnl Exp ~ Dép'!$C110</f>
        <v>0</v>
      </c>
      <c r="D607" s="168">
        <f>'Jrnl Exp ~ Dép'!$D110</f>
        <v>0</v>
      </c>
      <c r="E607" s="1510">
        <f>'Jrnl Exp ~ Dép'!$F110</f>
        <v>0</v>
      </c>
      <c r="F607" s="1510"/>
      <c r="G607" s="951" t="str">
        <f>IF('Jrnl Exp ~ Dép'!$E110="","",'Jrnl Exp ~ Dép'!$E110)</f>
        <v/>
      </c>
      <c r="H607" s="147">
        <f>'Jrnl Exp ~ Dép'!H110</f>
        <v>0</v>
      </c>
      <c r="I607" s="147" t="str">
        <f t="shared" si="18"/>
        <v>0</v>
      </c>
      <c r="J607" s="148" t="b">
        <f t="shared" si="19"/>
        <v>0</v>
      </c>
      <c r="K607" s="169"/>
      <c r="L607" s="169">
        <f>'Jrnl Exp ~ Dép'!$G110</f>
        <v>0</v>
      </c>
      <c r="M607" s="151"/>
      <c r="N607" s="167"/>
    </row>
    <row r="608" spans="2:14" s="1" customFormat="1" ht="30" hidden="1" customHeight="1" x14ac:dyDescent="0.15">
      <c r="B608" s="146">
        <f>IF(AND('Jrnl Exp ~ Dép'!$G111&lt;&gt;"",'Jrnl Exp ~ Dép'!$C111&lt;&gt;""),1,0)</f>
        <v>0</v>
      </c>
      <c r="C608" s="146">
        <f>'Jrnl Exp ~ Dép'!$C111</f>
        <v>0</v>
      </c>
      <c r="D608" s="168">
        <f>'Jrnl Exp ~ Dép'!$D111</f>
        <v>0</v>
      </c>
      <c r="E608" s="1510">
        <f>'Jrnl Exp ~ Dép'!$F111</f>
        <v>0</v>
      </c>
      <c r="F608" s="1510"/>
      <c r="G608" s="951" t="str">
        <f>IF('Jrnl Exp ~ Dép'!$E111="","",'Jrnl Exp ~ Dép'!$E111)</f>
        <v/>
      </c>
      <c r="H608" s="147">
        <f>'Jrnl Exp ~ Dép'!H111</f>
        <v>0</v>
      </c>
      <c r="I608" s="147" t="str">
        <f t="shared" si="18"/>
        <v>0</v>
      </c>
      <c r="J608" s="148" t="b">
        <f t="shared" si="19"/>
        <v>0</v>
      </c>
      <c r="K608" s="169"/>
      <c r="L608" s="169">
        <f>'Jrnl Exp ~ Dép'!$G111</f>
        <v>0</v>
      </c>
      <c r="M608" s="151"/>
      <c r="N608" s="167"/>
    </row>
    <row r="609" spans="2:14" s="1" customFormat="1" ht="30" hidden="1" customHeight="1" x14ac:dyDescent="0.15">
      <c r="B609" s="146">
        <f>IF(AND('Jrnl Exp ~ Dép'!$G112&lt;&gt;"",'Jrnl Exp ~ Dép'!$C112&lt;&gt;""),1,0)</f>
        <v>0</v>
      </c>
      <c r="C609" s="146">
        <f>'Jrnl Exp ~ Dép'!$C112</f>
        <v>0</v>
      </c>
      <c r="D609" s="168">
        <f>'Jrnl Exp ~ Dép'!$D112</f>
        <v>0</v>
      </c>
      <c r="E609" s="1510">
        <f>'Jrnl Exp ~ Dép'!$F112</f>
        <v>0</v>
      </c>
      <c r="F609" s="1510"/>
      <c r="G609" s="951" t="str">
        <f>IF('Jrnl Exp ~ Dép'!$E112="","",'Jrnl Exp ~ Dép'!$E112)</f>
        <v/>
      </c>
      <c r="H609" s="147">
        <f>'Jrnl Exp ~ Dép'!H112</f>
        <v>0</v>
      </c>
      <c r="I609" s="147" t="str">
        <f t="shared" si="18"/>
        <v>0</v>
      </c>
      <c r="J609" s="148" t="b">
        <f t="shared" si="19"/>
        <v>0</v>
      </c>
      <c r="K609" s="169"/>
      <c r="L609" s="169">
        <f>'Jrnl Exp ~ Dép'!$G112</f>
        <v>0</v>
      </c>
      <c r="M609" s="151"/>
      <c r="N609" s="167"/>
    </row>
    <row r="610" spans="2:14" s="1" customFormat="1" ht="30" hidden="1" customHeight="1" x14ac:dyDescent="0.15">
      <c r="B610" s="146">
        <f>IF(AND('Jrnl Exp ~ Dép'!$G113&lt;&gt;"",'Jrnl Exp ~ Dép'!$C113&lt;&gt;""),1,0)</f>
        <v>0</v>
      </c>
      <c r="C610" s="146">
        <f>'Jrnl Exp ~ Dép'!$C113</f>
        <v>0</v>
      </c>
      <c r="D610" s="168">
        <f>'Jrnl Exp ~ Dép'!$D113</f>
        <v>0</v>
      </c>
      <c r="E610" s="1510">
        <f>'Jrnl Exp ~ Dép'!$F113</f>
        <v>0</v>
      </c>
      <c r="F610" s="1510"/>
      <c r="G610" s="951" t="str">
        <f>IF('Jrnl Exp ~ Dép'!$E113="","",'Jrnl Exp ~ Dép'!$E113)</f>
        <v/>
      </c>
      <c r="H610" s="147">
        <f>'Jrnl Exp ~ Dép'!H113</f>
        <v>0</v>
      </c>
      <c r="I610" s="147" t="str">
        <f t="shared" si="18"/>
        <v>0</v>
      </c>
      <c r="J610" s="148" t="b">
        <f t="shared" si="19"/>
        <v>0</v>
      </c>
      <c r="K610" s="169"/>
      <c r="L610" s="169">
        <f>'Jrnl Exp ~ Dép'!$G113</f>
        <v>0</v>
      </c>
      <c r="M610" s="151"/>
      <c r="N610" s="167"/>
    </row>
    <row r="611" spans="2:14" s="1" customFormat="1" ht="30" hidden="1" customHeight="1" x14ac:dyDescent="0.15">
      <c r="B611" s="146">
        <f>IF(AND('Jrnl Exp ~ Dép'!$G114&lt;&gt;"",'Jrnl Exp ~ Dép'!$C114&lt;&gt;""),1,0)</f>
        <v>0</v>
      </c>
      <c r="C611" s="146">
        <f>'Jrnl Exp ~ Dép'!$C114</f>
        <v>0</v>
      </c>
      <c r="D611" s="168">
        <f>'Jrnl Exp ~ Dép'!$D114</f>
        <v>0</v>
      </c>
      <c r="E611" s="1510">
        <f>'Jrnl Exp ~ Dép'!$F114</f>
        <v>0</v>
      </c>
      <c r="F611" s="1510"/>
      <c r="G611" s="951" t="str">
        <f>IF('Jrnl Exp ~ Dép'!$E114="","",'Jrnl Exp ~ Dép'!$E114)</f>
        <v/>
      </c>
      <c r="H611" s="147">
        <f>'Jrnl Exp ~ Dép'!H114</f>
        <v>0</v>
      </c>
      <c r="I611" s="147" t="str">
        <f t="shared" si="18"/>
        <v>0</v>
      </c>
      <c r="J611" s="148" t="b">
        <f t="shared" si="19"/>
        <v>0</v>
      </c>
      <c r="K611" s="169"/>
      <c r="L611" s="169">
        <f>'Jrnl Exp ~ Dép'!$G114</f>
        <v>0</v>
      </c>
      <c r="M611" s="151"/>
      <c r="N611" s="167"/>
    </row>
    <row r="612" spans="2:14" s="1" customFormat="1" ht="30" hidden="1" customHeight="1" x14ac:dyDescent="0.15">
      <c r="B612" s="146">
        <f>IF(AND('Jrnl Exp ~ Dép'!$G115&lt;&gt;"",'Jrnl Exp ~ Dép'!$C115&lt;&gt;""),1,0)</f>
        <v>0</v>
      </c>
      <c r="C612" s="146">
        <f>'Jrnl Exp ~ Dép'!$C115</f>
        <v>0</v>
      </c>
      <c r="D612" s="168">
        <f>'Jrnl Exp ~ Dép'!$D115</f>
        <v>0</v>
      </c>
      <c r="E612" s="1510">
        <f>'Jrnl Exp ~ Dép'!$F115</f>
        <v>0</v>
      </c>
      <c r="F612" s="1510"/>
      <c r="G612" s="951" t="str">
        <f>IF('Jrnl Exp ~ Dép'!$E115="","",'Jrnl Exp ~ Dép'!$E115)</f>
        <v/>
      </c>
      <c r="H612" s="147">
        <f>'Jrnl Exp ~ Dép'!H115</f>
        <v>0</v>
      </c>
      <c r="I612" s="147" t="str">
        <f t="shared" si="18"/>
        <v>0</v>
      </c>
      <c r="J612" s="148" t="b">
        <f t="shared" si="19"/>
        <v>0</v>
      </c>
      <c r="K612" s="169"/>
      <c r="L612" s="169">
        <f>'Jrnl Exp ~ Dép'!$G115</f>
        <v>0</v>
      </c>
      <c r="M612" s="151"/>
      <c r="N612" s="167"/>
    </row>
    <row r="613" spans="2:14" s="1" customFormat="1" ht="30" hidden="1" customHeight="1" x14ac:dyDescent="0.15">
      <c r="B613" s="146">
        <f>IF(AND('Jrnl Exp ~ Dép'!$G116&lt;&gt;"",'Jrnl Exp ~ Dép'!$C116&lt;&gt;""),1,0)</f>
        <v>0</v>
      </c>
      <c r="C613" s="146">
        <f>'Jrnl Exp ~ Dép'!$C116</f>
        <v>0</v>
      </c>
      <c r="D613" s="168">
        <f>'Jrnl Exp ~ Dép'!$D116</f>
        <v>0</v>
      </c>
      <c r="E613" s="1510">
        <f>'Jrnl Exp ~ Dép'!$F116</f>
        <v>0</v>
      </c>
      <c r="F613" s="1510"/>
      <c r="G613" s="951" t="str">
        <f>IF('Jrnl Exp ~ Dép'!$E116="","",'Jrnl Exp ~ Dép'!$E116)</f>
        <v/>
      </c>
      <c r="H613" s="147">
        <f>'Jrnl Exp ~ Dép'!H116</f>
        <v>0</v>
      </c>
      <c r="I613" s="147" t="str">
        <f t="shared" si="18"/>
        <v>0</v>
      </c>
      <c r="J613" s="148" t="b">
        <f t="shared" si="19"/>
        <v>0</v>
      </c>
      <c r="K613" s="169"/>
      <c r="L613" s="169">
        <f>'Jrnl Exp ~ Dép'!$G116</f>
        <v>0</v>
      </c>
      <c r="M613" s="151"/>
      <c r="N613" s="167"/>
    </row>
    <row r="614" spans="2:14" s="1" customFormat="1" ht="30" hidden="1" customHeight="1" x14ac:dyDescent="0.15">
      <c r="B614" s="146">
        <f>IF(AND('Jrnl Exp ~ Dép'!$G117&lt;&gt;"",'Jrnl Exp ~ Dép'!$C117&lt;&gt;""),1,0)</f>
        <v>0</v>
      </c>
      <c r="C614" s="146">
        <f>'Jrnl Exp ~ Dép'!$C117</f>
        <v>0</v>
      </c>
      <c r="D614" s="168">
        <f>'Jrnl Exp ~ Dép'!$D117</f>
        <v>0</v>
      </c>
      <c r="E614" s="1510">
        <f>'Jrnl Exp ~ Dép'!$F117</f>
        <v>0</v>
      </c>
      <c r="F614" s="1510"/>
      <c r="G614" s="951" t="str">
        <f>IF('Jrnl Exp ~ Dép'!$E117="","",'Jrnl Exp ~ Dép'!$E117)</f>
        <v/>
      </c>
      <c r="H614" s="147">
        <f>'Jrnl Exp ~ Dép'!H117</f>
        <v>0</v>
      </c>
      <c r="I614" s="147" t="str">
        <f t="shared" si="18"/>
        <v>0</v>
      </c>
      <c r="J614" s="148" t="b">
        <f t="shared" si="19"/>
        <v>0</v>
      </c>
      <c r="K614" s="169"/>
      <c r="L614" s="169">
        <f>'Jrnl Exp ~ Dép'!$G117</f>
        <v>0</v>
      </c>
      <c r="M614" s="151"/>
      <c r="N614" s="167"/>
    </row>
    <row r="615" spans="2:14" s="1" customFormat="1" ht="30" hidden="1" customHeight="1" x14ac:dyDescent="0.15">
      <c r="B615" s="146">
        <f>IF(AND('Jrnl Exp ~ Dép'!$G118&lt;&gt;"",'Jrnl Exp ~ Dép'!$C118&lt;&gt;""),1,0)</f>
        <v>0</v>
      </c>
      <c r="C615" s="146">
        <f>'Jrnl Exp ~ Dép'!$C118</f>
        <v>0</v>
      </c>
      <c r="D615" s="168">
        <f>'Jrnl Exp ~ Dép'!$D118</f>
        <v>0</v>
      </c>
      <c r="E615" s="1510">
        <f>'Jrnl Exp ~ Dép'!$F118</f>
        <v>0</v>
      </c>
      <c r="F615" s="1510"/>
      <c r="G615" s="951" t="str">
        <f>IF('Jrnl Exp ~ Dép'!$E118="","",'Jrnl Exp ~ Dép'!$E118)</f>
        <v/>
      </c>
      <c r="H615" s="147">
        <f>'Jrnl Exp ~ Dép'!H118</f>
        <v>0</v>
      </c>
      <c r="I615" s="147" t="str">
        <f t="shared" si="18"/>
        <v>0</v>
      </c>
      <c r="J615" s="148" t="b">
        <f t="shared" si="19"/>
        <v>0</v>
      </c>
      <c r="K615" s="169"/>
      <c r="L615" s="169">
        <f>'Jrnl Exp ~ Dép'!$G118</f>
        <v>0</v>
      </c>
      <c r="M615" s="151"/>
      <c r="N615" s="167"/>
    </row>
    <row r="616" spans="2:14" s="1" customFormat="1" ht="30" hidden="1" customHeight="1" x14ac:dyDescent="0.15">
      <c r="B616" s="146">
        <f>IF(AND('Jrnl Exp ~ Dép'!$G119&lt;&gt;"",'Jrnl Exp ~ Dép'!$C119&lt;&gt;""),1,0)</f>
        <v>0</v>
      </c>
      <c r="C616" s="146">
        <f>'Jrnl Exp ~ Dép'!$C119</f>
        <v>0</v>
      </c>
      <c r="D616" s="168">
        <f>'Jrnl Exp ~ Dép'!$D119</f>
        <v>0</v>
      </c>
      <c r="E616" s="1510">
        <f>'Jrnl Exp ~ Dép'!$F119</f>
        <v>0</v>
      </c>
      <c r="F616" s="1510"/>
      <c r="G616" s="951" t="str">
        <f>IF('Jrnl Exp ~ Dép'!$E119="","",'Jrnl Exp ~ Dép'!$E119)</f>
        <v/>
      </c>
      <c r="H616" s="147">
        <f>'Jrnl Exp ~ Dép'!H119</f>
        <v>0</v>
      </c>
      <c r="I616" s="147" t="str">
        <f t="shared" si="18"/>
        <v>0</v>
      </c>
      <c r="J616" s="148" t="b">
        <f t="shared" si="19"/>
        <v>0</v>
      </c>
      <c r="K616" s="169"/>
      <c r="L616" s="169">
        <f>'Jrnl Exp ~ Dép'!$G119</f>
        <v>0</v>
      </c>
      <c r="M616" s="151"/>
      <c r="N616" s="167"/>
    </row>
    <row r="617" spans="2:14" s="1" customFormat="1" ht="30" hidden="1" customHeight="1" x14ac:dyDescent="0.15">
      <c r="B617" s="146">
        <f>IF(AND('Jrnl Exp ~ Dép'!$G120&lt;&gt;"",'Jrnl Exp ~ Dép'!$C120&lt;&gt;""),1,0)</f>
        <v>0</v>
      </c>
      <c r="C617" s="146">
        <f>'Jrnl Exp ~ Dép'!$C120</f>
        <v>0</v>
      </c>
      <c r="D617" s="168">
        <f>'Jrnl Exp ~ Dép'!$D120</f>
        <v>0</v>
      </c>
      <c r="E617" s="1510">
        <f>'Jrnl Exp ~ Dép'!$F120</f>
        <v>0</v>
      </c>
      <c r="F617" s="1510"/>
      <c r="G617" s="951" t="str">
        <f>IF('Jrnl Exp ~ Dép'!$E120="","",'Jrnl Exp ~ Dép'!$E120)</f>
        <v/>
      </c>
      <c r="H617" s="147">
        <f>'Jrnl Exp ~ Dép'!H120</f>
        <v>0</v>
      </c>
      <c r="I617" s="147" t="str">
        <f t="shared" si="18"/>
        <v>0</v>
      </c>
      <c r="J617" s="148" t="b">
        <f t="shared" si="19"/>
        <v>0</v>
      </c>
      <c r="K617" s="169"/>
      <c r="L617" s="169">
        <f>'Jrnl Exp ~ Dép'!$G120</f>
        <v>0</v>
      </c>
      <c r="M617" s="151"/>
      <c r="N617" s="167"/>
    </row>
    <row r="618" spans="2:14" s="1" customFormat="1" ht="30" hidden="1" customHeight="1" x14ac:dyDescent="0.15">
      <c r="B618" s="146">
        <f>IF(AND('Jrnl Exp ~ Dép'!$G121&lt;&gt;"",'Jrnl Exp ~ Dép'!$C121&lt;&gt;""),1,0)</f>
        <v>0</v>
      </c>
      <c r="C618" s="146">
        <f>'Jrnl Exp ~ Dép'!$C121</f>
        <v>0</v>
      </c>
      <c r="D618" s="168">
        <f>'Jrnl Exp ~ Dép'!$D121</f>
        <v>0</v>
      </c>
      <c r="E618" s="1510">
        <f>'Jrnl Exp ~ Dép'!$F121</f>
        <v>0</v>
      </c>
      <c r="F618" s="1510"/>
      <c r="G618" s="951" t="str">
        <f>IF('Jrnl Exp ~ Dép'!$E121="","",'Jrnl Exp ~ Dép'!$E121)</f>
        <v/>
      </c>
      <c r="H618" s="147">
        <f>'Jrnl Exp ~ Dép'!H121</f>
        <v>0</v>
      </c>
      <c r="I618" s="147" t="str">
        <f t="shared" si="18"/>
        <v>0</v>
      </c>
      <c r="J618" s="148" t="b">
        <f t="shared" si="19"/>
        <v>0</v>
      </c>
      <c r="K618" s="169"/>
      <c r="L618" s="169">
        <f>'Jrnl Exp ~ Dép'!$G121</f>
        <v>0</v>
      </c>
      <c r="M618" s="151"/>
      <c r="N618" s="167"/>
    </row>
    <row r="619" spans="2:14" s="1" customFormat="1" ht="30" hidden="1" customHeight="1" x14ac:dyDescent="0.15">
      <c r="B619" s="146">
        <f>IF(AND('Jrnl Exp ~ Dép'!$G122&lt;&gt;"",'Jrnl Exp ~ Dép'!$C122&lt;&gt;""),1,0)</f>
        <v>0</v>
      </c>
      <c r="C619" s="146">
        <f>'Jrnl Exp ~ Dép'!$C122</f>
        <v>0</v>
      </c>
      <c r="D619" s="168">
        <f>'Jrnl Exp ~ Dép'!$D122</f>
        <v>0</v>
      </c>
      <c r="E619" s="1510">
        <f>'Jrnl Exp ~ Dép'!$F122</f>
        <v>0</v>
      </c>
      <c r="F619" s="1510"/>
      <c r="G619" s="951" t="str">
        <f>IF('Jrnl Exp ~ Dép'!$E122="","",'Jrnl Exp ~ Dép'!$E122)</f>
        <v/>
      </c>
      <c r="H619" s="147">
        <f>'Jrnl Exp ~ Dép'!H122</f>
        <v>0</v>
      </c>
      <c r="I619" s="147" t="str">
        <f t="shared" si="18"/>
        <v>0</v>
      </c>
      <c r="J619" s="148" t="b">
        <f t="shared" si="19"/>
        <v>0</v>
      </c>
      <c r="K619" s="169"/>
      <c r="L619" s="169">
        <f>'Jrnl Exp ~ Dép'!$G122</f>
        <v>0</v>
      </c>
      <c r="M619" s="151"/>
      <c r="N619" s="167"/>
    </row>
    <row r="620" spans="2:14" s="1" customFormat="1" ht="30" hidden="1" customHeight="1" x14ac:dyDescent="0.15">
      <c r="B620" s="146">
        <f>IF(AND('Jrnl Exp ~ Dép'!$G123&lt;&gt;"",'Jrnl Exp ~ Dép'!$C123&lt;&gt;""),1,0)</f>
        <v>0</v>
      </c>
      <c r="C620" s="146">
        <f>'Jrnl Exp ~ Dép'!$C123</f>
        <v>0</v>
      </c>
      <c r="D620" s="168">
        <f>'Jrnl Exp ~ Dép'!$D123</f>
        <v>0</v>
      </c>
      <c r="E620" s="1510">
        <f>'Jrnl Exp ~ Dép'!$F123</f>
        <v>0</v>
      </c>
      <c r="F620" s="1510"/>
      <c r="G620" s="951" t="str">
        <f>IF('Jrnl Exp ~ Dép'!$E123="","",'Jrnl Exp ~ Dép'!$E123)</f>
        <v/>
      </c>
      <c r="H620" s="147">
        <f>'Jrnl Exp ~ Dép'!H123</f>
        <v>0</v>
      </c>
      <c r="I620" s="147" t="str">
        <f t="shared" si="18"/>
        <v>0</v>
      </c>
      <c r="J620" s="148" t="b">
        <f t="shared" si="19"/>
        <v>0</v>
      </c>
      <c r="K620" s="169"/>
      <c r="L620" s="169">
        <f>'Jrnl Exp ~ Dép'!$G123</f>
        <v>0</v>
      </c>
      <c r="M620" s="151"/>
      <c r="N620" s="167"/>
    </row>
    <row r="621" spans="2:14" s="1" customFormat="1" ht="30" hidden="1" customHeight="1" x14ac:dyDescent="0.15">
      <c r="B621" s="146">
        <f>IF(AND('Jrnl Exp ~ Dép'!$G124&lt;&gt;"",'Jrnl Exp ~ Dép'!$C124&lt;&gt;""),1,0)</f>
        <v>0</v>
      </c>
      <c r="C621" s="146">
        <f>'Jrnl Exp ~ Dép'!$C124</f>
        <v>0</v>
      </c>
      <c r="D621" s="168">
        <f>'Jrnl Exp ~ Dép'!$D124</f>
        <v>0</v>
      </c>
      <c r="E621" s="1510">
        <f>'Jrnl Exp ~ Dép'!$F124</f>
        <v>0</v>
      </c>
      <c r="F621" s="1510"/>
      <c r="G621" s="951" t="str">
        <f>IF('Jrnl Exp ~ Dép'!$E124="","",'Jrnl Exp ~ Dép'!$E124)</f>
        <v/>
      </c>
      <c r="H621" s="147">
        <f>'Jrnl Exp ~ Dép'!H124</f>
        <v>0</v>
      </c>
      <c r="I621" s="147" t="str">
        <f t="shared" si="18"/>
        <v>0</v>
      </c>
      <c r="J621" s="148" t="b">
        <f t="shared" si="19"/>
        <v>0</v>
      </c>
      <c r="K621" s="169"/>
      <c r="L621" s="169">
        <f>'Jrnl Exp ~ Dép'!$G124</f>
        <v>0</v>
      </c>
      <c r="M621" s="151"/>
      <c r="N621" s="167"/>
    </row>
    <row r="622" spans="2:14" s="1" customFormat="1" ht="30" hidden="1" customHeight="1" x14ac:dyDescent="0.15">
      <c r="B622" s="146">
        <f>IF(AND('Jrnl Exp ~ Dép'!$G125&lt;&gt;"",'Jrnl Exp ~ Dép'!$C125&lt;&gt;""),1,0)</f>
        <v>0</v>
      </c>
      <c r="C622" s="146">
        <f>'Jrnl Exp ~ Dép'!$C125</f>
        <v>0</v>
      </c>
      <c r="D622" s="168">
        <f>'Jrnl Exp ~ Dép'!$D125</f>
        <v>0</v>
      </c>
      <c r="E622" s="1510">
        <f>'Jrnl Exp ~ Dép'!$F125</f>
        <v>0</v>
      </c>
      <c r="F622" s="1510"/>
      <c r="G622" s="951" t="str">
        <f>IF('Jrnl Exp ~ Dép'!$E125="","",'Jrnl Exp ~ Dép'!$E125)</f>
        <v/>
      </c>
      <c r="H622" s="147">
        <f>'Jrnl Exp ~ Dép'!H125</f>
        <v>0</v>
      </c>
      <c r="I622" s="147" t="str">
        <f t="shared" si="18"/>
        <v>0</v>
      </c>
      <c r="J622" s="148" t="b">
        <f t="shared" si="19"/>
        <v>0</v>
      </c>
      <c r="K622" s="169"/>
      <c r="L622" s="169">
        <f>'Jrnl Exp ~ Dép'!$G125</f>
        <v>0</v>
      </c>
      <c r="M622" s="151"/>
      <c r="N622" s="167"/>
    </row>
    <row r="623" spans="2:14" s="1" customFormat="1" ht="30" hidden="1" customHeight="1" x14ac:dyDescent="0.15">
      <c r="B623" s="146">
        <f>IF(AND('Jrnl Exp ~ Dép'!$G126&lt;&gt;"",'Jrnl Exp ~ Dép'!$C126&lt;&gt;""),1,0)</f>
        <v>0</v>
      </c>
      <c r="C623" s="146">
        <f>'Jrnl Exp ~ Dép'!$C126</f>
        <v>0</v>
      </c>
      <c r="D623" s="168">
        <f>'Jrnl Exp ~ Dép'!$D126</f>
        <v>0</v>
      </c>
      <c r="E623" s="1510">
        <f>'Jrnl Exp ~ Dép'!$F126</f>
        <v>0</v>
      </c>
      <c r="F623" s="1510"/>
      <c r="G623" s="951" t="str">
        <f>IF('Jrnl Exp ~ Dép'!$E126="","",'Jrnl Exp ~ Dép'!$E126)</f>
        <v/>
      </c>
      <c r="H623" s="147">
        <f>'Jrnl Exp ~ Dép'!H126</f>
        <v>0</v>
      </c>
      <c r="I623" s="147" t="str">
        <f t="shared" si="18"/>
        <v>0</v>
      </c>
      <c r="J623" s="148" t="b">
        <f t="shared" si="19"/>
        <v>0</v>
      </c>
      <c r="K623" s="169"/>
      <c r="L623" s="169">
        <f>'Jrnl Exp ~ Dép'!$G126</f>
        <v>0</v>
      </c>
      <c r="M623" s="151"/>
      <c r="N623" s="167"/>
    </row>
    <row r="624" spans="2:14" s="1" customFormat="1" ht="30" hidden="1" customHeight="1" x14ac:dyDescent="0.15">
      <c r="B624" s="146">
        <f>IF(AND('Jrnl Exp ~ Dép'!$G127&lt;&gt;"",'Jrnl Exp ~ Dép'!$C127&lt;&gt;""),1,0)</f>
        <v>0</v>
      </c>
      <c r="C624" s="146">
        <f>'Jrnl Exp ~ Dép'!$C127</f>
        <v>0</v>
      </c>
      <c r="D624" s="168">
        <f>'Jrnl Exp ~ Dép'!$D127</f>
        <v>0</v>
      </c>
      <c r="E624" s="1510">
        <f>'Jrnl Exp ~ Dép'!$F127</f>
        <v>0</v>
      </c>
      <c r="F624" s="1510"/>
      <c r="G624" s="951" t="str">
        <f>IF('Jrnl Exp ~ Dép'!$E127="","",'Jrnl Exp ~ Dép'!$E127)</f>
        <v/>
      </c>
      <c r="H624" s="147">
        <f>'Jrnl Exp ~ Dép'!H127</f>
        <v>0</v>
      </c>
      <c r="I624" s="147" t="str">
        <f t="shared" si="18"/>
        <v>0</v>
      </c>
      <c r="J624" s="148" t="b">
        <f t="shared" si="19"/>
        <v>0</v>
      </c>
      <c r="K624" s="169"/>
      <c r="L624" s="169">
        <f>'Jrnl Exp ~ Dép'!$G127</f>
        <v>0</v>
      </c>
      <c r="M624" s="151"/>
      <c r="N624" s="167"/>
    </row>
    <row r="625" spans="2:14" s="1" customFormat="1" ht="30" hidden="1" customHeight="1" x14ac:dyDescent="0.15">
      <c r="B625" s="146">
        <f>IF(AND('Jrnl Exp ~ Dép'!$G128&lt;&gt;"",'Jrnl Exp ~ Dép'!$C128&lt;&gt;""),1,0)</f>
        <v>0</v>
      </c>
      <c r="C625" s="146">
        <f>'Jrnl Exp ~ Dép'!$C128</f>
        <v>0</v>
      </c>
      <c r="D625" s="168">
        <f>'Jrnl Exp ~ Dép'!$D128</f>
        <v>0</v>
      </c>
      <c r="E625" s="1510">
        <f>'Jrnl Exp ~ Dép'!$F128</f>
        <v>0</v>
      </c>
      <c r="F625" s="1510"/>
      <c r="G625" s="951" t="str">
        <f>IF('Jrnl Exp ~ Dép'!$E128="","",'Jrnl Exp ~ Dép'!$E128)</f>
        <v/>
      </c>
      <c r="H625" s="147">
        <f>'Jrnl Exp ~ Dép'!H128</f>
        <v>0</v>
      </c>
      <c r="I625" s="147" t="str">
        <f t="shared" si="18"/>
        <v>0</v>
      </c>
      <c r="J625" s="148" t="b">
        <f t="shared" si="19"/>
        <v>0</v>
      </c>
      <c r="K625" s="169"/>
      <c r="L625" s="169">
        <f>'Jrnl Exp ~ Dép'!$G128</f>
        <v>0</v>
      </c>
      <c r="M625" s="151"/>
      <c r="N625" s="167"/>
    </row>
    <row r="626" spans="2:14" s="1" customFormat="1" ht="30" hidden="1" customHeight="1" x14ac:dyDescent="0.15">
      <c r="B626" s="146">
        <f>IF(AND('Jrnl Exp ~ Dép'!$G129&lt;&gt;"",'Jrnl Exp ~ Dép'!$C129&lt;&gt;""),1,0)</f>
        <v>0</v>
      </c>
      <c r="C626" s="146">
        <f>'Jrnl Exp ~ Dép'!$C129</f>
        <v>0</v>
      </c>
      <c r="D626" s="168">
        <f>'Jrnl Exp ~ Dép'!$D129</f>
        <v>0</v>
      </c>
      <c r="E626" s="1510">
        <f>'Jrnl Exp ~ Dép'!$F129</f>
        <v>0</v>
      </c>
      <c r="F626" s="1510"/>
      <c r="G626" s="951" t="str">
        <f>IF('Jrnl Exp ~ Dép'!$E129="","",'Jrnl Exp ~ Dép'!$E129)</f>
        <v/>
      </c>
      <c r="H626" s="147">
        <f>'Jrnl Exp ~ Dép'!H129</f>
        <v>0</v>
      </c>
      <c r="I626" s="147" t="str">
        <f t="shared" si="18"/>
        <v>0</v>
      </c>
      <c r="J626" s="148" t="b">
        <f t="shared" si="19"/>
        <v>0</v>
      </c>
      <c r="K626" s="169"/>
      <c r="L626" s="169">
        <f>'Jrnl Exp ~ Dép'!$G129</f>
        <v>0</v>
      </c>
      <c r="M626" s="151"/>
      <c r="N626" s="167"/>
    </row>
    <row r="627" spans="2:14" s="1" customFormat="1" ht="30" hidden="1" customHeight="1" x14ac:dyDescent="0.15">
      <c r="B627" s="146">
        <f>IF(AND('Jrnl Exp ~ Dép'!$G130&lt;&gt;"",'Jrnl Exp ~ Dép'!$C130&lt;&gt;""),1,0)</f>
        <v>0</v>
      </c>
      <c r="C627" s="146">
        <f>'Jrnl Exp ~ Dép'!$C130</f>
        <v>0</v>
      </c>
      <c r="D627" s="168">
        <f>'Jrnl Exp ~ Dép'!$D130</f>
        <v>0</v>
      </c>
      <c r="E627" s="1510">
        <f>'Jrnl Exp ~ Dép'!$F130</f>
        <v>0</v>
      </c>
      <c r="F627" s="1510"/>
      <c r="G627" s="951" t="str">
        <f>IF('Jrnl Exp ~ Dép'!$E130="","",'Jrnl Exp ~ Dép'!$E130)</f>
        <v/>
      </c>
      <c r="H627" s="147">
        <f>'Jrnl Exp ~ Dép'!H130</f>
        <v>0</v>
      </c>
      <c r="I627" s="147" t="str">
        <f t="shared" si="18"/>
        <v>0</v>
      </c>
      <c r="J627" s="148" t="b">
        <f t="shared" si="19"/>
        <v>0</v>
      </c>
      <c r="K627" s="169"/>
      <c r="L627" s="169">
        <f>'Jrnl Exp ~ Dép'!$G130</f>
        <v>0</v>
      </c>
      <c r="M627" s="151"/>
      <c r="N627" s="167"/>
    </row>
    <row r="628" spans="2:14" s="1" customFormat="1" ht="30" hidden="1" customHeight="1" x14ac:dyDescent="0.15">
      <c r="B628" s="146">
        <f>IF(AND('Jrnl Exp ~ Dép'!$G131&lt;&gt;"",'Jrnl Exp ~ Dép'!$C131&lt;&gt;""),1,0)</f>
        <v>0</v>
      </c>
      <c r="C628" s="146">
        <f>'Jrnl Exp ~ Dép'!$C131</f>
        <v>0</v>
      </c>
      <c r="D628" s="168">
        <f>'Jrnl Exp ~ Dép'!$D131</f>
        <v>0</v>
      </c>
      <c r="E628" s="1510">
        <f>'Jrnl Exp ~ Dép'!$F131</f>
        <v>0</v>
      </c>
      <c r="F628" s="1510"/>
      <c r="G628" s="951" t="str">
        <f>IF('Jrnl Exp ~ Dép'!$E131="","",'Jrnl Exp ~ Dép'!$E131)</f>
        <v/>
      </c>
      <c r="H628" s="147">
        <f>'Jrnl Exp ~ Dép'!H131</f>
        <v>0</v>
      </c>
      <c r="I628" s="147" t="str">
        <f t="shared" si="18"/>
        <v>0</v>
      </c>
      <c r="J628" s="148" t="b">
        <f t="shared" si="19"/>
        <v>0</v>
      </c>
      <c r="K628" s="169"/>
      <c r="L628" s="169">
        <f>'Jrnl Exp ~ Dép'!$G131</f>
        <v>0</v>
      </c>
      <c r="M628" s="151"/>
      <c r="N628" s="167"/>
    </row>
    <row r="629" spans="2:14" s="1" customFormat="1" ht="30" hidden="1" customHeight="1" x14ac:dyDescent="0.15">
      <c r="B629" s="146">
        <f>IF(AND('Jrnl Exp ~ Dép'!$G132&lt;&gt;"",'Jrnl Exp ~ Dép'!$C132&lt;&gt;""),1,0)</f>
        <v>0</v>
      </c>
      <c r="C629" s="146">
        <f>'Jrnl Exp ~ Dép'!$C132</f>
        <v>0</v>
      </c>
      <c r="D629" s="168">
        <f>'Jrnl Exp ~ Dép'!$D132</f>
        <v>0</v>
      </c>
      <c r="E629" s="1510">
        <f>'Jrnl Exp ~ Dép'!$F132</f>
        <v>0</v>
      </c>
      <c r="F629" s="1510"/>
      <c r="G629" s="951" t="str">
        <f>IF('Jrnl Exp ~ Dép'!$E132="","",'Jrnl Exp ~ Dép'!$E132)</f>
        <v/>
      </c>
      <c r="H629" s="147">
        <f>'Jrnl Exp ~ Dép'!H132</f>
        <v>0</v>
      </c>
      <c r="I629" s="147" t="str">
        <f t="shared" si="18"/>
        <v>0</v>
      </c>
      <c r="J629" s="148" t="b">
        <f t="shared" si="19"/>
        <v>0</v>
      </c>
      <c r="K629" s="169"/>
      <c r="L629" s="169">
        <f>'Jrnl Exp ~ Dép'!$G132</f>
        <v>0</v>
      </c>
      <c r="M629" s="151"/>
      <c r="N629" s="167"/>
    </row>
    <row r="630" spans="2:14" s="1" customFormat="1" ht="30" hidden="1" customHeight="1" x14ac:dyDescent="0.15">
      <c r="B630" s="146">
        <f>IF(AND('Jrnl Exp ~ Dép'!$G133&lt;&gt;"",'Jrnl Exp ~ Dép'!$C133&lt;&gt;""),1,0)</f>
        <v>0</v>
      </c>
      <c r="C630" s="146">
        <f>'Jrnl Exp ~ Dép'!$C133</f>
        <v>0</v>
      </c>
      <c r="D630" s="168">
        <f>'Jrnl Exp ~ Dép'!$D133</f>
        <v>0</v>
      </c>
      <c r="E630" s="1510">
        <f>'Jrnl Exp ~ Dép'!$F133</f>
        <v>0</v>
      </c>
      <c r="F630" s="1510"/>
      <c r="G630" s="951" t="str">
        <f>IF('Jrnl Exp ~ Dép'!$E133="","",'Jrnl Exp ~ Dép'!$E133)</f>
        <v/>
      </c>
      <c r="H630" s="147">
        <f>'Jrnl Exp ~ Dép'!H133</f>
        <v>0</v>
      </c>
      <c r="I630" s="147" t="str">
        <f t="shared" si="18"/>
        <v>0</v>
      </c>
      <c r="J630" s="148" t="b">
        <f t="shared" si="19"/>
        <v>0</v>
      </c>
      <c r="K630" s="169"/>
      <c r="L630" s="169">
        <f>'Jrnl Exp ~ Dép'!$G133</f>
        <v>0</v>
      </c>
      <c r="M630" s="151"/>
      <c r="N630" s="167"/>
    </row>
    <row r="631" spans="2:14" s="1" customFormat="1" ht="30" hidden="1" customHeight="1" x14ac:dyDescent="0.15">
      <c r="B631" s="146">
        <f>IF(AND('Jrnl Exp ~ Dép'!$G134&lt;&gt;"",'Jrnl Exp ~ Dép'!$C134&lt;&gt;""),1,0)</f>
        <v>0</v>
      </c>
      <c r="C631" s="146">
        <f>'Jrnl Exp ~ Dép'!$C134</f>
        <v>0</v>
      </c>
      <c r="D631" s="168">
        <f>'Jrnl Exp ~ Dép'!$D134</f>
        <v>0</v>
      </c>
      <c r="E631" s="1510">
        <f>'Jrnl Exp ~ Dép'!$F134</f>
        <v>0</v>
      </c>
      <c r="F631" s="1510"/>
      <c r="G631" s="951" t="str">
        <f>IF('Jrnl Exp ~ Dép'!$E134="","",'Jrnl Exp ~ Dép'!$E134)</f>
        <v/>
      </c>
      <c r="H631" s="147">
        <f>'Jrnl Exp ~ Dép'!H134</f>
        <v>0</v>
      </c>
      <c r="I631" s="147" t="str">
        <f t="shared" si="18"/>
        <v>0</v>
      </c>
      <c r="J631" s="148" t="b">
        <f t="shared" si="19"/>
        <v>0</v>
      </c>
      <c r="K631" s="169"/>
      <c r="L631" s="169">
        <f>'Jrnl Exp ~ Dép'!$G134</f>
        <v>0</v>
      </c>
      <c r="M631" s="151"/>
      <c r="N631" s="167"/>
    </row>
    <row r="632" spans="2:14" s="1" customFormat="1" ht="30" hidden="1" customHeight="1" x14ac:dyDescent="0.15">
      <c r="B632" s="146">
        <f>IF(AND('Jrnl Exp ~ Dép'!$G135&lt;&gt;"",'Jrnl Exp ~ Dép'!$C135&lt;&gt;""),1,0)</f>
        <v>0</v>
      </c>
      <c r="C632" s="146">
        <f>'Jrnl Exp ~ Dép'!$C135</f>
        <v>0</v>
      </c>
      <c r="D632" s="168">
        <f>'Jrnl Exp ~ Dép'!$D135</f>
        <v>0</v>
      </c>
      <c r="E632" s="1510">
        <f>'Jrnl Exp ~ Dép'!$F135</f>
        <v>0</v>
      </c>
      <c r="F632" s="1510"/>
      <c r="G632" s="951" t="str">
        <f>IF('Jrnl Exp ~ Dép'!$E135="","",'Jrnl Exp ~ Dép'!$E135)</f>
        <v/>
      </c>
      <c r="H632" s="147">
        <f>'Jrnl Exp ~ Dép'!H135</f>
        <v>0</v>
      </c>
      <c r="I632" s="147" t="str">
        <f t="shared" si="18"/>
        <v>0</v>
      </c>
      <c r="J632" s="148" t="b">
        <f t="shared" si="19"/>
        <v>0</v>
      </c>
      <c r="K632" s="169"/>
      <c r="L632" s="169">
        <f>'Jrnl Exp ~ Dép'!$G135</f>
        <v>0</v>
      </c>
      <c r="M632" s="151"/>
      <c r="N632" s="167"/>
    </row>
    <row r="633" spans="2:14" s="1" customFormat="1" ht="30" hidden="1" customHeight="1" x14ac:dyDescent="0.15">
      <c r="B633" s="146">
        <f>IF(AND('Jrnl Exp ~ Dép'!$G136&lt;&gt;"",'Jrnl Exp ~ Dép'!$C136&lt;&gt;""),1,0)</f>
        <v>0</v>
      </c>
      <c r="C633" s="146">
        <f>'Jrnl Exp ~ Dép'!$C136</f>
        <v>0</v>
      </c>
      <c r="D633" s="168">
        <f>'Jrnl Exp ~ Dép'!$D136</f>
        <v>0</v>
      </c>
      <c r="E633" s="1510">
        <f>'Jrnl Exp ~ Dép'!$F136</f>
        <v>0</v>
      </c>
      <c r="F633" s="1510"/>
      <c r="G633" s="951" t="str">
        <f>IF('Jrnl Exp ~ Dép'!$E136="","",'Jrnl Exp ~ Dép'!$E136)</f>
        <v/>
      </c>
      <c r="H633" s="147">
        <f>'Jrnl Exp ~ Dép'!H136</f>
        <v>0</v>
      </c>
      <c r="I633" s="147" t="str">
        <f t="shared" si="18"/>
        <v>0</v>
      </c>
      <c r="J633" s="148" t="b">
        <f t="shared" si="19"/>
        <v>0</v>
      </c>
      <c r="K633" s="169"/>
      <c r="L633" s="169">
        <f>'Jrnl Exp ~ Dép'!$G136</f>
        <v>0</v>
      </c>
      <c r="M633" s="151"/>
      <c r="N633" s="167"/>
    </row>
    <row r="634" spans="2:14" s="1" customFormat="1" ht="30" hidden="1" customHeight="1" x14ac:dyDescent="0.15">
      <c r="B634" s="146">
        <f>IF(AND('Jrnl Exp ~ Dép'!$G137&lt;&gt;"",'Jrnl Exp ~ Dép'!$C137&lt;&gt;""),1,0)</f>
        <v>0</v>
      </c>
      <c r="C634" s="146">
        <f>'Jrnl Exp ~ Dép'!$C137</f>
        <v>0</v>
      </c>
      <c r="D634" s="168">
        <f>'Jrnl Exp ~ Dép'!$D137</f>
        <v>0</v>
      </c>
      <c r="E634" s="1510">
        <f>'Jrnl Exp ~ Dép'!$F137</f>
        <v>0</v>
      </c>
      <c r="F634" s="1510"/>
      <c r="G634" s="951" t="str">
        <f>IF('Jrnl Exp ~ Dép'!$E137="","",'Jrnl Exp ~ Dép'!$E137)</f>
        <v/>
      </c>
      <c r="H634" s="147">
        <f>'Jrnl Exp ~ Dép'!H137</f>
        <v>0</v>
      </c>
      <c r="I634" s="147" t="str">
        <f t="shared" si="18"/>
        <v>0</v>
      </c>
      <c r="J634" s="148" t="b">
        <f t="shared" si="19"/>
        <v>0</v>
      </c>
      <c r="K634" s="169"/>
      <c r="L634" s="169">
        <f>'Jrnl Exp ~ Dép'!$G137</f>
        <v>0</v>
      </c>
      <c r="M634" s="151"/>
      <c r="N634" s="167"/>
    </row>
    <row r="635" spans="2:14" s="1" customFormat="1" ht="30" hidden="1" customHeight="1" x14ac:dyDescent="0.15">
      <c r="B635" s="146">
        <f>IF(AND('Jrnl Exp ~ Dép'!$G138&lt;&gt;"",'Jrnl Exp ~ Dép'!$C138&lt;&gt;""),1,0)</f>
        <v>0</v>
      </c>
      <c r="C635" s="146">
        <f>'Jrnl Exp ~ Dép'!$C138</f>
        <v>0</v>
      </c>
      <c r="D635" s="168">
        <f>'Jrnl Exp ~ Dép'!$D138</f>
        <v>0</v>
      </c>
      <c r="E635" s="1510">
        <f>'Jrnl Exp ~ Dép'!$F138</f>
        <v>0</v>
      </c>
      <c r="F635" s="1510"/>
      <c r="G635" s="951" t="str">
        <f>IF('Jrnl Exp ~ Dép'!$E138="","",'Jrnl Exp ~ Dép'!$E138)</f>
        <v/>
      </c>
      <c r="H635" s="147">
        <f>'Jrnl Exp ~ Dép'!H138</f>
        <v>0</v>
      </c>
      <c r="I635" s="147" t="str">
        <f t="shared" si="18"/>
        <v>0</v>
      </c>
      <c r="J635" s="148" t="b">
        <f t="shared" si="19"/>
        <v>0</v>
      </c>
      <c r="K635" s="169"/>
      <c r="L635" s="169">
        <f>'Jrnl Exp ~ Dép'!$G138</f>
        <v>0</v>
      </c>
      <c r="M635" s="151"/>
      <c r="N635" s="167"/>
    </row>
    <row r="636" spans="2:14" s="1" customFormat="1" ht="30" hidden="1" customHeight="1" x14ac:dyDescent="0.15">
      <c r="B636" s="146">
        <f>IF(AND('Jrnl Exp ~ Dép'!$G139&lt;&gt;"",'Jrnl Exp ~ Dép'!$C139&lt;&gt;""),1,0)</f>
        <v>0</v>
      </c>
      <c r="C636" s="146">
        <f>'Jrnl Exp ~ Dép'!$C139</f>
        <v>0</v>
      </c>
      <c r="D636" s="168">
        <f>'Jrnl Exp ~ Dép'!$D139</f>
        <v>0</v>
      </c>
      <c r="E636" s="1510">
        <f>'Jrnl Exp ~ Dép'!$F139</f>
        <v>0</v>
      </c>
      <c r="F636" s="1510"/>
      <c r="G636" s="951" t="str">
        <f>IF('Jrnl Exp ~ Dép'!$E139="","",'Jrnl Exp ~ Dép'!$E139)</f>
        <v/>
      </c>
      <c r="H636" s="147">
        <f>'Jrnl Exp ~ Dép'!H139</f>
        <v>0</v>
      </c>
      <c r="I636" s="147" t="str">
        <f t="shared" si="18"/>
        <v>0</v>
      </c>
      <c r="J636" s="148" t="b">
        <f t="shared" si="19"/>
        <v>0</v>
      </c>
      <c r="K636" s="169"/>
      <c r="L636" s="169">
        <f>'Jrnl Exp ~ Dép'!$G139</f>
        <v>0</v>
      </c>
      <c r="M636" s="151"/>
      <c r="N636" s="167"/>
    </row>
    <row r="637" spans="2:14" s="1" customFormat="1" ht="30" hidden="1" customHeight="1" x14ac:dyDescent="0.15">
      <c r="B637" s="146">
        <f>IF(AND('Jrnl Exp ~ Dép'!$G140&lt;&gt;"",'Jrnl Exp ~ Dép'!$C140&lt;&gt;""),1,0)</f>
        <v>0</v>
      </c>
      <c r="C637" s="146">
        <f>'Jrnl Exp ~ Dép'!$C140</f>
        <v>0</v>
      </c>
      <c r="D637" s="168">
        <f>'Jrnl Exp ~ Dép'!$D140</f>
        <v>0</v>
      </c>
      <c r="E637" s="1510">
        <f>'Jrnl Exp ~ Dép'!$F140</f>
        <v>0</v>
      </c>
      <c r="F637" s="1510"/>
      <c r="G637" s="951" t="str">
        <f>IF('Jrnl Exp ~ Dép'!$E140="","",'Jrnl Exp ~ Dép'!$E140)</f>
        <v/>
      </c>
      <c r="H637" s="147">
        <f>'Jrnl Exp ~ Dép'!H140</f>
        <v>0</v>
      </c>
      <c r="I637" s="147" t="str">
        <f t="shared" si="18"/>
        <v>0</v>
      </c>
      <c r="J637" s="148" t="b">
        <f t="shared" si="19"/>
        <v>0</v>
      </c>
      <c r="K637" s="169"/>
      <c r="L637" s="169">
        <f>'Jrnl Exp ~ Dép'!$G140</f>
        <v>0</v>
      </c>
      <c r="M637" s="151"/>
      <c r="N637" s="167"/>
    </row>
    <row r="638" spans="2:14" s="1" customFormat="1" ht="30" hidden="1" customHeight="1" x14ac:dyDescent="0.15">
      <c r="B638" s="146">
        <f>IF(AND('Jrnl Exp ~ Dép'!$G141&lt;&gt;"",'Jrnl Exp ~ Dép'!$C141&lt;&gt;""),1,0)</f>
        <v>0</v>
      </c>
      <c r="C638" s="146">
        <f>'Jrnl Exp ~ Dép'!$C141</f>
        <v>0</v>
      </c>
      <c r="D638" s="168">
        <f>'Jrnl Exp ~ Dép'!$D141</f>
        <v>0</v>
      </c>
      <c r="E638" s="1510">
        <f>'Jrnl Exp ~ Dép'!$F141</f>
        <v>0</v>
      </c>
      <c r="F638" s="1510"/>
      <c r="G638" s="951" t="str">
        <f>IF('Jrnl Exp ~ Dép'!$E141="","",'Jrnl Exp ~ Dép'!$E141)</f>
        <v/>
      </c>
      <c r="H638" s="147">
        <f>'Jrnl Exp ~ Dép'!H141</f>
        <v>0</v>
      </c>
      <c r="I638" s="147" t="str">
        <f t="shared" si="18"/>
        <v>0</v>
      </c>
      <c r="J638" s="148" t="b">
        <f t="shared" si="19"/>
        <v>0</v>
      </c>
      <c r="K638" s="169"/>
      <c r="L638" s="169">
        <f>'Jrnl Exp ~ Dép'!$G141</f>
        <v>0</v>
      </c>
      <c r="M638" s="151"/>
      <c r="N638" s="167"/>
    </row>
    <row r="639" spans="2:14" s="1" customFormat="1" ht="30" hidden="1" customHeight="1" x14ac:dyDescent="0.15">
      <c r="B639" s="146">
        <f>IF(AND('Jrnl Exp ~ Dép'!$G142&lt;&gt;"",'Jrnl Exp ~ Dép'!$C142&lt;&gt;""),1,0)</f>
        <v>0</v>
      </c>
      <c r="C639" s="146">
        <f>'Jrnl Exp ~ Dép'!$C142</f>
        <v>0</v>
      </c>
      <c r="D639" s="168">
        <f>'Jrnl Exp ~ Dép'!$D142</f>
        <v>0</v>
      </c>
      <c r="E639" s="1510">
        <f>'Jrnl Exp ~ Dép'!$F142</f>
        <v>0</v>
      </c>
      <c r="F639" s="1510"/>
      <c r="G639" s="951" t="str">
        <f>IF('Jrnl Exp ~ Dép'!$E142="","",'Jrnl Exp ~ Dép'!$E142)</f>
        <v/>
      </c>
      <c r="H639" s="147">
        <f>'Jrnl Exp ~ Dép'!H142</f>
        <v>0</v>
      </c>
      <c r="I639" s="147" t="str">
        <f t="shared" si="18"/>
        <v>0</v>
      </c>
      <c r="J639" s="148" t="b">
        <f t="shared" si="19"/>
        <v>0</v>
      </c>
      <c r="K639" s="169"/>
      <c r="L639" s="169">
        <f>'Jrnl Exp ~ Dép'!$G142</f>
        <v>0</v>
      </c>
      <c r="M639" s="151"/>
      <c r="N639" s="167"/>
    </row>
    <row r="640" spans="2:14" s="1" customFormat="1" ht="30" hidden="1" customHeight="1" x14ac:dyDescent="0.15">
      <c r="B640" s="146">
        <f>IF(AND('Jrnl Exp ~ Dép'!$G143&lt;&gt;"",'Jrnl Exp ~ Dép'!$C143&lt;&gt;""),1,0)</f>
        <v>0</v>
      </c>
      <c r="C640" s="146">
        <f>'Jrnl Exp ~ Dép'!$C143</f>
        <v>0</v>
      </c>
      <c r="D640" s="168">
        <f>'Jrnl Exp ~ Dép'!$D143</f>
        <v>0</v>
      </c>
      <c r="E640" s="1510">
        <f>'Jrnl Exp ~ Dép'!$F143</f>
        <v>0</v>
      </c>
      <c r="F640" s="1510"/>
      <c r="G640" s="951" t="str">
        <f>IF('Jrnl Exp ~ Dép'!$E143="","",'Jrnl Exp ~ Dép'!$E143)</f>
        <v/>
      </c>
      <c r="H640" s="147">
        <f>'Jrnl Exp ~ Dép'!H143</f>
        <v>0</v>
      </c>
      <c r="I640" s="147" t="str">
        <f t="shared" si="18"/>
        <v>0</v>
      </c>
      <c r="J640" s="148" t="b">
        <f t="shared" si="19"/>
        <v>0</v>
      </c>
      <c r="K640" s="169"/>
      <c r="L640" s="169">
        <f>'Jrnl Exp ~ Dép'!$G143</f>
        <v>0</v>
      </c>
      <c r="M640" s="151"/>
      <c r="N640" s="167"/>
    </row>
    <row r="641" spans="2:14" s="1" customFormat="1" ht="30" hidden="1" customHeight="1" x14ac:dyDescent="0.15">
      <c r="B641" s="146">
        <f>IF(AND('Jrnl Exp ~ Dép'!$G144&lt;&gt;"",'Jrnl Exp ~ Dép'!$C144&lt;&gt;""),1,0)</f>
        <v>0</v>
      </c>
      <c r="C641" s="146">
        <f>'Jrnl Exp ~ Dép'!$C144</f>
        <v>0</v>
      </c>
      <c r="D641" s="168">
        <f>'Jrnl Exp ~ Dép'!$D144</f>
        <v>0</v>
      </c>
      <c r="E641" s="1510">
        <f>'Jrnl Exp ~ Dép'!$F144</f>
        <v>0</v>
      </c>
      <c r="F641" s="1510"/>
      <c r="G641" s="951" t="str">
        <f>IF('Jrnl Exp ~ Dép'!$E144="","",'Jrnl Exp ~ Dép'!$E144)</f>
        <v/>
      </c>
      <c r="H641" s="147">
        <f>'Jrnl Exp ~ Dép'!H144</f>
        <v>0</v>
      </c>
      <c r="I641" s="147" t="str">
        <f t="shared" ref="I641:I704" si="20">LEFT(H641,4)</f>
        <v>0</v>
      </c>
      <c r="J641" s="148" t="b">
        <f t="shared" ref="J641:J704" si="21">IF(I641="1020",IF(G641&gt;=$E$3,IF(G641&lt;=$G$3,L641,0)))</f>
        <v>0</v>
      </c>
      <c r="K641" s="169"/>
      <c r="L641" s="169">
        <f>'Jrnl Exp ~ Dép'!$G144</f>
        <v>0</v>
      </c>
      <c r="M641" s="151"/>
      <c r="N641" s="167"/>
    </row>
    <row r="642" spans="2:14" s="1" customFormat="1" ht="30" hidden="1" customHeight="1" x14ac:dyDescent="0.15">
      <c r="B642" s="146">
        <f>IF(AND('Jrnl Exp ~ Dép'!$G145&lt;&gt;"",'Jrnl Exp ~ Dép'!$C145&lt;&gt;""),1,0)</f>
        <v>0</v>
      </c>
      <c r="C642" s="146">
        <f>'Jrnl Exp ~ Dép'!$C145</f>
        <v>0</v>
      </c>
      <c r="D642" s="168">
        <f>'Jrnl Exp ~ Dép'!$D145</f>
        <v>0</v>
      </c>
      <c r="E642" s="1510">
        <f>'Jrnl Exp ~ Dép'!$F145</f>
        <v>0</v>
      </c>
      <c r="F642" s="1510"/>
      <c r="G642" s="951" t="str">
        <f>IF('Jrnl Exp ~ Dép'!$E145="","",'Jrnl Exp ~ Dép'!$E145)</f>
        <v/>
      </c>
      <c r="H642" s="147">
        <f>'Jrnl Exp ~ Dép'!H145</f>
        <v>0</v>
      </c>
      <c r="I642" s="147" t="str">
        <f t="shared" si="20"/>
        <v>0</v>
      </c>
      <c r="J642" s="148" t="b">
        <f t="shared" si="21"/>
        <v>0</v>
      </c>
      <c r="K642" s="169"/>
      <c r="L642" s="169">
        <f>'Jrnl Exp ~ Dép'!$G145</f>
        <v>0</v>
      </c>
      <c r="M642" s="151"/>
      <c r="N642" s="167"/>
    </row>
    <row r="643" spans="2:14" s="1" customFormat="1" ht="30" hidden="1" customHeight="1" x14ac:dyDescent="0.15">
      <c r="B643" s="146">
        <f>IF(AND('Jrnl Exp ~ Dép'!$G146&lt;&gt;"",'Jrnl Exp ~ Dép'!$C146&lt;&gt;""),1,0)</f>
        <v>0</v>
      </c>
      <c r="C643" s="146">
        <f>'Jrnl Exp ~ Dép'!$C146</f>
        <v>0</v>
      </c>
      <c r="D643" s="168">
        <f>'Jrnl Exp ~ Dép'!$D146</f>
        <v>0</v>
      </c>
      <c r="E643" s="1510">
        <f>'Jrnl Exp ~ Dép'!$F146</f>
        <v>0</v>
      </c>
      <c r="F643" s="1510"/>
      <c r="G643" s="951" t="str">
        <f>IF('Jrnl Exp ~ Dép'!$E146="","",'Jrnl Exp ~ Dép'!$E146)</f>
        <v/>
      </c>
      <c r="H643" s="147">
        <f>'Jrnl Exp ~ Dép'!H146</f>
        <v>0</v>
      </c>
      <c r="I643" s="147" t="str">
        <f t="shared" si="20"/>
        <v>0</v>
      </c>
      <c r="J643" s="148" t="b">
        <f t="shared" si="21"/>
        <v>0</v>
      </c>
      <c r="K643" s="169"/>
      <c r="L643" s="169">
        <f>'Jrnl Exp ~ Dép'!$G146</f>
        <v>0</v>
      </c>
      <c r="M643" s="151"/>
      <c r="N643" s="167"/>
    </row>
    <row r="644" spans="2:14" s="1" customFormat="1" ht="30" hidden="1" customHeight="1" x14ac:dyDescent="0.15">
      <c r="B644" s="146">
        <f>IF(AND('Jrnl Exp ~ Dép'!$G147&lt;&gt;"",'Jrnl Exp ~ Dép'!$C147&lt;&gt;""),1,0)</f>
        <v>0</v>
      </c>
      <c r="C644" s="146">
        <f>'Jrnl Exp ~ Dép'!$C147</f>
        <v>0</v>
      </c>
      <c r="D644" s="168">
        <f>'Jrnl Exp ~ Dép'!$D147</f>
        <v>0</v>
      </c>
      <c r="E644" s="1510">
        <f>'Jrnl Exp ~ Dép'!$F147</f>
        <v>0</v>
      </c>
      <c r="F644" s="1510"/>
      <c r="G644" s="951" t="str">
        <f>IF('Jrnl Exp ~ Dép'!$E147="","",'Jrnl Exp ~ Dép'!$E147)</f>
        <v/>
      </c>
      <c r="H644" s="147">
        <f>'Jrnl Exp ~ Dép'!H147</f>
        <v>0</v>
      </c>
      <c r="I644" s="147" t="str">
        <f t="shared" si="20"/>
        <v>0</v>
      </c>
      <c r="J644" s="148" t="b">
        <f t="shared" si="21"/>
        <v>0</v>
      </c>
      <c r="K644" s="169"/>
      <c r="L644" s="169">
        <f>'Jrnl Exp ~ Dép'!$G147</f>
        <v>0</v>
      </c>
      <c r="M644" s="151"/>
      <c r="N644" s="167"/>
    </row>
    <row r="645" spans="2:14" s="1" customFormat="1" ht="30" hidden="1" customHeight="1" x14ac:dyDescent="0.15">
      <c r="B645" s="146">
        <f>IF(AND('Jrnl Exp ~ Dép'!$G148&lt;&gt;"",'Jrnl Exp ~ Dép'!$C148&lt;&gt;""),1,0)</f>
        <v>0</v>
      </c>
      <c r="C645" s="146">
        <f>'Jrnl Exp ~ Dép'!$C148</f>
        <v>0</v>
      </c>
      <c r="D645" s="168">
        <f>'Jrnl Exp ~ Dép'!$D148</f>
        <v>0</v>
      </c>
      <c r="E645" s="1510">
        <f>'Jrnl Exp ~ Dép'!$F148</f>
        <v>0</v>
      </c>
      <c r="F645" s="1510"/>
      <c r="G645" s="951" t="str">
        <f>IF('Jrnl Exp ~ Dép'!$E148="","",'Jrnl Exp ~ Dép'!$E148)</f>
        <v/>
      </c>
      <c r="H645" s="147">
        <f>'Jrnl Exp ~ Dép'!H148</f>
        <v>0</v>
      </c>
      <c r="I645" s="147" t="str">
        <f t="shared" si="20"/>
        <v>0</v>
      </c>
      <c r="J645" s="148" t="b">
        <f t="shared" si="21"/>
        <v>0</v>
      </c>
      <c r="K645" s="169"/>
      <c r="L645" s="169">
        <f>'Jrnl Exp ~ Dép'!$G148</f>
        <v>0</v>
      </c>
      <c r="M645" s="151"/>
      <c r="N645" s="167"/>
    </row>
    <row r="646" spans="2:14" s="1" customFormat="1" ht="30" hidden="1" customHeight="1" x14ac:dyDescent="0.15">
      <c r="B646" s="146">
        <f>IF(AND('Jrnl Exp ~ Dép'!$G149&lt;&gt;"",'Jrnl Exp ~ Dép'!$C149&lt;&gt;""),1,0)</f>
        <v>0</v>
      </c>
      <c r="C646" s="146">
        <f>'Jrnl Exp ~ Dép'!$C149</f>
        <v>0</v>
      </c>
      <c r="D646" s="168">
        <f>'Jrnl Exp ~ Dép'!$D149</f>
        <v>0</v>
      </c>
      <c r="E646" s="1510">
        <f>'Jrnl Exp ~ Dép'!$F149</f>
        <v>0</v>
      </c>
      <c r="F646" s="1510"/>
      <c r="G646" s="951" t="str">
        <f>IF('Jrnl Exp ~ Dép'!$E149="","",'Jrnl Exp ~ Dép'!$E149)</f>
        <v/>
      </c>
      <c r="H646" s="147">
        <f>'Jrnl Exp ~ Dép'!H149</f>
        <v>0</v>
      </c>
      <c r="I646" s="147" t="str">
        <f t="shared" si="20"/>
        <v>0</v>
      </c>
      <c r="J646" s="148" t="b">
        <f t="shared" si="21"/>
        <v>0</v>
      </c>
      <c r="K646" s="169"/>
      <c r="L646" s="169">
        <f>'Jrnl Exp ~ Dép'!$G149</f>
        <v>0</v>
      </c>
      <c r="M646" s="151"/>
      <c r="N646" s="167"/>
    </row>
    <row r="647" spans="2:14" s="1" customFormat="1" ht="30" hidden="1" customHeight="1" x14ac:dyDescent="0.15">
      <c r="B647" s="146">
        <f>IF(AND('Jrnl Exp ~ Dép'!$G150&lt;&gt;"",'Jrnl Exp ~ Dép'!$C150&lt;&gt;""),1,0)</f>
        <v>0</v>
      </c>
      <c r="C647" s="146">
        <f>'Jrnl Exp ~ Dép'!$C150</f>
        <v>0</v>
      </c>
      <c r="D647" s="168">
        <f>'Jrnl Exp ~ Dép'!$D150</f>
        <v>0</v>
      </c>
      <c r="E647" s="1510">
        <f>'Jrnl Exp ~ Dép'!$F150</f>
        <v>0</v>
      </c>
      <c r="F647" s="1510"/>
      <c r="G647" s="951" t="str">
        <f>IF('Jrnl Exp ~ Dép'!$E150="","",'Jrnl Exp ~ Dép'!$E150)</f>
        <v/>
      </c>
      <c r="H647" s="147">
        <f>'Jrnl Exp ~ Dép'!H150</f>
        <v>0</v>
      </c>
      <c r="I647" s="147" t="str">
        <f t="shared" si="20"/>
        <v>0</v>
      </c>
      <c r="J647" s="148" t="b">
        <f t="shared" si="21"/>
        <v>0</v>
      </c>
      <c r="K647" s="169"/>
      <c r="L647" s="169">
        <f>'Jrnl Exp ~ Dép'!$G150</f>
        <v>0</v>
      </c>
      <c r="M647" s="151"/>
      <c r="N647" s="167"/>
    </row>
    <row r="648" spans="2:14" s="1" customFormat="1" ht="30" hidden="1" customHeight="1" x14ac:dyDescent="0.15">
      <c r="B648" s="146">
        <f>IF(AND('Jrnl Exp ~ Dép'!$G151&lt;&gt;"",'Jrnl Exp ~ Dép'!$C151&lt;&gt;""),1,0)</f>
        <v>0</v>
      </c>
      <c r="C648" s="146">
        <f>'Jrnl Exp ~ Dép'!$C151</f>
        <v>0</v>
      </c>
      <c r="D648" s="168">
        <f>'Jrnl Exp ~ Dép'!$D151</f>
        <v>0</v>
      </c>
      <c r="E648" s="1510">
        <f>'Jrnl Exp ~ Dép'!$F151</f>
        <v>0</v>
      </c>
      <c r="F648" s="1510"/>
      <c r="G648" s="951" t="str">
        <f>IF('Jrnl Exp ~ Dép'!$E151="","",'Jrnl Exp ~ Dép'!$E151)</f>
        <v/>
      </c>
      <c r="H648" s="147">
        <f>'Jrnl Exp ~ Dép'!H151</f>
        <v>0</v>
      </c>
      <c r="I648" s="147" t="str">
        <f t="shared" si="20"/>
        <v>0</v>
      </c>
      <c r="J648" s="148" t="b">
        <f t="shared" si="21"/>
        <v>0</v>
      </c>
      <c r="K648" s="169"/>
      <c r="L648" s="169">
        <f>'Jrnl Exp ~ Dép'!$G151</f>
        <v>0</v>
      </c>
      <c r="M648" s="151"/>
      <c r="N648" s="167"/>
    </row>
    <row r="649" spans="2:14" s="1" customFormat="1" ht="30" hidden="1" customHeight="1" x14ac:dyDescent="0.15">
      <c r="B649" s="146">
        <f>IF(AND('Jrnl Exp ~ Dép'!$G152&lt;&gt;"",'Jrnl Exp ~ Dép'!$C152&lt;&gt;""),1,0)</f>
        <v>0</v>
      </c>
      <c r="C649" s="146">
        <f>'Jrnl Exp ~ Dép'!$C152</f>
        <v>0</v>
      </c>
      <c r="D649" s="168">
        <f>'Jrnl Exp ~ Dép'!$D152</f>
        <v>0</v>
      </c>
      <c r="E649" s="1510">
        <f>'Jrnl Exp ~ Dép'!$F152</f>
        <v>0</v>
      </c>
      <c r="F649" s="1510"/>
      <c r="G649" s="951" t="str">
        <f>IF('Jrnl Exp ~ Dép'!$E152="","",'Jrnl Exp ~ Dép'!$E152)</f>
        <v/>
      </c>
      <c r="H649" s="147">
        <f>'Jrnl Exp ~ Dép'!H152</f>
        <v>0</v>
      </c>
      <c r="I649" s="147" t="str">
        <f t="shared" si="20"/>
        <v>0</v>
      </c>
      <c r="J649" s="148" t="b">
        <f t="shared" si="21"/>
        <v>0</v>
      </c>
      <c r="K649" s="169"/>
      <c r="L649" s="169">
        <f>'Jrnl Exp ~ Dép'!$G152</f>
        <v>0</v>
      </c>
      <c r="M649" s="151"/>
      <c r="N649" s="167"/>
    </row>
    <row r="650" spans="2:14" s="1" customFormat="1" ht="30" hidden="1" customHeight="1" x14ac:dyDescent="0.15">
      <c r="B650" s="146">
        <f>IF(AND('Jrnl Exp ~ Dép'!$G153&lt;&gt;"",'Jrnl Exp ~ Dép'!$C153&lt;&gt;""),1,0)</f>
        <v>0</v>
      </c>
      <c r="C650" s="146">
        <f>'Jrnl Exp ~ Dép'!$C153</f>
        <v>0</v>
      </c>
      <c r="D650" s="168">
        <f>'Jrnl Exp ~ Dép'!$D153</f>
        <v>0</v>
      </c>
      <c r="E650" s="1510">
        <f>'Jrnl Exp ~ Dép'!$F153</f>
        <v>0</v>
      </c>
      <c r="F650" s="1510"/>
      <c r="G650" s="951" t="str">
        <f>IF('Jrnl Exp ~ Dép'!$E153="","",'Jrnl Exp ~ Dép'!$E153)</f>
        <v/>
      </c>
      <c r="H650" s="147">
        <f>'Jrnl Exp ~ Dép'!H153</f>
        <v>0</v>
      </c>
      <c r="I650" s="147" t="str">
        <f t="shared" si="20"/>
        <v>0</v>
      </c>
      <c r="J650" s="148" t="b">
        <f t="shared" si="21"/>
        <v>0</v>
      </c>
      <c r="K650" s="169"/>
      <c r="L650" s="169">
        <f>'Jrnl Exp ~ Dép'!$G153</f>
        <v>0</v>
      </c>
      <c r="M650" s="151"/>
      <c r="N650" s="167"/>
    </row>
    <row r="651" spans="2:14" s="1" customFormat="1" ht="30" hidden="1" customHeight="1" x14ac:dyDescent="0.15">
      <c r="B651" s="146">
        <f>IF(AND('Jrnl Exp ~ Dép'!$G154&lt;&gt;"",'Jrnl Exp ~ Dép'!$C154&lt;&gt;""),1,0)</f>
        <v>0</v>
      </c>
      <c r="C651" s="146">
        <f>'Jrnl Exp ~ Dép'!$C154</f>
        <v>0</v>
      </c>
      <c r="D651" s="168">
        <f>'Jrnl Exp ~ Dép'!$D154</f>
        <v>0</v>
      </c>
      <c r="E651" s="1510">
        <f>'Jrnl Exp ~ Dép'!$F154</f>
        <v>0</v>
      </c>
      <c r="F651" s="1510"/>
      <c r="G651" s="951" t="str">
        <f>IF('Jrnl Exp ~ Dép'!$E154="","",'Jrnl Exp ~ Dép'!$E154)</f>
        <v/>
      </c>
      <c r="H651" s="147">
        <f>'Jrnl Exp ~ Dép'!H154</f>
        <v>0</v>
      </c>
      <c r="I651" s="147" t="str">
        <f t="shared" si="20"/>
        <v>0</v>
      </c>
      <c r="J651" s="148" t="b">
        <f t="shared" si="21"/>
        <v>0</v>
      </c>
      <c r="K651" s="169"/>
      <c r="L651" s="169">
        <f>'Jrnl Exp ~ Dép'!$G154</f>
        <v>0</v>
      </c>
      <c r="M651" s="151"/>
      <c r="N651" s="167"/>
    </row>
    <row r="652" spans="2:14" s="1" customFormat="1" ht="30" hidden="1" customHeight="1" x14ac:dyDescent="0.15">
      <c r="B652" s="146">
        <f>IF(AND('Jrnl Exp ~ Dép'!$G155&lt;&gt;"",'Jrnl Exp ~ Dép'!$C155&lt;&gt;""),1,0)</f>
        <v>0</v>
      </c>
      <c r="C652" s="146">
        <f>'Jrnl Exp ~ Dép'!$C155</f>
        <v>0</v>
      </c>
      <c r="D652" s="168">
        <f>'Jrnl Exp ~ Dép'!$D155</f>
        <v>0</v>
      </c>
      <c r="E652" s="1510">
        <f>'Jrnl Exp ~ Dép'!$F155</f>
        <v>0</v>
      </c>
      <c r="F652" s="1510"/>
      <c r="G652" s="951" t="str">
        <f>IF('Jrnl Exp ~ Dép'!$E155="","",'Jrnl Exp ~ Dép'!$E155)</f>
        <v/>
      </c>
      <c r="H652" s="147">
        <f>'Jrnl Exp ~ Dép'!H155</f>
        <v>0</v>
      </c>
      <c r="I652" s="147" t="str">
        <f t="shared" si="20"/>
        <v>0</v>
      </c>
      <c r="J652" s="148" t="b">
        <f t="shared" si="21"/>
        <v>0</v>
      </c>
      <c r="K652" s="169"/>
      <c r="L652" s="169">
        <f>'Jrnl Exp ~ Dép'!$G155</f>
        <v>0</v>
      </c>
      <c r="M652" s="151"/>
      <c r="N652" s="167"/>
    </row>
    <row r="653" spans="2:14" s="1" customFormat="1" ht="30" hidden="1" customHeight="1" x14ac:dyDescent="0.15">
      <c r="B653" s="146">
        <f>IF(AND('Jrnl Exp ~ Dép'!$G156&lt;&gt;"",'Jrnl Exp ~ Dép'!$C156&lt;&gt;""),1,0)</f>
        <v>0</v>
      </c>
      <c r="C653" s="146">
        <f>'Jrnl Exp ~ Dép'!$C156</f>
        <v>0</v>
      </c>
      <c r="D653" s="168">
        <f>'Jrnl Exp ~ Dép'!$D156</f>
        <v>0</v>
      </c>
      <c r="E653" s="1510">
        <f>'Jrnl Exp ~ Dép'!$F156</f>
        <v>0</v>
      </c>
      <c r="F653" s="1510"/>
      <c r="G653" s="951" t="str">
        <f>IF('Jrnl Exp ~ Dép'!$E156="","",'Jrnl Exp ~ Dép'!$E156)</f>
        <v/>
      </c>
      <c r="H653" s="147">
        <f>'Jrnl Exp ~ Dép'!H156</f>
        <v>0</v>
      </c>
      <c r="I653" s="147" t="str">
        <f t="shared" si="20"/>
        <v>0</v>
      </c>
      <c r="J653" s="148" t="b">
        <f t="shared" si="21"/>
        <v>0</v>
      </c>
      <c r="K653" s="169"/>
      <c r="L653" s="169">
        <f>'Jrnl Exp ~ Dép'!$G156</f>
        <v>0</v>
      </c>
      <c r="M653" s="151"/>
      <c r="N653" s="167"/>
    </row>
    <row r="654" spans="2:14" s="1" customFormat="1" ht="30" hidden="1" customHeight="1" x14ac:dyDescent="0.15">
      <c r="B654" s="146">
        <f>IF(AND('Jrnl Exp ~ Dép'!$G157&lt;&gt;"",'Jrnl Exp ~ Dép'!$C157&lt;&gt;""),1,0)</f>
        <v>0</v>
      </c>
      <c r="C654" s="146">
        <f>'Jrnl Exp ~ Dép'!$C157</f>
        <v>0</v>
      </c>
      <c r="D654" s="168">
        <f>'Jrnl Exp ~ Dép'!$D157</f>
        <v>0</v>
      </c>
      <c r="E654" s="1510">
        <f>'Jrnl Exp ~ Dép'!$F157</f>
        <v>0</v>
      </c>
      <c r="F654" s="1510"/>
      <c r="G654" s="951" t="str">
        <f>IF('Jrnl Exp ~ Dép'!$E157="","",'Jrnl Exp ~ Dép'!$E157)</f>
        <v/>
      </c>
      <c r="H654" s="147">
        <f>'Jrnl Exp ~ Dép'!H157</f>
        <v>0</v>
      </c>
      <c r="I654" s="147" t="str">
        <f t="shared" si="20"/>
        <v>0</v>
      </c>
      <c r="J654" s="148" t="b">
        <f t="shared" si="21"/>
        <v>0</v>
      </c>
      <c r="K654" s="169"/>
      <c r="L654" s="169">
        <f>'Jrnl Exp ~ Dép'!$G157</f>
        <v>0</v>
      </c>
      <c r="M654" s="151"/>
      <c r="N654" s="167"/>
    </row>
    <row r="655" spans="2:14" s="1" customFormat="1" ht="30" hidden="1" customHeight="1" x14ac:dyDescent="0.15">
      <c r="B655" s="146">
        <f>IF(AND('Jrnl Exp ~ Dép'!$G158&lt;&gt;"",'Jrnl Exp ~ Dép'!$C158&lt;&gt;""),1,0)</f>
        <v>0</v>
      </c>
      <c r="C655" s="146">
        <f>'Jrnl Exp ~ Dép'!$C158</f>
        <v>0</v>
      </c>
      <c r="D655" s="168">
        <f>'Jrnl Exp ~ Dép'!$D158</f>
        <v>0</v>
      </c>
      <c r="E655" s="1510">
        <f>'Jrnl Exp ~ Dép'!$F158</f>
        <v>0</v>
      </c>
      <c r="F655" s="1510"/>
      <c r="G655" s="951" t="str">
        <f>IF('Jrnl Exp ~ Dép'!$E158="","",'Jrnl Exp ~ Dép'!$E158)</f>
        <v/>
      </c>
      <c r="H655" s="147">
        <f>'Jrnl Exp ~ Dép'!H158</f>
        <v>0</v>
      </c>
      <c r="I655" s="147" t="str">
        <f t="shared" si="20"/>
        <v>0</v>
      </c>
      <c r="J655" s="148" t="b">
        <f t="shared" si="21"/>
        <v>0</v>
      </c>
      <c r="K655" s="169"/>
      <c r="L655" s="169">
        <f>'Jrnl Exp ~ Dép'!$G158</f>
        <v>0</v>
      </c>
      <c r="M655" s="151"/>
      <c r="N655" s="167"/>
    </row>
    <row r="656" spans="2:14" s="1" customFormat="1" ht="30" hidden="1" customHeight="1" x14ac:dyDescent="0.15">
      <c r="B656" s="146">
        <f>IF(AND('Jrnl Exp ~ Dép'!$G159&lt;&gt;"",'Jrnl Exp ~ Dép'!$C159&lt;&gt;""),1,0)</f>
        <v>0</v>
      </c>
      <c r="C656" s="146">
        <f>'Jrnl Exp ~ Dép'!$C159</f>
        <v>0</v>
      </c>
      <c r="D656" s="168">
        <f>'Jrnl Exp ~ Dép'!$D159</f>
        <v>0</v>
      </c>
      <c r="E656" s="1510">
        <f>'Jrnl Exp ~ Dép'!$F159</f>
        <v>0</v>
      </c>
      <c r="F656" s="1510"/>
      <c r="G656" s="951" t="str">
        <f>IF('Jrnl Exp ~ Dép'!$E159="","",'Jrnl Exp ~ Dép'!$E159)</f>
        <v/>
      </c>
      <c r="H656" s="147">
        <f>'Jrnl Exp ~ Dép'!H159</f>
        <v>0</v>
      </c>
      <c r="I656" s="147" t="str">
        <f t="shared" si="20"/>
        <v>0</v>
      </c>
      <c r="J656" s="148" t="b">
        <f t="shared" si="21"/>
        <v>0</v>
      </c>
      <c r="K656" s="169"/>
      <c r="L656" s="169">
        <f>'Jrnl Exp ~ Dép'!$G159</f>
        <v>0</v>
      </c>
      <c r="M656" s="151"/>
      <c r="N656" s="167"/>
    </row>
    <row r="657" spans="2:14" s="1" customFormat="1" ht="30" hidden="1" customHeight="1" x14ac:dyDescent="0.15">
      <c r="B657" s="146">
        <f>IF(AND('Jrnl Exp ~ Dép'!$G160&lt;&gt;"",'Jrnl Exp ~ Dép'!$C160&lt;&gt;""),1,0)</f>
        <v>0</v>
      </c>
      <c r="C657" s="146">
        <f>'Jrnl Exp ~ Dép'!$C160</f>
        <v>0</v>
      </c>
      <c r="D657" s="168">
        <f>'Jrnl Exp ~ Dép'!$D160</f>
        <v>0</v>
      </c>
      <c r="E657" s="1510">
        <f>'Jrnl Exp ~ Dép'!$F160</f>
        <v>0</v>
      </c>
      <c r="F657" s="1510"/>
      <c r="G657" s="951" t="str">
        <f>IF('Jrnl Exp ~ Dép'!$E160="","",'Jrnl Exp ~ Dép'!$E160)</f>
        <v/>
      </c>
      <c r="H657" s="147">
        <f>'Jrnl Exp ~ Dép'!H160</f>
        <v>0</v>
      </c>
      <c r="I657" s="147" t="str">
        <f t="shared" si="20"/>
        <v>0</v>
      </c>
      <c r="J657" s="148" t="b">
        <f t="shared" si="21"/>
        <v>0</v>
      </c>
      <c r="K657" s="169"/>
      <c r="L657" s="169">
        <f>'Jrnl Exp ~ Dép'!$G160</f>
        <v>0</v>
      </c>
      <c r="M657" s="151"/>
      <c r="N657" s="167"/>
    </row>
    <row r="658" spans="2:14" s="1" customFormat="1" ht="30" hidden="1" customHeight="1" x14ac:dyDescent="0.15">
      <c r="B658" s="146">
        <f>IF(AND('Jrnl Exp ~ Dép'!$G161&lt;&gt;"",'Jrnl Exp ~ Dép'!$C161&lt;&gt;""),1,0)</f>
        <v>0</v>
      </c>
      <c r="C658" s="146">
        <f>'Jrnl Exp ~ Dép'!$C161</f>
        <v>0</v>
      </c>
      <c r="D658" s="168">
        <f>'Jrnl Exp ~ Dép'!$D161</f>
        <v>0</v>
      </c>
      <c r="E658" s="1510">
        <f>'Jrnl Exp ~ Dép'!$F161</f>
        <v>0</v>
      </c>
      <c r="F658" s="1510"/>
      <c r="G658" s="951" t="str">
        <f>IF('Jrnl Exp ~ Dép'!$E161="","",'Jrnl Exp ~ Dép'!$E161)</f>
        <v/>
      </c>
      <c r="H658" s="147">
        <f>'Jrnl Exp ~ Dép'!H161</f>
        <v>0</v>
      </c>
      <c r="I658" s="147" t="str">
        <f t="shared" si="20"/>
        <v>0</v>
      </c>
      <c r="J658" s="148" t="b">
        <f t="shared" si="21"/>
        <v>0</v>
      </c>
      <c r="K658" s="169"/>
      <c r="L658" s="169">
        <f>'Jrnl Exp ~ Dép'!$G161</f>
        <v>0</v>
      </c>
      <c r="M658" s="151"/>
      <c r="N658" s="167"/>
    </row>
    <row r="659" spans="2:14" s="1" customFormat="1" ht="30" hidden="1" customHeight="1" x14ac:dyDescent="0.15">
      <c r="B659" s="146">
        <f>IF(AND('Jrnl Exp ~ Dép'!$G162&lt;&gt;"",'Jrnl Exp ~ Dép'!$C162&lt;&gt;""),1,0)</f>
        <v>0</v>
      </c>
      <c r="C659" s="146">
        <f>'Jrnl Exp ~ Dép'!$C162</f>
        <v>0</v>
      </c>
      <c r="D659" s="168">
        <f>'Jrnl Exp ~ Dép'!$D162</f>
        <v>0</v>
      </c>
      <c r="E659" s="1510">
        <f>'Jrnl Exp ~ Dép'!$F162</f>
        <v>0</v>
      </c>
      <c r="F659" s="1510"/>
      <c r="G659" s="951" t="str">
        <f>IF('Jrnl Exp ~ Dép'!$E162="","",'Jrnl Exp ~ Dép'!$E162)</f>
        <v/>
      </c>
      <c r="H659" s="147">
        <f>'Jrnl Exp ~ Dép'!H162</f>
        <v>0</v>
      </c>
      <c r="I659" s="147" t="str">
        <f t="shared" si="20"/>
        <v>0</v>
      </c>
      <c r="J659" s="148" t="b">
        <f t="shared" si="21"/>
        <v>0</v>
      </c>
      <c r="K659" s="169"/>
      <c r="L659" s="169">
        <f>'Jrnl Exp ~ Dép'!$G162</f>
        <v>0</v>
      </c>
      <c r="M659" s="151"/>
      <c r="N659" s="167"/>
    </row>
    <row r="660" spans="2:14" s="1" customFormat="1" ht="30" hidden="1" customHeight="1" x14ac:dyDescent="0.15">
      <c r="B660" s="146">
        <f>IF(AND('Jrnl Exp ~ Dép'!$G163&lt;&gt;"",'Jrnl Exp ~ Dép'!$C163&lt;&gt;""),1,0)</f>
        <v>0</v>
      </c>
      <c r="C660" s="146">
        <f>'Jrnl Exp ~ Dép'!$C163</f>
        <v>0</v>
      </c>
      <c r="D660" s="168">
        <f>'Jrnl Exp ~ Dép'!$D163</f>
        <v>0</v>
      </c>
      <c r="E660" s="1510">
        <f>'Jrnl Exp ~ Dép'!$F163</f>
        <v>0</v>
      </c>
      <c r="F660" s="1510"/>
      <c r="G660" s="951" t="str">
        <f>IF('Jrnl Exp ~ Dép'!$E163="","",'Jrnl Exp ~ Dép'!$E163)</f>
        <v/>
      </c>
      <c r="H660" s="147">
        <f>'Jrnl Exp ~ Dép'!H163</f>
        <v>0</v>
      </c>
      <c r="I660" s="147" t="str">
        <f t="shared" si="20"/>
        <v>0</v>
      </c>
      <c r="J660" s="148" t="b">
        <f t="shared" si="21"/>
        <v>0</v>
      </c>
      <c r="K660" s="169"/>
      <c r="L660" s="169">
        <f>'Jrnl Exp ~ Dép'!$G163</f>
        <v>0</v>
      </c>
      <c r="M660" s="151"/>
      <c r="N660" s="167"/>
    </row>
    <row r="661" spans="2:14" s="1" customFormat="1" ht="30" hidden="1" customHeight="1" x14ac:dyDescent="0.15">
      <c r="B661" s="146">
        <f>IF(AND('Jrnl Exp ~ Dép'!$G164&lt;&gt;"",'Jrnl Exp ~ Dép'!$C164&lt;&gt;""),1,0)</f>
        <v>0</v>
      </c>
      <c r="C661" s="146">
        <f>'Jrnl Exp ~ Dép'!$C164</f>
        <v>0</v>
      </c>
      <c r="D661" s="168">
        <f>'Jrnl Exp ~ Dép'!$D164</f>
        <v>0</v>
      </c>
      <c r="E661" s="1510">
        <f>'Jrnl Exp ~ Dép'!$F164</f>
        <v>0</v>
      </c>
      <c r="F661" s="1510"/>
      <c r="G661" s="951" t="str">
        <f>IF('Jrnl Exp ~ Dép'!$E164="","",'Jrnl Exp ~ Dép'!$E164)</f>
        <v/>
      </c>
      <c r="H661" s="147">
        <f>'Jrnl Exp ~ Dép'!H164</f>
        <v>0</v>
      </c>
      <c r="I661" s="147" t="str">
        <f t="shared" si="20"/>
        <v>0</v>
      </c>
      <c r="J661" s="148" t="b">
        <f t="shared" si="21"/>
        <v>0</v>
      </c>
      <c r="K661" s="169"/>
      <c r="L661" s="169">
        <f>'Jrnl Exp ~ Dép'!$G164</f>
        <v>0</v>
      </c>
      <c r="M661" s="151"/>
      <c r="N661" s="167"/>
    </row>
    <row r="662" spans="2:14" s="1" customFormat="1" ht="30" hidden="1" customHeight="1" x14ac:dyDescent="0.15">
      <c r="B662" s="146">
        <f>IF(AND('Jrnl Exp ~ Dép'!$G165&lt;&gt;"",'Jrnl Exp ~ Dép'!$C165&lt;&gt;""),1,0)</f>
        <v>0</v>
      </c>
      <c r="C662" s="146">
        <f>'Jrnl Exp ~ Dép'!$C165</f>
        <v>0</v>
      </c>
      <c r="D662" s="168">
        <f>'Jrnl Exp ~ Dép'!$D165</f>
        <v>0</v>
      </c>
      <c r="E662" s="1510">
        <f>'Jrnl Exp ~ Dép'!$F165</f>
        <v>0</v>
      </c>
      <c r="F662" s="1510"/>
      <c r="G662" s="951" t="str">
        <f>IF('Jrnl Exp ~ Dép'!$E165="","",'Jrnl Exp ~ Dép'!$E165)</f>
        <v/>
      </c>
      <c r="H662" s="147">
        <f>'Jrnl Exp ~ Dép'!H165</f>
        <v>0</v>
      </c>
      <c r="I662" s="147" t="str">
        <f t="shared" si="20"/>
        <v>0</v>
      </c>
      <c r="J662" s="148" t="b">
        <f t="shared" si="21"/>
        <v>0</v>
      </c>
      <c r="K662" s="169"/>
      <c r="L662" s="169">
        <f>'Jrnl Exp ~ Dép'!$G165</f>
        <v>0</v>
      </c>
      <c r="M662" s="151"/>
      <c r="N662" s="167"/>
    </row>
    <row r="663" spans="2:14" s="1" customFormat="1" ht="30" hidden="1" customHeight="1" x14ac:dyDescent="0.15">
      <c r="B663" s="146">
        <f>IF(AND('Jrnl Exp ~ Dép'!$G166&lt;&gt;"",'Jrnl Exp ~ Dép'!$C166&lt;&gt;""),1,0)</f>
        <v>0</v>
      </c>
      <c r="C663" s="146">
        <f>'Jrnl Exp ~ Dép'!$C166</f>
        <v>0</v>
      </c>
      <c r="D663" s="168">
        <f>'Jrnl Exp ~ Dép'!$D166</f>
        <v>0</v>
      </c>
      <c r="E663" s="1510">
        <f>'Jrnl Exp ~ Dép'!$F166</f>
        <v>0</v>
      </c>
      <c r="F663" s="1510"/>
      <c r="G663" s="951" t="str">
        <f>IF('Jrnl Exp ~ Dép'!$E166="","",'Jrnl Exp ~ Dép'!$E166)</f>
        <v/>
      </c>
      <c r="H663" s="147">
        <f>'Jrnl Exp ~ Dép'!H166</f>
        <v>0</v>
      </c>
      <c r="I663" s="147" t="str">
        <f t="shared" si="20"/>
        <v>0</v>
      </c>
      <c r="J663" s="148" t="b">
        <f t="shared" si="21"/>
        <v>0</v>
      </c>
      <c r="K663" s="169"/>
      <c r="L663" s="169">
        <f>'Jrnl Exp ~ Dép'!$G166</f>
        <v>0</v>
      </c>
      <c r="M663" s="151"/>
      <c r="N663" s="167"/>
    </row>
    <row r="664" spans="2:14" s="1" customFormat="1" ht="30" hidden="1" customHeight="1" x14ac:dyDescent="0.15">
      <c r="B664" s="146">
        <f>IF(AND('Jrnl Exp ~ Dép'!$G167&lt;&gt;"",'Jrnl Exp ~ Dép'!$C167&lt;&gt;""),1,0)</f>
        <v>0</v>
      </c>
      <c r="C664" s="146">
        <f>'Jrnl Exp ~ Dép'!$C167</f>
        <v>0</v>
      </c>
      <c r="D664" s="168">
        <f>'Jrnl Exp ~ Dép'!$D167</f>
        <v>0</v>
      </c>
      <c r="E664" s="1510">
        <f>'Jrnl Exp ~ Dép'!$F167</f>
        <v>0</v>
      </c>
      <c r="F664" s="1510"/>
      <c r="G664" s="951" t="str">
        <f>IF('Jrnl Exp ~ Dép'!$E167="","",'Jrnl Exp ~ Dép'!$E167)</f>
        <v/>
      </c>
      <c r="H664" s="147">
        <f>'Jrnl Exp ~ Dép'!H167</f>
        <v>0</v>
      </c>
      <c r="I664" s="147" t="str">
        <f t="shared" si="20"/>
        <v>0</v>
      </c>
      <c r="J664" s="148" t="b">
        <f t="shared" si="21"/>
        <v>0</v>
      </c>
      <c r="K664" s="169"/>
      <c r="L664" s="169">
        <f>'Jrnl Exp ~ Dép'!$G167</f>
        <v>0</v>
      </c>
      <c r="M664" s="151"/>
      <c r="N664" s="167"/>
    </row>
    <row r="665" spans="2:14" s="1" customFormat="1" ht="30" hidden="1" customHeight="1" x14ac:dyDescent="0.15">
      <c r="B665" s="146">
        <f>IF(AND('Jrnl Exp ~ Dép'!$G168&lt;&gt;"",'Jrnl Exp ~ Dép'!$C168&lt;&gt;""),1,0)</f>
        <v>0</v>
      </c>
      <c r="C665" s="146">
        <f>'Jrnl Exp ~ Dép'!$C168</f>
        <v>0</v>
      </c>
      <c r="D665" s="168">
        <f>'Jrnl Exp ~ Dép'!$D168</f>
        <v>0</v>
      </c>
      <c r="E665" s="1510">
        <f>'Jrnl Exp ~ Dép'!$F168</f>
        <v>0</v>
      </c>
      <c r="F665" s="1510"/>
      <c r="G665" s="951" t="str">
        <f>IF('Jrnl Exp ~ Dép'!$E168="","",'Jrnl Exp ~ Dép'!$E168)</f>
        <v/>
      </c>
      <c r="H665" s="147">
        <f>'Jrnl Exp ~ Dép'!H168</f>
        <v>0</v>
      </c>
      <c r="I665" s="147" t="str">
        <f t="shared" si="20"/>
        <v>0</v>
      </c>
      <c r="J665" s="148" t="b">
        <f t="shared" si="21"/>
        <v>0</v>
      </c>
      <c r="K665" s="169"/>
      <c r="L665" s="169">
        <f>'Jrnl Exp ~ Dép'!$G168</f>
        <v>0</v>
      </c>
      <c r="M665" s="151"/>
      <c r="N665" s="167"/>
    </row>
    <row r="666" spans="2:14" s="1" customFormat="1" ht="30" hidden="1" customHeight="1" x14ac:dyDescent="0.15">
      <c r="B666" s="146">
        <f>IF(AND('Jrnl Exp ~ Dép'!$G169&lt;&gt;"",'Jrnl Exp ~ Dép'!$C169&lt;&gt;""),1,0)</f>
        <v>0</v>
      </c>
      <c r="C666" s="146">
        <f>'Jrnl Exp ~ Dép'!$C169</f>
        <v>0</v>
      </c>
      <c r="D666" s="168">
        <f>'Jrnl Exp ~ Dép'!$D169</f>
        <v>0</v>
      </c>
      <c r="E666" s="1510">
        <f>'Jrnl Exp ~ Dép'!$F169</f>
        <v>0</v>
      </c>
      <c r="F666" s="1510"/>
      <c r="G666" s="951" t="str">
        <f>IF('Jrnl Exp ~ Dép'!$E169="","",'Jrnl Exp ~ Dép'!$E169)</f>
        <v/>
      </c>
      <c r="H666" s="147">
        <f>'Jrnl Exp ~ Dép'!H169</f>
        <v>0</v>
      </c>
      <c r="I666" s="147" t="str">
        <f t="shared" si="20"/>
        <v>0</v>
      </c>
      <c r="J666" s="148" t="b">
        <f t="shared" si="21"/>
        <v>0</v>
      </c>
      <c r="K666" s="169"/>
      <c r="L666" s="169">
        <f>'Jrnl Exp ~ Dép'!$G169</f>
        <v>0</v>
      </c>
      <c r="M666" s="151"/>
      <c r="N666" s="167"/>
    </row>
    <row r="667" spans="2:14" s="1" customFormat="1" ht="30" hidden="1" customHeight="1" x14ac:dyDescent="0.15">
      <c r="B667" s="146">
        <f>IF(AND('Jrnl Exp ~ Dép'!$G170&lt;&gt;"",'Jrnl Exp ~ Dép'!$C170&lt;&gt;""),1,0)</f>
        <v>0</v>
      </c>
      <c r="C667" s="146">
        <f>'Jrnl Exp ~ Dép'!$C170</f>
        <v>0</v>
      </c>
      <c r="D667" s="168">
        <f>'Jrnl Exp ~ Dép'!$D170</f>
        <v>0</v>
      </c>
      <c r="E667" s="1510">
        <f>'Jrnl Exp ~ Dép'!$F170</f>
        <v>0</v>
      </c>
      <c r="F667" s="1510"/>
      <c r="G667" s="951" t="str">
        <f>IF('Jrnl Exp ~ Dép'!$E170="","",'Jrnl Exp ~ Dép'!$E170)</f>
        <v/>
      </c>
      <c r="H667" s="147">
        <f>'Jrnl Exp ~ Dép'!H170</f>
        <v>0</v>
      </c>
      <c r="I667" s="147" t="str">
        <f t="shared" si="20"/>
        <v>0</v>
      </c>
      <c r="J667" s="148" t="b">
        <f t="shared" si="21"/>
        <v>0</v>
      </c>
      <c r="K667" s="169"/>
      <c r="L667" s="169">
        <f>'Jrnl Exp ~ Dép'!$G170</f>
        <v>0</v>
      </c>
      <c r="M667" s="151"/>
      <c r="N667" s="167"/>
    </row>
    <row r="668" spans="2:14" s="1" customFormat="1" ht="30" hidden="1" customHeight="1" x14ac:dyDescent="0.15">
      <c r="B668" s="146">
        <f>IF(AND('Jrnl Exp ~ Dép'!$G171&lt;&gt;"",'Jrnl Exp ~ Dép'!$C171&lt;&gt;""),1,0)</f>
        <v>0</v>
      </c>
      <c r="C668" s="146">
        <f>'Jrnl Exp ~ Dép'!$C171</f>
        <v>0</v>
      </c>
      <c r="D668" s="168">
        <f>'Jrnl Exp ~ Dép'!$D171</f>
        <v>0</v>
      </c>
      <c r="E668" s="1510">
        <f>'Jrnl Exp ~ Dép'!$F171</f>
        <v>0</v>
      </c>
      <c r="F668" s="1510"/>
      <c r="G668" s="951" t="str">
        <f>IF('Jrnl Exp ~ Dép'!$E171="","",'Jrnl Exp ~ Dép'!$E171)</f>
        <v/>
      </c>
      <c r="H668" s="147">
        <f>'Jrnl Exp ~ Dép'!H171</f>
        <v>0</v>
      </c>
      <c r="I668" s="147" t="str">
        <f t="shared" si="20"/>
        <v>0</v>
      </c>
      <c r="J668" s="148" t="b">
        <f t="shared" si="21"/>
        <v>0</v>
      </c>
      <c r="K668" s="169"/>
      <c r="L668" s="169">
        <f>'Jrnl Exp ~ Dép'!$G171</f>
        <v>0</v>
      </c>
      <c r="M668" s="151"/>
      <c r="N668" s="167"/>
    </row>
    <row r="669" spans="2:14" s="1" customFormat="1" ht="30" hidden="1" customHeight="1" x14ac:dyDescent="0.15">
      <c r="B669" s="146">
        <f>IF(AND('Jrnl Exp ~ Dép'!$G172&lt;&gt;"",'Jrnl Exp ~ Dép'!$C172&lt;&gt;""),1,0)</f>
        <v>0</v>
      </c>
      <c r="C669" s="146">
        <f>'Jrnl Exp ~ Dép'!$C172</f>
        <v>0</v>
      </c>
      <c r="D669" s="168">
        <f>'Jrnl Exp ~ Dép'!$D172</f>
        <v>0</v>
      </c>
      <c r="E669" s="1510">
        <f>'Jrnl Exp ~ Dép'!$F172</f>
        <v>0</v>
      </c>
      <c r="F669" s="1510"/>
      <c r="G669" s="951" t="str">
        <f>IF('Jrnl Exp ~ Dép'!$E172="","",'Jrnl Exp ~ Dép'!$E172)</f>
        <v/>
      </c>
      <c r="H669" s="147">
        <f>'Jrnl Exp ~ Dép'!H172</f>
        <v>0</v>
      </c>
      <c r="I669" s="147" t="str">
        <f t="shared" si="20"/>
        <v>0</v>
      </c>
      <c r="J669" s="148" t="b">
        <f t="shared" si="21"/>
        <v>0</v>
      </c>
      <c r="K669" s="169"/>
      <c r="L669" s="169">
        <f>'Jrnl Exp ~ Dép'!$G172</f>
        <v>0</v>
      </c>
      <c r="M669" s="151"/>
      <c r="N669" s="167"/>
    </row>
    <row r="670" spans="2:14" s="1" customFormat="1" ht="30" hidden="1" customHeight="1" x14ac:dyDescent="0.15">
      <c r="B670" s="146">
        <f>IF(AND('Jrnl Exp ~ Dép'!$G173&lt;&gt;"",'Jrnl Exp ~ Dép'!$C173&lt;&gt;""),1,0)</f>
        <v>0</v>
      </c>
      <c r="C670" s="146">
        <f>'Jrnl Exp ~ Dép'!$C173</f>
        <v>0</v>
      </c>
      <c r="D670" s="168">
        <f>'Jrnl Exp ~ Dép'!$D173</f>
        <v>0</v>
      </c>
      <c r="E670" s="1510">
        <f>'Jrnl Exp ~ Dép'!$F173</f>
        <v>0</v>
      </c>
      <c r="F670" s="1510"/>
      <c r="G670" s="951" t="str">
        <f>IF('Jrnl Exp ~ Dép'!$E173="","",'Jrnl Exp ~ Dép'!$E173)</f>
        <v/>
      </c>
      <c r="H670" s="147">
        <f>'Jrnl Exp ~ Dép'!H173</f>
        <v>0</v>
      </c>
      <c r="I670" s="147" t="str">
        <f t="shared" si="20"/>
        <v>0</v>
      </c>
      <c r="J670" s="148" t="b">
        <f t="shared" si="21"/>
        <v>0</v>
      </c>
      <c r="K670" s="169"/>
      <c r="L670" s="169">
        <f>'Jrnl Exp ~ Dép'!$G173</f>
        <v>0</v>
      </c>
      <c r="M670" s="151"/>
      <c r="N670" s="167"/>
    </row>
    <row r="671" spans="2:14" s="1" customFormat="1" ht="30" hidden="1" customHeight="1" x14ac:dyDescent="0.15">
      <c r="B671" s="146">
        <f>IF(AND('Jrnl Exp ~ Dép'!$G174&lt;&gt;"",'Jrnl Exp ~ Dép'!$C174&lt;&gt;""),1,0)</f>
        <v>0</v>
      </c>
      <c r="C671" s="146">
        <f>'Jrnl Exp ~ Dép'!$C174</f>
        <v>0</v>
      </c>
      <c r="D671" s="168">
        <f>'Jrnl Exp ~ Dép'!$D174</f>
        <v>0</v>
      </c>
      <c r="E671" s="1510">
        <f>'Jrnl Exp ~ Dép'!$F174</f>
        <v>0</v>
      </c>
      <c r="F671" s="1510"/>
      <c r="G671" s="951" t="str">
        <f>IF('Jrnl Exp ~ Dép'!$E174="","",'Jrnl Exp ~ Dép'!$E174)</f>
        <v/>
      </c>
      <c r="H671" s="147">
        <f>'Jrnl Exp ~ Dép'!H174</f>
        <v>0</v>
      </c>
      <c r="I671" s="147" t="str">
        <f t="shared" si="20"/>
        <v>0</v>
      </c>
      <c r="J671" s="148" t="b">
        <f t="shared" si="21"/>
        <v>0</v>
      </c>
      <c r="K671" s="169"/>
      <c r="L671" s="169">
        <f>'Jrnl Exp ~ Dép'!$G174</f>
        <v>0</v>
      </c>
      <c r="M671" s="151"/>
      <c r="N671" s="167"/>
    </row>
    <row r="672" spans="2:14" s="1" customFormat="1" ht="30" hidden="1" customHeight="1" x14ac:dyDescent="0.15">
      <c r="B672" s="146">
        <f>IF(AND('Jrnl Exp ~ Dép'!$G175&lt;&gt;"",'Jrnl Exp ~ Dép'!$C175&lt;&gt;""),1,0)</f>
        <v>0</v>
      </c>
      <c r="C672" s="146">
        <f>'Jrnl Exp ~ Dép'!$C175</f>
        <v>0</v>
      </c>
      <c r="D672" s="168">
        <f>'Jrnl Exp ~ Dép'!$D175</f>
        <v>0</v>
      </c>
      <c r="E672" s="1510">
        <f>'Jrnl Exp ~ Dép'!$F175</f>
        <v>0</v>
      </c>
      <c r="F672" s="1510"/>
      <c r="G672" s="951" t="str">
        <f>IF('Jrnl Exp ~ Dép'!$E175="","",'Jrnl Exp ~ Dép'!$E175)</f>
        <v/>
      </c>
      <c r="H672" s="147">
        <f>'Jrnl Exp ~ Dép'!H175</f>
        <v>0</v>
      </c>
      <c r="I672" s="147" t="str">
        <f t="shared" si="20"/>
        <v>0</v>
      </c>
      <c r="J672" s="148" t="b">
        <f t="shared" si="21"/>
        <v>0</v>
      </c>
      <c r="K672" s="169"/>
      <c r="L672" s="169">
        <f>'Jrnl Exp ~ Dép'!$G175</f>
        <v>0</v>
      </c>
      <c r="M672" s="151"/>
      <c r="N672" s="167"/>
    </row>
    <row r="673" spans="2:14" s="1" customFormat="1" ht="30" hidden="1" customHeight="1" x14ac:dyDescent="0.15">
      <c r="B673" s="146">
        <f>IF(AND('Jrnl Exp ~ Dép'!$G176&lt;&gt;"",'Jrnl Exp ~ Dép'!$C176&lt;&gt;""),1,0)</f>
        <v>0</v>
      </c>
      <c r="C673" s="146">
        <f>'Jrnl Exp ~ Dép'!$C176</f>
        <v>0</v>
      </c>
      <c r="D673" s="168">
        <f>'Jrnl Exp ~ Dép'!$D176</f>
        <v>0</v>
      </c>
      <c r="E673" s="1510">
        <f>'Jrnl Exp ~ Dép'!$F176</f>
        <v>0</v>
      </c>
      <c r="F673" s="1510"/>
      <c r="G673" s="951" t="str">
        <f>IF('Jrnl Exp ~ Dép'!$E176="","",'Jrnl Exp ~ Dép'!$E176)</f>
        <v/>
      </c>
      <c r="H673" s="147">
        <f>'Jrnl Exp ~ Dép'!H176</f>
        <v>0</v>
      </c>
      <c r="I673" s="147" t="str">
        <f t="shared" si="20"/>
        <v>0</v>
      </c>
      <c r="J673" s="148" t="b">
        <f t="shared" si="21"/>
        <v>0</v>
      </c>
      <c r="K673" s="169"/>
      <c r="L673" s="169">
        <f>'Jrnl Exp ~ Dép'!$G176</f>
        <v>0</v>
      </c>
      <c r="M673" s="151"/>
      <c r="N673" s="167"/>
    </row>
    <row r="674" spans="2:14" s="1" customFormat="1" ht="30" hidden="1" customHeight="1" x14ac:dyDescent="0.15">
      <c r="B674" s="146">
        <f>IF(AND('Jrnl Exp ~ Dép'!$G177&lt;&gt;"",'Jrnl Exp ~ Dép'!$C177&lt;&gt;""),1,0)</f>
        <v>0</v>
      </c>
      <c r="C674" s="146">
        <f>'Jrnl Exp ~ Dép'!$C177</f>
        <v>0</v>
      </c>
      <c r="D674" s="168">
        <f>'Jrnl Exp ~ Dép'!$D177</f>
        <v>0</v>
      </c>
      <c r="E674" s="1510">
        <f>'Jrnl Exp ~ Dép'!$F177</f>
        <v>0</v>
      </c>
      <c r="F674" s="1510"/>
      <c r="G674" s="951" t="str">
        <f>IF('Jrnl Exp ~ Dép'!$E177="","",'Jrnl Exp ~ Dép'!$E177)</f>
        <v/>
      </c>
      <c r="H674" s="147">
        <f>'Jrnl Exp ~ Dép'!H177</f>
        <v>0</v>
      </c>
      <c r="I674" s="147" t="str">
        <f t="shared" si="20"/>
        <v>0</v>
      </c>
      <c r="J674" s="148" t="b">
        <f t="shared" si="21"/>
        <v>0</v>
      </c>
      <c r="K674" s="169"/>
      <c r="L674" s="169">
        <f>'Jrnl Exp ~ Dép'!$G177</f>
        <v>0</v>
      </c>
      <c r="M674" s="151"/>
      <c r="N674" s="167"/>
    </row>
    <row r="675" spans="2:14" s="1" customFormat="1" ht="30" hidden="1" customHeight="1" x14ac:dyDescent="0.15">
      <c r="B675" s="146">
        <f>IF(AND('Jrnl Exp ~ Dép'!$G178&lt;&gt;"",'Jrnl Exp ~ Dép'!$C178&lt;&gt;""),1,0)</f>
        <v>0</v>
      </c>
      <c r="C675" s="146">
        <f>'Jrnl Exp ~ Dép'!$C178</f>
        <v>0</v>
      </c>
      <c r="D675" s="168">
        <f>'Jrnl Exp ~ Dép'!$D178</f>
        <v>0</v>
      </c>
      <c r="E675" s="1510">
        <f>'Jrnl Exp ~ Dép'!$F178</f>
        <v>0</v>
      </c>
      <c r="F675" s="1510"/>
      <c r="G675" s="951" t="str">
        <f>IF('Jrnl Exp ~ Dép'!$E178="","",'Jrnl Exp ~ Dép'!$E178)</f>
        <v/>
      </c>
      <c r="H675" s="147">
        <f>'Jrnl Exp ~ Dép'!H178</f>
        <v>0</v>
      </c>
      <c r="I675" s="147" t="str">
        <f t="shared" si="20"/>
        <v>0</v>
      </c>
      <c r="J675" s="148" t="b">
        <f t="shared" si="21"/>
        <v>0</v>
      </c>
      <c r="K675" s="169"/>
      <c r="L675" s="169">
        <f>'Jrnl Exp ~ Dép'!$G178</f>
        <v>0</v>
      </c>
      <c r="M675" s="151"/>
      <c r="N675" s="167"/>
    </row>
    <row r="676" spans="2:14" s="1" customFormat="1" ht="30" hidden="1" customHeight="1" x14ac:dyDescent="0.15">
      <c r="B676" s="146">
        <f>IF(AND('Jrnl Exp ~ Dép'!$G179&lt;&gt;"",'Jrnl Exp ~ Dép'!$C179&lt;&gt;""),1,0)</f>
        <v>0</v>
      </c>
      <c r="C676" s="146">
        <f>'Jrnl Exp ~ Dép'!$C179</f>
        <v>0</v>
      </c>
      <c r="D676" s="168">
        <f>'Jrnl Exp ~ Dép'!$D179</f>
        <v>0</v>
      </c>
      <c r="E676" s="1510">
        <f>'Jrnl Exp ~ Dép'!$F179</f>
        <v>0</v>
      </c>
      <c r="F676" s="1510"/>
      <c r="G676" s="951" t="str">
        <f>IF('Jrnl Exp ~ Dép'!$E179="","",'Jrnl Exp ~ Dép'!$E179)</f>
        <v/>
      </c>
      <c r="H676" s="147">
        <f>'Jrnl Exp ~ Dép'!H179</f>
        <v>0</v>
      </c>
      <c r="I676" s="147" t="str">
        <f t="shared" si="20"/>
        <v>0</v>
      </c>
      <c r="J676" s="148" t="b">
        <f t="shared" si="21"/>
        <v>0</v>
      </c>
      <c r="K676" s="169"/>
      <c r="L676" s="169">
        <f>'Jrnl Exp ~ Dép'!$G179</f>
        <v>0</v>
      </c>
      <c r="M676" s="151"/>
      <c r="N676" s="167"/>
    </row>
    <row r="677" spans="2:14" s="1" customFormat="1" ht="30" hidden="1" customHeight="1" x14ac:dyDescent="0.15">
      <c r="B677" s="146">
        <f>IF(AND('Jrnl Exp ~ Dép'!$G180&lt;&gt;"",'Jrnl Exp ~ Dép'!$C180&lt;&gt;""),1,0)</f>
        <v>0</v>
      </c>
      <c r="C677" s="146">
        <f>'Jrnl Exp ~ Dép'!$C180</f>
        <v>0</v>
      </c>
      <c r="D677" s="168">
        <f>'Jrnl Exp ~ Dép'!$D180</f>
        <v>0</v>
      </c>
      <c r="E677" s="1510">
        <f>'Jrnl Exp ~ Dép'!$F180</f>
        <v>0</v>
      </c>
      <c r="F677" s="1510"/>
      <c r="G677" s="951" t="str">
        <f>IF('Jrnl Exp ~ Dép'!$E180="","",'Jrnl Exp ~ Dép'!$E180)</f>
        <v/>
      </c>
      <c r="H677" s="147">
        <f>'Jrnl Exp ~ Dép'!H180</f>
        <v>0</v>
      </c>
      <c r="I677" s="147" t="str">
        <f t="shared" si="20"/>
        <v>0</v>
      </c>
      <c r="J677" s="148" t="b">
        <f t="shared" si="21"/>
        <v>0</v>
      </c>
      <c r="K677" s="169"/>
      <c r="L677" s="169">
        <f>'Jrnl Exp ~ Dép'!$G180</f>
        <v>0</v>
      </c>
      <c r="M677" s="151"/>
      <c r="N677" s="167"/>
    </row>
    <row r="678" spans="2:14" s="1" customFormat="1" ht="30" hidden="1" customHeight="1" x14ac:dyDescent="0.15">
      <c r="B678" s="146">
        <f>IF(AND('Jrnl Exp ~ Dép'!$G181&lt;&gt;"",'Jrnl Exp ~ Dép'!$C181&lt;&gt;""),1,0)</f>
        <v>0</v>
      </c>
      <c r="C678" s="146">
        <f>'Jrnl Exp ~ Dép'!$C181</f>
        <v>0</v>
      </c>
      <c r="D678" s="168">
        <f>'Jrnl Exp ~ Dép'!$D181</f>
        <v>0</v>
      </c>
      <c r="E678" s="1510">
        <f>'Jrnl Exp ~ Dép'!$F181</f>
        <v>0</v>
      </c>
      <c r="F678" s="1510"/>
      <c r="G678" s="951" t="str">
        <f>IF('Jrnl Exp ~ Dép'!$E181="","",'Jrnl Exp ~ Dép'!$E181)</f>
        <v/>
      </c>
      <c r="H678" s="147">
        <f>'Jrnl Exp ~ Dép'!H181</f>
        <v>0</v>
      </c>
      <c r="I678" s="147" t="str">
        <f t="shared" si="20"/>
        <v>0</v>
      </c>
      <c r="J678" s="148" t="b">
        <f t="shared" si="21"/>
        <v>0</v>
      </c>
      <c r="K678" s="169"/>
      <c r="L678" s="169">
        <f>'Jrnl Exp ~ Dép'!$G181</f>
        <v>0</v>
      </c>
      <c r="M678" s="151"/>
      <c r="N678" s="167"/>
    </row>
    <row r="679" spans="2:14" s="1" customFormat="1" ht="30" hidden="1" customHeight="1" x14ac:dyDescent="0.15">
      <c r="B679" s="146">
        <f>IF(AND('Jrnl Exp ~ Dép'!$G182&lt;&gt;"",'Jrnl Exp ~ Dép'!$C182&lt;&gt;""),1,0)</f>
        <v>0</v>
      </c>
      <c r="C679" s="146">
        <f>'Jrnl Exp ~ Dép'!$C182</f>
        <v>0</v>
      </c>
      <c r="D679" s="168">
        <f>'Jrnl Exp ~ Dép'!$D182</f>
        <v>0</v>
      </c>
      <c r="E679" s="1510">
        <f>'Jrnl Exp ~ Dép'!$F182</f>
        <v>0</v>
      </c>
      <c r="F679" s="1510"/>
      <c r="G679" s="951" t="str">
        <f>IF('Jrnl Exp ~ Dép'!$E182="","",'Jrnl Exp ~ Dép'!$E182)</f>
        <v/>
      </c>
      <c r="H679" s="147">
        <f>'Jrnl Exp ~ Dép'!H182</f>
        <v>0</v>
      </c>
      <c r="I679" s="147" t="str">
        <f t="shared" si="20"/>
        <v>0</v>
      </c>
      <c r="J679" s="148" t="b">
        <f t="shared" si="21"/>
        <v>0</v>
      </c>
      <c r="K679" s="169"/>
      <c r="L679" s="169">
        <f>'Jrnl Exp ~ Dép'!$G182</f>
        <v>0</v>
      </c>
      <c r="M679" s="151"/>
      <c r="N679" s="167"/>
    </row>
    <row r="680" spans="2:14" s="1" customFormat="1" ht="30" hidden="1" customHeight="1" x14ac:dyDescent="0.15">
      <c r="B680" s="146">
        <f>IF(AND('Jrnl Exp ~ Dép'!$G183&lt;&gt;"",'Jrnl Exp ~ Dép'!$C183&lt;&gt;""),1,0)</f>
        <v>0</v>
      </c>
      <c r="C680" s="146">
        <f>'Jrnl Exp ~ Dép'!$C183</f>
        <v>0</v>
      </c>
      <c r="D680" s="168">
        <f>'Jrnl Exp ~ Dép'!$D183</f>
        <v>0</v>
      </c>
      <c r="E680" s="1510">
        <f>'Jrnl Exp ~ Dép'!$F183</f>
        <v>0</v>
      </c>
      <c r="F680" s="1510"/>
      <c r="G680" s="951" t="str">
        <f>IF('Jrnl Exp ~ Dép'!$E183="","",'Jrnl Exp ~ Dép'!$E183)</f>
        <v/>
      </c>
      <c r="H680" s="147">
        <f>'Jrnl Exp ~ Dép'!H183</f>
        <v>0</v>
      </c>
      <c r="I680" s="147" t="str">
        <f t="shared" si="20"/>
        <v>0</v>
      </c>
      <c r="J680" s="148" t="b">
        <f t="shared" si="21"/>
        <v>0</v>
      </c>
      <c r="K680" s="169"/>
      <c r="L680" s="169">
        <f>'Jrnl Exp ~ Dép'!$G183</f>
        <v>0</v>
      </c>
      <c r="M680" s="151"/>
      <c r="N680" s="167"/>
    </row>
    <row r="681" spans="2:14" s="1" customFormat="1" ht="30" hidden="1" customHeight="1" x14ac:dyDescent="0.15">
      <c r="B681" s="146">
        <f>IF(AND('Jrnl Exp ~ Dép'!$G184&lt;&gt;"",'Jrnl Exp ~ Dép'!$C184&lt;&gt;""),1,0)</f>
        <v>0</v>
      </c>
      <c r="C681" s="146">
        <f>'Jrnl Exp ~ Dép'!$C184</f>
        <v>0</v>
      </c>
      <c r="D681" s="168">
        <f>'Jrnl Exp ~ Dép'!$D184</f>
        <v>0</v>
      </c>
      <c r="E681" s="1510">
        <f>'Jrnl Exp ~ Dép'!$F184</f>
        <v>0</v>
      </c>
      <c r="F681" s="1510"/>
      <c r="G681" s="951" t="str">
        <f>IF('Jrnl Exp ~ Dép'!$E184="","",'Jrnl Exp ~ Dép'!$E184)</f>
        <v/>
      </c>
      <c r="H681" s="147">
        <f>'Jrnl Exp ~ Dép'!H184</f>
        <v>0</v>
      </c>
      <c r="I681" s="147" t="str">
        <f t="shared" si="20"/>
        <v>0</v>
      </c>
      <c r="J681" s="148" t="b">
        <f t="shared" si="21"/>
        <v>0</v>
      </c>
      <c r="K681" s="169"/>
      <c r="L681" s="169">
        <f>'Jrnl Exp ~ Dép'!$G184</f>
        <v>0</v>
      </c>
      <c r="M681" s="151"/>
      <c r="N681" s="167"/>
    </row>
    <row r="682" spans="2:14" s="1" customFormat="1" ht="30" hidden="1" customHeight="1" x14ac:dyDescent="0.15">
      <c r="B682" s="146">
        <f>IF(AND('Jrnl Exp ~ Dép'!$G185&lt;&gt;"",'Jrnl Exp ~ Dép'!$C185&lt;&gt;""),1,0)</f>
        <v>0</v>
      </c>
      <c r="C682" s="146">
        <f>'Jrnl Exp ~ Dép'!$C185</f>
        <v>0</v>
      </c>
      <c r="D682" s="168">
        <f>'Jrnl Exp ~ Dép'!$D185</f>
        <v>0</v>
      </c>
      <c r="E682" s="1510">
        <f>'Jrnl Exp ~ Dép'!$F185</f>
        <v>0</v>
      </c>
      <c r="F682" s="1510"/>
      <c r="G682" s="951" t="str">
        <f>IF('Jrnl Exp ~ Dép'!$E185="","",'Jrnl Exp ~ Dép'!$E185)</f>
        <v/>
      </c>
      <c r="H682" s="147">
        <f>'Jrnl Exp ~ Dép'!H185</f>
        <v>0</v>
      </c>
      <c r="I682" s="147" t="str">
        <f t="shared" si="20"/>
        <v>0</v>
      </c>
      <c r="J682" s="148" t="b">
        <f t="shared" si="21"/>
        <v>0</v>
      </c>
      <c r="K682" s="169"/>
      <c r="L682" s="169">
        <f>'Jrnl Exp ~ Dép'!$G185</f>
        <v>0</v>
      </c>
      <c r="M682" s="151"/>
      <c r="N682" s="167"/>
    </row>
    <row r="683" spans="2:14" s="1" customFormat="1" ht="30" hidden="1" customHeight="1" x14ac:dyDescent="0.15">
      <c r="B683" s="146">
        <f>IF(AND('Jrnl Exp ~ Dép'!$G186&lt;&gt;"",'Jrnl Exp ~ Dép'!$C186&lt;&gt;""),1,0)</f>
        <v>0</v>
      </c>
      <c r="C683" s="146">
        <f>'Jrnl Exp ~ Dép'!$C186</f>
        <v>0</v>
      </c>
      <c r="D683" s="168">
        <f>'Jrnl Exp ~ Dép'!$D186</f>
        <v>0</v>
      </c>
      <c r="E683" s="1510">
        <f>'Jrnl Exp ~ Dép'!$F186</f>
        <v>0</v>
      </c>
      <c r="F683" s="1510"/>
      <c r="G683" s="951" t="str">
        <f>IF('Jrnl Exp ~ Dép'!$E186="","",'Jrnl Exp ~ Dép'!$E186)</f>
        <v/>
      </c>
      <c r="H683" s="147">
        <f>'Jrnl Exp ~ Dép'!H186</f>
        <v>0</v>
      </c>
      <c r="I683" s="147" t="str">
        <f t="shared" si="20"/>
        <v>0</v>
      </c>
      <c r="J683" s="148" t="b">
        <f t="shared" si="21"/>
        <v>0</v>
      </c>
      <c r="K683" s="169"/>
      <c r="L683" s="169">
        <f>'Jrnl Exp ~ Dép'!$G186</f>
        <v>0</v>
      </c>
      <c r="M683" s="151"/>
      <c r="N683" s="167"/>
    </row>
    <row r="684" spans="2:14" s="1" customFormat="1" ht="30" hidden="1" customHeight="1" x14ac:dyDescent="0.15">
      <c r="B684" s="146">
        <f>IF(AND('Jrnl Exp ~ Dép'!$G187&lt;&gt;"",'Jrnl Exp ~ Dép'!$C187&lt;&gt;""),1,0)</f>
        <v>0</v>
      </c>
      <c r="C684" s="146">
        <f>'Jrnl Exp ~ Dép'!$C187</f>
        <v>0</v>
      </c>
      <c r="D684" s="168">
        <f>'Jrnl Exp ~ Dép'!$D187</f>
        <v>0</v>
      </c>
      <c r="E684" s="1510">
        <f>'Jrnl Exp ~ Dép'!$F187</f>
        <v>0</v>
      </c>
      <c r="F684" s="1510"/>
      <c r="G684" s="951" t="str">
        <f>IF('Jrnl Exp ~ Dép'!$E187="","",'Jrnl Exp ~ Dép'!$E187)</f>
        <v/>
      </c>
      <c r="H684" s="147">
        <f>'Jrnl Exp ~ Dép'!H187</f>
        <v>0</v>
      </c>
      <c r="I684" s="147" t="str">
        <f t="shared" si="20"/>
        <v>0</v>
      </c>
      <c r="J684" s="148" t="b">
        <f t="shared" si="21"/>
        <v>0</v>
      </c>
      <c r="K684" s="169"/>
      <c r="L684" s="169">
        <f>'Jrnl Exp ~ Dép'!$G187</f>
        <v>0</v>
      </c>
      <c r="M684" s="151"/>
      <c r="N684" s="167"/>
    </row>
    <row r="685" spans="2:14" s="1" customFormat="1" ht="30" hidden="1" customHeight="1" x14ac:dyDescent="0.15">
      <c r="B685" s="146">
        <f>IF(AND('Jrnl Exp ~ Dép'!$G188&lt;&gt;"",'Jrnl Exp ~ Dép'!$C188&lt;&gt;""),1,0)</f>
        <v>0</v>
      </c>
      <c r="C685" s="146">
        <f>'Jrnl Exp ~ Dép'!$C188</f>
        <v>0</v>
      </c>
      <c r="D685" s="168">
        <f>'Jrnl Exp ~ Dép'!$D188</f>
        <v>0</v>
      </c>
      <c r="E685" s="1510">
        <f>'Jrnl Exp ~ Dép'!$F188</f>
        <v>0</v>
      </c>
      <c r="F685" s="1510"/>
      <c r="G685" s="951" t="str">
        <f>IF('Jrnl Exp ~ Dép'!$E188="","",'Jrnl Exp ~ Dép'!$E188)</f>
        <v/>
      </c>
      <c r="H685" s="147">
        <f>'Jrnl Exp ~ Dép'!H188</f>
        <v>0</v>
      </c>
      <c r="I685" s="147" t="str">
        <f t="shared" si="20"/>
        <v>0</v>
      </c>
      <c r="J685" s="148" t="b">
        <f t="shared" si="21"/>
        <v>0</v>
      </c>
      <c r="K685" s="169"/>
      <c r="L685" s="169">
        <f>'Jrnl Exp ~ Dép'!$G188</f>
        <v>0</v>
      </c>
      <c r="M685" s="151"/>
      <c r="N685" s="167"/>
    </row>
    <row r="686" spans="2:14" s="1" customFormat="1" ht="30" hidden="1" customHeight="1" x14ac:dyDescent="0.15">
      <c r="B686" s="146">
        <f>IF(AND('Jrnl Exp ~ Dép'!$G189&lt;&gt;"",'Jrnl Exp ~ Dép'!$C189&lt;&gt;""),1,0)</f>
        <v>0</v>
      </c>
      <c r="C686" s="146">
        <f>'Jrnl Exp ~ Dép'!$C189</f>
        <v>0</v>
      </c>
      <c r="D686" s="168">
        <f>'Jrnl Exp ~ Dép'!$D189</f>
        <v>0</v>
      </c>
      <c r="E686" s="1510">
        <f>'Jrnl Exp ~ Dép'!$F189</f>
        <v>0</v>
      </c>
      <c r="F686" s="1510"/>
      <c r="G686" s="951" t="str">
        <f>IF('Jrnl Exp ~ Dép'!$E189="","",'Jrnl Exp ~ Dép'!$E189)</f>
        <v/>
      </c>
      <c r="H686" s="147">
        <f>'Jrnl Exp ~ Dép'!H189</f>
        <v>0</v>
      </c>
      <c r="I686" s="147" t="str">
        <f t="shared" si="20"/>
        <v>0</v>
      </c>
      <c r="J686" s="148" t="b">
        <f t="shared" si="21"/>
        <v>0</v>
      </c>
      <c r="K686" s="169"/>
      <c r="L686" s="169">
        <f>'Jrnl Exp ~ Dép'!$G189</f>
        <v>0</v>
      </c>
      <c r="M686" s="151"/>
      <c r="N686" s="167"/>
    </row>
    <row r="687" spans="2:14" s="1" customFormat="1" ht="30" hidden="1" customHeight="1" x14ac:dyDescent="0.15">
      <c r="B687" s="146">
        <f>IF(AND('Jrnl Exp ~ Dép'!$G190&lt;&gt;"",'Jrnl Exp ~ Dép'!$C190&lt;&gt;""),1,0)</f>
        <v>0</v>
      </c>
      <c r="C687" s="146">
        <f>'Jrnl Exp ~ Dép'!$C190</f>
        <v>0</v>
      </c>
      <c r="D687" s="168">
        <f>'Jrnl Exp ~ Dép'!$D190</f>
        <v>0</v>
      </c>
      <c r="E687" s="1510">
        <f>'Jrnl Exp ~ Dép'!$F190</f>
        <v>0</v>
      </c>
      <c r="F687" s="1510"/>
      <c r="G687" s="951" t="str">
        <f>IF('Jrnl Exp ~ Dép'!$E190="","",'Jrnl Exp ~ Dép'!$E190)</f>
        <v/>
      </c>
      <c r="H687" s="147">
        <f>'Jrnl Exp ~ Dép'!H190</f>
        <v>0</v>
      </c>
      <c r="I687" s="147" t="str">
        <f t="shared" si="20"/>
        <v>0</v>
      </c>
      <c r="J687" s="148" t="b">
        <f t="shared" si="21"/>
        <v>0</v>
      </c>
      <c r="K687" s="169"/>
      <c r="L687" s="169">
        <f>'Jrnl Exp ~ Dép'!$G190</f>
        <v>0</v>
      </c>
      <c r="M687" s="151"/>
      <c r="N687" s="167"/>
    </row>
    <row r="688" spans="2:14" s="1" customFormat="1" ht="30" hidden="1" customHeight="1" x14ac:dyDescent="0.15">
      <c r="B688" s="146">
        <f>IF(AND('Jrnl Exp ~ Dép'!$G191&lt;&gt;"",'Jrnl Exp ~ Dép'!$C191&lt;&gt;""),1,0)</f>
        <v>0</v>
      </c>
      <c r="C688" s="146">
        <f>'Jrnl Exp ~ Dép'!$C191</f>
        <v>0</v>
      </c>
      <c r="D688" s="168">
        <f>'Jrnl Exp ~ Dép'!$D191</f>
        <v>0</v>
      </c>
      <c r="E688" s="1510">
        <f>'Jrnl Exp ~ Dép'!$F191</f>
        <v>0</v>
      </c>
      <c r="F688" s="1510"/>
      <c r="G688" s="951" t="str">
        <f>IF('Jrnl Exp ~ Dép'!$E191="","",'Jrnl Exp ~ Dép'!$E191)</f>
        <v/>
      </c>
      <c r="H688" s="147">
        <f>'Jrnl Exp ~ Dép'!H191</f>
        <v>0</v>
      </c>
      <c r="I688" s="147" t="str">
        <f t="shared" si="20"/>
        <v>0</v>
      </c>
      <c r="J688" s="148" t="b">
        <f t="shared" si="21"/>
        <v>0</v>
      </c>
      <c r="K688" s="169"/>
      <c r="L688" s="169">
        <f>'Jrnl Exp ~ Dép'!$G191</f>
        <v>0</v>
      </c>
      <c r="M688" s="151"/>
      <c r="N688" s="167"/>
    </row>
    <row r="689" spans="2:14" s="1" customFormat="1" ht="30" hidden="1" customHeight="1" x14ac:dyDescent="0.15">
      <c r="B689" s="146">
        <f>IF(AND('Jrnl Exp ~ Dép'!$G192&lt;&gt;"",'Jrnl Exp ~ Dép'!$C192&lt;&gt;""),1,0)</f>
        <v>0</v>
      </c>
      <c r="C689" s="146">
        <f>'Jrnl Exp ~ Dép'!$C192</f>
        <v>0</v>
      </c>
      <c r="D689" s="168">
        <f>'Jrnl Exp ~ Dép'!$D192</f>
        <v>0</v>
      </c>
      <c r="E689" s="1510">
        <f>'Jrnl Exp ~ Dép'!$F192</f>
        <v>0</v>
      </c>
      <c r="F689" s="1510"/>
      <c r="G689" s="951" t="str">
        <f>IF('Jrnl Exp ~ Dép'!$E192="","",'Jrnl Exp ~ Dép'!$E192)</f>
        <v/>
      </c>
      <c r="H689" s="147">
        <f>'Jrnl Exp ~ Dép'!H192</f>
        <v>0</v>
      </c>
      <c r="I689" s="147" t="str">
        <f t="shared" si="20"/>
        <v>0</v>
      </c>
      <c r="J689" s="148" t="b">
        <f t="shared" si="21"/>
        <v>0</v>
      </c>
      <c r="K689" s="169"/>
      <c r="L689" s="169">
        <f>'Jrnl Exp ~ Dép'!$G192</f>
        <v>0</v>
      </c>
      <c r="M689" s="151"/>
      <c r="N689" s="167"/>
    </row>
    <row r="690" spans="2:14" s="1" customFormat="1" ht="30" hidden="1" customHeight="1" x14ac:dyDescent="0.15">
      <c r="B690" s="146">
        <f>IF(AND('Jrnl Exp ~ Dép'!$G193&lt;&gt;"",'Jrnl Exp ~ Dép'!$C193&lt;&gt;""),1,0)</f>
        <v>0</v>
      </c>
      <c r="C690" s="146">
        <f>'Jrnl Exp ~ Dép'!$C193</f>
        <v>0</v>
      </c>
      <c r="D690" s="168">
        <f>'Jrnl Exp ~ Dép'!$D193</f>
        <v>0</v>
      </c>
      <c r="E690" s="1510">
        <f>'Jrnl Exp ~ Dép'!$F193</f>
        <v>0</v>
      </c>
      <c r="F690" s="1510"/>
      <c r="G690" s="951" t="str">
        <f>IF('Jrnl Exp ~ Dép'!$E193="","",'Jrnl Exp ~ Dép'!$E193)</f>
        <v/>
      </c>
      <c r="H690" s="147">
        <f>'Jrnl Exp ~ Dép'!H193</f>
        <v>0</v>
      </c>
      <c r="I690" s="147" t="str">
        <f t="shared" si="20"/>
        <v>0</v>
      </c>
      <c r="J690" s="148" t="b">
        <f t="shared" si="21"/>
        <v>0</v>
      </c>
      <c r="K690" s="169"/>
      <c r="L690" s="169">
        <f>'Jrnl Exp ~ Dép'!$G193</f>
        <v>0</v>
      </c>
      <c r="M690" s="151"/>
      <c r="N690" s="167"/>
    </row>
    <row r="691" spans="2:14" s="1" customFormat="1" ht="30" hidden="1" customHeight="1" x14ac:dyDescent="0.15">
      <c r="B691" s="146">
        <f>IF(AND('Jrnl Exp ~ Dép'!$G194&lt;&gt;"",'Jrnl Exp ~ Dép'!$C194&lt;&gt;""),1,0)</f>
        <v>0</v>
      </c>
      <c r="C691" s="146">
        <f>'Jrnl Exp ~ Dép'!$C194</f>
        <v>0</v>
      </c>
      <c r="D691" s="168">
        <f>'Jrnl Exp ~ Dép'!$D194</f>
        <v>0</v>
      </c>
      <c r="E691" s="1510">
        <f>'Jrnl Exp ~ Dép'!$F194</f>
        <v>0</v>
      </c>
      <c r="F691" s="1510"/>
      <c r="G691" s="951" t="str">
        <f>IF('Jrnl Exp ~ Dép'!$E194="","",'Jrnl Exp ~ Dép'!$E194)</f>
        <v/>
      </c>
      <c r="H691" s="147">
        <f>'Jrnl Exp ~ Dép'!H194</f>
        <v>0</v>
      </c>
      <c r="I691" s="147" t="str">
        <f t="shared" si="20"/>
        <v>0</v>
      </c>
      <c r="J691" s="148" t="b">
        <f t="shared" si="21"/>
        <v>0</v>
      </c>
      <c r="K691" s="169"/>
      <c r="L691" s="169">
        <f>'Jrnl Exp ~ Dép'!$G194</f>
        <v>0</v>
      </c>
      <c r="M691" s="151"/>
      <c r="N691" s="167"/>
    </row>
    <row r="692" spans="2:14" s="1" customFormat="1" ht="30" hidden="1" customHeight="1" x14ac:dyDescent="0.15">
      <c r="B692" s="146">
        <f>IF(AND('Jrnl Exp ~ Dép'!$G195&lt;&gt;"",'Jrnl Exp ~ Dép'!$C195&lt;&gt;""),1,0)</f>
        <v>0</v>
      </c>
      <c r="C692" s="146">
        <f>'Jrnl Exp ~ Dép'!$C195</f>
        <v>0</v>
      </c>
      <c r="D692" s="168">
        <f>'Jrnl Exp ~ Dép'!$D195</f>
        <v>0</v>
      </c>
      <c r="E692" s="1510">
        <f>'Jrnl Exp ~ Dép'!$F195</f>
        <v>0</v>
      </c>
      <c r="F692" s="1510"/>
      <c r="G692" s="951" t="str">
        <f>IF('Jrnl Exp ~ Dép'!$E195="","",'Jrnl Exp ~ Dép'!$E195)</f>
        <v/>
      </c>
      <c r="H692" s="147">
        <f>'Jrnl Exp ~ Dép'!H195</f>
        <v>0</v>
      </c>
      <c r="I692" s="147" t="str">
        <f t="shared" si="20"/>
        <v>0</v>
      </c>
      <c r="J692" s="148" t="b">
        <f t="shared" si="21"/>
        <v>0</v>
      </c>
      <c r="K692" s="169"/>
      <c r="L692" s="169">
        <f>'Jrnl Exp ~ Dép'!$G195</f>
        <v>0</v>
      </c>
      <c r="M692" s="151"/>
      <c r="N692" s="167"/>
    </row>
    <row r="693" spans="2:14" s="1" customFormat="1" ht="30" hidden="1" customHeight="1" x14ac:dyDescent="0.15">
      <c r="B693" s="146">
        <f>IF(AND('Jrnl Exp ~ Dép'!$G196&lt;&gt;"",'Jrnl Exp ~ Dép'!$C196&lt;&gt;""),1,0)</f>
        <v>0</v>
      </c>
      <c r="C693" s="146">
        <f>'Jrnl Exp ~ Dép'!$C196</f>
        <v>0</v>
      </c>
      <c r="D693" s="168">
        <f>'Jrnl Exp ~ Dép'!$D196</f>
        <v>0</v>
      </c>
      <c r="E693" s="1510">
        <f>'Jrnl Exp ~ Dép'!$F196</f>
        <v>0</v>
      </c>
      <c r="F693" s="1510"/>
      <c r="G693" s="951" t="str">
        <f>IF('Jrnl Exp ~ Dép'!$E196="","",'Jrnl Exp ~ Dép'!$E196)</f>
        <v/>
      </c>
      <c r="H693" s="147">
        <f>'Jrnl Exp ~ Dép'!H196</f>
        <v>0</v>
      </c>
      <c r="I693" s="147" t="str">
        <f t="shared" si="20"/>
        <v>0</v>
      </c>
      <c r="J693" s="148" t="b">
        <f t="shared" si="21"/>
        <v>0</v>
      </c>
      <c r="K693" s="169"/>
      <c r="L693" s="169">
        <f>'Jrnl Exp ~ Dép'!$G196</f>
        <v>0</v>
      </c>
      <c r="M693" s="151"/>
      <c r="N693" s="167"/>
    </row>
    <row r="694" spans="2:14" s="1" customFormat="1" ht="30" hidden="1" customHeight="1" x14ac:dyDescent="0.15">
      <c r="B694" s="146">
        <f>IF(AND('Jrnl Exp ~ Dép'!$G197&lt;&gt;"",'Jrnl Exp ~ Dép'!$C197&lt;&gt;""),1,0)</f>
        <v>0</v>
      </c>
      <c r="C694" s="146">
        <f>'Jrnl Exp ~ Dép'!$C197</f>
        <v>0</v>
      </c>
      <c r="D694" s="168">
        <f>'Jrnl Exp ~ Dép'!$D197</f>
        <v>0</v>
      </c>
      <c r="E694" s="1510">
        <f>'Jrnl Exp ~ Dép'!$F197</f>
        <v>0</v>
      </c>
      <c r="F694" s="1510"/>
      <c r="G694" s="951" t="str">
        <f>IF('Jrnl Exp ~ Dép'!$E197="","",'Jrnl Exp ~ Dép'!$E197)</f>
        <v/>
      </c>
      <c r="H694" s="147">
        <f>'Jrnl Exp ~ Dép'!H197</f>
        <v>0</v>
      </c>
      <c r="I694" s="147" t="str">
        <f t="shared" si="20"/>
        <v>0</v>
      </c>
      <c r="J694" s="148" t="b">
        <f t="shared" si="21"/>
        <v>0</v>
      </c>
      <c r="K694" s="169"/>
      <c r="L694" s="169">
        <f>'Jrnl Exp ~ Dép'!$G197</f>
        <v>0</v>
      </c>
      <c r="M694" s="151"/>
      <c r="N694" s="167"/>
    </row>
    <row r="695" spans="2:14" s="1" customFormat="1" ht="30" hidden="1" customHeight="1" x14ac:dyDescent="0.15">
      <c r="B695" s="146">
        <f>IF(AND('Jrnl Exp ~ Dép'!$G198&lt;&gt;"",'Jrnl Exp ~ Dép'!$C198&lt;&gt;""),1,0)</f>
        <v>0</v>
      </c>
      <c r="C695" s="146">
        <f>'Jrnl Exp ~ Dép'!$C198</f>
        <v>0</v>
      </c>
      <c r="D695" s="168">
        <f>'Jrnl Exp ~ Dép'!$D198</f>
        <v>0</v>
      </c>
      <c r="E695" s="1510">
        <f>'Jrnl Exp ~ Dép'!$F198</f>
        <v>0</v>
      </c>
      <c r="F695" s="1510"/>
      <c r="G695" s="951" t="str">
        <f>IF('Jrnl Exp ~ Dép'!$E198="","",'Jrnl Exp ~ Dép'!$E198)</f>
        <v/>
      </c>
      <c r="H695" s="147">
        <f>'Jrnl Exp ~ Dép'!H198</f>
        <v>0</v>
      </c>
      <c r="I695" s="147" t="str">
        <f t="shared" si="20"/>
        <v>0</v>
      </c>
      <c r="J695" s="148" t="b">
        <f t="shared" si="21"/>
        <v>0</v>
      </c>
      <c r="K695" s="169"/>
      <c r="L695" s="169">
        <f>'Jrnl Exp ~ Dép'!$G198</f>
        <v>0</v>
      </c>
      <c r="M695" s="151"/>
      <c r="N695" s="167"/>
    </row>
    <row r="696" spans="2:14" s="1" customFormat="1" ht="30" hidden="1" customHeight="1" x14ac:dyDescent="0.15">
      <c r="B696" s="146">
        <f>IF(AND('Jrnl Exp ~ Dép'!$G199&lt;&gt;"",'Jrnl Exp ~ Dép'!$C199&lt;&gt;""),1,0)</f>
        <v>0</v>
      </c>
      <c r="C696" s="146">
        <f>'Jrnl Exp ~ Dép'!$C199</f>
        <v>0</v>
      </c>
      <c r="D696" s="168">
        <f>'Jrnl Exp ~ Dép'!$D199</f>
        <v>0</v>
      </c>
      <c r="E696" s="1510">
        <f>'Jrnl Exp ~ Dép'!$F199</f>
        <v>0</v>
      </c>
      <c r="F696" s="1510"/>
      <c r="G696" s="951" t="str">
        <f>IF('Jrnl Exp ~ Dép'!$E199="","",'Jrnl Exp ~ Dép'!$E199)</f>
        <v/>
      </c>
      <c r="H696" s="147">
        <f>'Jrnl Exp ~ Dép'!H199</f>
        <v>0</v>
      </c>
      <c r="I696" s="147" t="str">
        <f t="shared" si="20"/>
        <v>0</v>
      </c>
      <c r="J696" s="148" t="b">
        <f t="shared" si="21"/>
        <v>0</v>
      </c>
      <c r="K696" s="169"/>
      <c r="L696" s="169">
        <f>'Jrnl Exp ~ Dép'!$G199</f>
        <v>0</v>
      </c>
      <c r="M696" s="151"/>
      <c r="N696" s="167"/>
    </row>
    <row r="697" spans="2:14" s="1" customFormat="1" ht="30" hidden="1" customHeight="1" x14ac:dyDescent="0.15">
      <c r="B697" s="146">
        <f>IF(AND('Jrnl Exp ~ Dép'!$G200&lt;&gt;"",'Jrnl Exp ~ Dép'!$C200&lt;&gt;""),1,0)</f>
        <v>0</v>
      </c>
      <c r="C697" s="146">
        <f>'Jrnl Exp ~ Dép'!$C200</f>
        <v>0</v>
      </c>
      <c r="D697" s="168">
        <f>'Jrnl Exp ~ Dép'!$D200</f>
        <v>0</v>
      </c>
      <c r="E697" s="1510">
        <f>'Jrnl Exp ~ Dép'!$F200</f>
        <v>0</v>
      </c>
      <c r="F697" s="1510"/>
      <c r="G697" s="951" t="str">
        <f>IF('Jrnl Exp ~ Dép'!$E200="","",'Jrnl Exp ~ Dép'!$E200)</f>
        <v/>
      </c>
      <c r="H697" s="147">
        <f>'Jrnl Exp ~ Dép'!H200</f>
        <v>0</v>
      </c>
      <c r="I697" s="147" t="str">
        <f t="shared" si="20"/>
        <v>0</v>
      </c>
      <c r="J697" s="148" t="b">
        <f t="shared" si="21"/>
        <v>0</v>
      </c>
      <c r="K697" s="169"/>
      <c r="L697" s="169">
        <f>'Jrnl Exp ~ Dép'!$G200</f>
        <v>0</v>
      </c>
      <c r="M697" s="151"/>
      <c r="N697" s="167"/>
    </row>
    <row r="698" spans="2:14" s="1" customFormat="1" ht="30" hidden="1" customHeight="1" x14ac:dyDescent="0.15">
      <c r="B698" s="146">
        <f>IF(AND('Jrnl Exp ~ Dép'!$G201&lt;&gt;"",'Jrnl Exp ~ Dép'!$C201&lt;&gt;""),1,0)</f>
        <v>0</v>
      </c>
      <c r="C698" s="146">
        <f>'Jrnl Exp ~ Dép'!$C201</f>
        <v>0</v>
      </c>
      <c r="D698" s="168">
        <f>'Jrnl Exp ~ Dép'!$D201</f>
        <v>0</v>
      </c>
      <c r="E698" s="1510">
        <f>'Jrnl Exp ~ Dép'!$F201</f>
        <v>0</v>
      </c>
      <c r="F698" s="1510"/>
      <c r="G698" s="951" t="str">
        <f>IF('Jrnl Exp ~ Dép'!$E201="","",'Jrnl Exp ~ Dép'!$E201)</f>
        <v/>
      </c>
      <c r="H698" s="147">
        <f>'Jrnl Exp ~ Dép'!H201</f>
        <v>0</v>
      </c>
      <c r="I698" s="147" t="str">
        <f t="shared" si="20"/>
        <v>0</v>
      </c>
      <c r="J698" s="148" t="b">
        <f t="shared" si="21"/>
        <v>0</v>
      </c>
      <c r="K698" s="169"/>
      <c r="L698" s="169">
        <f>'Jrnl Exp ~ Dép'!$G201</f>
        <v>0</v>
      </c>
      <c r="M698" s="151"/>
      <c r="N698" s="167"/>
    </row>
    <row r="699" spans="2:14" s="1" customFormat="1" ht="30" hidden="1" customHeight="1" x14ac:dyDescent="0.15">
      <c r="B699" s="146">
        <f>IF(AND('Jrnl Exp ~ Dép'!$G202&lt;&gt;"",'Jrnl Exp ~ Dép'!$C202&lt;&gt;""),1,0)</f>
        <v>0</v>
      </c>
      <c r="C699" s="146">
        <f>'Jrnl Exp ~ Dép'!$C202</f>
        <v>0</v>
      </c>
      <c r="D699" s="168">
        <f>'Jrnl Exp ~ Dép'!$D202</f>
        <v>0</v>
      </c>
      <c r="E699" s="1510">
        <f>'Jrnl Exp ~ Dép'!$F202</f>
        <v>0</v>
      </c>
      <c r="F699" s="1510"/>
      <c r="G699" s="951" t="str">
        <f>IF('Jrnl Exp ~ Dép'!$E202="","",'Jrnl Exp ~ Dép'!$E202)</f>
        <v/>
      </c>
      <c r="H699" s="147">
        <f>'Jrnl Exp ~ Dép'!H202</f>
        <v>0</v>
      </c>
      <c r="I699" s="147" t="str">
        <f t="shared" si="20"/>
        <v>0</v>
      </c>
      <c r="J699" s="148" t="b">
        <f t="shared" si="21"/>
        <v>0</v>
      </c>
      <c r="K699" s="169"/>
      <c r="L699" s="169">
        <f>'Jrnl Exp ~ Dép'!$G202</f>
        <v>0</v>
      </c>
      <c r="M699" s="151"/>
      <c r="N699" s="167"/>
    </row>
    <row r="700" spans="2:14" s="1" customFormat="1" ht="30" hidden="1" customHeight="1" x14ac:dyDescent="0.15">
      <c r="B700" s="146">
        <f>IF(AND('Jrnl Exp ~ Dép'!$G203&lt;&gt;"",'Jrnl Exp ~ Dép'!$C203&lt;&gt;""),1,0)</f>
        <v>0</v>
      </c>
      <c r="C700" s="146">
        <f>'Jrnl Exp ~ Dép'!$C203</f>
        <v>0</v>
      </c>
      <c r="D700" s="168">
        <f>'Jrnl Exp ~ Dép'!$D203</f>
        <v>0</v>
      </c>
      <c r="E700" s="1510">
        <f>'Jrnl Exp ~ Dép'!$F203</f>
        <v>0</v>
      </c>
      <c r="F700" s="1510"/>
      <c r="G700" s="951" t="str">
        <f>IF('Jrnl Exp ~ Dép'!$E203="","",'Jrnl Exp ~ Dép'!$E203)</f>
        <v/>
      </c>
      <c r="H700" s="147">
        <f>'Jrnl Exp ~ Dép'!H203</f>
        <v>0</v>
      </c>
      <c r="I700" s="147" t="str">
        <f t="shared" si="20"/>
        <v>0</v>
      </c>
      <c r="J700" s="148" t="b">
        <f t="shared" si="21"/>
        <v>0</v>
      </c>
      <c r="K700" s="169"/>
      <c r="L700" s="169">
        <f>'Jrnl Exp ~ Dép'!$G203</f>
        <v>0</v>
      </c>
      <c r="M700" s="151"/>
      <c r="N700" s="167"/>
    </row>
    <row r="701" spans="2:14" s="1" customFormat="1" ht="30" hidden="1" customHeight="1" x14ac:dyDescent="0.15">
      <c r="B701" s="146">
        <f>IF(AND('Jrnl Exp ~ Dép'!$G204&lt;&gt;"",'Jrnl Exp ~ Dép'!$C204&lt;&gt;""),1,0)</f>
        <v>0</v>
      </c>
      <c r="C701" s="146">
        <f>'Jrnl Exp ~ Dép'!$C204</f>
        <v>0</v>
      </c>
      <c r="D701" s="168">
        <f>'Jrnl Exp ~ Dép'!$D204</f>
        <v>0</v>
      </c>
      <c r="E701" s="1510">
        <f>'Jrnl Exp ~ Dép'!$F204</f>
        <v>0</v>
      </c>
      <c r="F701" s="1510"/>
      <c r="G701" s="951" t="str">
        <f>IF('Jrnl Exp ~ Dép'!$E204="","",'Jrnl Exp ~ Dép'!$E204)</f>
        <v/>
      </c>
      <c r="H701" s="147">
        <f>'Jrnl Exp ~ Dép'!H204</f>
        <v>0</v>
      </c>
      <c r="I701" s="147" t="str">
        <f t="shared" si="20"/>
        <v>0</v>
      </c>
      <c r="J701" s="148" t="b">
        <f t="shared" si="21"/>
        <v>0</v>
      </c>
      <c r="K701" s="169"/>
      <c r="L701" s="169">
        <f>'Jrnl Exp ~ Dép'!$G204</f>
        <v>0</v>
      </c>
      <c r="M701" s="151"/>
      <c r="N701" s="167"/>
    </row>
    <row r="702" spans="2:14" s="1" customFormat="1" ht="30" hidden="1" customHeight="1" x14ac:dyDescent="0.15">
      <c r="B702" s="146">
        <f>IF(AND('Jrnl Exp ~ Dép'!$G205&lt;&gt;"",'Jrnl Exp ~ Dép'!$C205&lt;&gt;""),1,0)</f>
        <v>0</v>
      </c>
      <c r="C702" s="146">
        <f>'Jrnl Exp ~ Dép'!$C205</f>
        <v>0</v>
      </c>
      <c r="D702" s="168">
        <f>'Jrnl Exp ~ Dép'!$D205</f>
        <v>0</v>
      </c>
      <c r="E702" s="1510">
        <f>'Jrnl Exp ~ Dép'!$F205</f>
        <v>0</v>
      </c>
      <c r="F702" s="1510"/>
      <c r="G702" s="951" t="str">
        <f>IF('Jrnl Exp ~ Dép'!$E205="","",'Jrnl Exp ~ Dép'!$E205)</f>
        <v/>
      </c>
      <c r="H702" s="147">
        <f>'Jrnl Exp ~ Dép'!H205</f>
        <v>0</v>
      </c>
      <c r="I702" s="147" t="str">
        <f t="shared" si="20"/>
        <v>0</v>
      </c>
      <c r="J702" s="148" t="b">
        <f t="shared" si="21"/>
        <v>0</v>
      </c>
      <c r="K702" s="169"/>
      <c r="L702" s="169">
        <f>'Jrnl Exp ~ Dép'!$G205</f>
        <v>0</v>
      </c>
      <c r="M702" s="151"/>
      <c r="N702" s="167"/>
    </row>
    <row r="703" spans="2:14" s="1" customFormat="1" ht="30" hidden="1" customHeight="1" x14ac:dyDescent="0.15">
      <c r="B703" s="146">
        <f>IF(AND('Jrnl Exp ~ Dép'!$G206&lt;&gt;"",'Jrnl Exp ~ Dép'!$C206&lt;&gt;""),1,0)</f>
        <v>0</v>
      </c>
      <c r="C703" s="146">
        <f>'Jrnl Exp ~ Dép'!$C206</f>
        <v>0</v>
      </c>
      <c r="D703" s="168">
        <f>'Jrnl Exp ~ Dép'!$D206</f>
        <v>0</v>
      </c>
      <c r="E703" s="1510">
        <f>'Jrnl Exp ~ Dép'!$F206</f>
        <v>0</v>
      </c>
      <c r="F703" s="1510"/>
      <c r="G703" s="951" t="str">
        <f>IF('Jrnl Exp ~ Dép'!$E206="","",'Jrnl Exp ~ Dép'!$E206)</f>
        <v/>
      </c>
      <c r="H703" s="147">
        <f>'Jrnl Exp ~ Dép'!H206</f>
        <v>0</v>
      </c>
      <c r="I703" s="147" t="str">
        <f t="shared" si="20"/>
        <v>0</v>
      </c>
      <c r="J703" s="148" t="b">
        <f t="shared" si="21"/>
        <v>0</v>
      </c>
      <c r="K703" s="169"/>
      <c r="L703" s="169">
        <f>'Jrnl Exp ~ Dép'!$G206</f>
        <v>0</v>
      </c>
      <c r="M703" s="151"/>
      <c r="N703" s="167"/>
    </row>
    <row r="704" spans="2:14" s="1" customFormat="1" ht="30" hidden="1" customHeight="1" x14ac:dyDescent="0.15">
      <c r="B704" s="146">
        <f>IF(AND('Jrnl Exp ~ Dép'!$G207&lt;&gt;"",'Jrnl Exp ~ Dép'!$C207&lt;&gt;""),1,0)</f>
        <v>0</v>
      </c>
      <c r="C704" s="146">
        <f>'Jrnl Exp ~ Dép'!$C207</f>
        <v>0</v>
      </c>
      <c r="D704" s="168">
        <f>'Jrnl Exp ~ Dép'!$D207</f>
        <v>0</v>
      </c>
      <c r="E704" s="1510">
        <f>'Jrnl Exp ~ Dép'!$F207</f>
        <v>0</v>
      </c>
      <c r="F704" s="1510"/>
      <c r="G704" s="951" t="str">
        <f>IF('Jrnl Exp ~ Dép'!$E207="","",'Jrnl Exp ~ Dép'!$E207)</f>
        <v/>
      </c>
      <c r="H704" s="147">
        <f>'Jrnl Exp ~ Dép'!H207</f>
        <v>0</v>
      </c>
      <c r="I704" s="147" t="str">
        <f t="shared" si="20"/>
        <v>0</v>
      </c>
      <c r="J704" s="148" t="b">
        <f t="shared" si="21"/>
        <v>0</v>
      </c>
      <c r="K704" s="169"/>
      <c r="L704" s="169">
        <f>'Jrnl Exp ~ Dép'!$G207</f>
        <v>0</v>
      </c>
      <c r="M704" s="151"/>
      <c r="N704" s="167"/>
    </row>
    <row r="705" spans="2:14" s="1" customFormat="1" ht="30" hidden="1" customHeight="1" x14ac:dyDescent="0.15">
      <c r="B705" s="146">
        <f>IF(AND('Jrnl Exp ~ Dép'!$G208&lt;&gt;"",'Jrnl Exp ~ Dép'!$C208&lt;&gt;""),1,0)</f>
        <v>0</v>
      </c>
      <c r="C705" s="146">
        <f>'Jrnl Exp ~ Dép'!$C208</f>
        <v>0</v>
      </c>
      <c r="D705" s="168">
        <f>'Jrnl Exp ~ Dép'!$D208</f>
        <v>0</v>
      </c>
      <c r="E705" s="1510">
        <f>'Jrnl Exp ~ Dép'!$F208</f>
        <v>0</v>
      </c>
      <c r="F705" s="1510"/>
      <c r="G705" s="951" t="str">
        <f>IF('Jrnl Exp ~ Dép'!$E208="","",'Jrnl Exp ~ Dép'!$E208)</f>
        <v/>
      </c>
      <c r="H705" s="147">
        <f>'Jrnl Exp ~ Dép'!H208</f>
        <v>0</v>
      </c>
      <c r="I705" s="147" t="str">
        <f t="shared" ref="I705:I768" si="22">LEFT(H705,4)</f>
        <v>0</v>
      </c>
      <c r="J705" s="148" t="b">
        <f t="shared" ref="J705:J768" si="23">IF(I705="1020",IF(G705&gt;=$E$3,IF(G705&lt;=$G$3,L705,0)))</f>
        <v>0</v>
      </c>
      <c r="K705" s="169"/>
      <c r="L705" s="169">
        <f>'Jrnl Exp ~ Dép'!$G208</f>
        <v>0</v>
      </c>
      <c r="M705" s="151"/>
      <c r="N705" s="167"/>
    </row>
    <row r="706" spans="2:14" s="1" customFormat="1" ht="30" hidden="1" customHeight="1" x14ac:dyDescent="0.15">
      <c r="B706" s="146">
        <f>IF(AND('Jrnl Exp ~ Dép'!$G209&lt;&gt;"",'Jrnl Exp ~ Dép'!$C209&lt;&gt;""),1,0)</f>
        <v>0</v>
      </c>
      <c r="C706" s="146">
        <f>'Jrnl Exp ~ Dép'!$C209</f>
        <v>0</v>
      </c>
      <c r="D706" s="168">
        <f>'Jrnl Exp ~ Dép'!$D209</f>
        <v>0</v>
      </c>
      <c r="E706" s="1510">
        <f>'Jrnl Exp ~ Dép'!$F209</f>
        <v>0</v>
      </c>
      <c r="F706" s="1510"/>
      <c r="G706" s="951" t="str">
        <f>IF('Jrnl Exp ~ Dép'!$E209="","",'Jrnl Exp ~ Dép'!$E209)</f>
        <v/>
      </c>
      <c r="H706" s="147">
        <f>'Jrnl Exp ~ Dép'!H209</f>
        <v>0</v>
      </c>
      <c r="I706" s="147" t="str">
        <f t="shared" si="22"/>
        <v>0</v>
      </c>
      <c r="J706" s="148" t="b">
        <f t="shared" si="23"/>
        <v>0</v>
      </c>
      <c r="K706" s="169"/>
      <c r="L706" s="169">
        <f>'Jrnl Exp ~ Dép'!$G209</f>
        <v>0</v>
      </c>
      <c r="M706" s="151"/>
      <c r="N706" s="167"/>
    </row>
    <row r="707" spans="2:14" s="1" customFormat="1" ht="30" hidden="1" customHeight="1" x14ac:dyDescent="0.15">
      <c r="B707" s="146">
        <f>IF(AND('Jrnl Exp ~ Dép'!$G210&lt;&gt;"",'Jrnl Exp ~ Dép'!$C210&lt;&gt;""),1,0)</f>
        <v>0</v>
      </c>
      <c r="C707" s="146">
        <f>'Jrnl Exp ~ Dép'!$C210</f>
        <v>0</v>
      </c>
      <c r="D707" s="168">
        <f>'Jrnl Exp ~ Dép'!$D210</f>
        <v>0</v>
      </c>
      <c r="E707" s="1510">
        <f>'Jrnl Exp ~ Dép'!$F210</f>
        <v>0</v>
      </c>
      <c r="F707" s="1510"/>
      <c r="G707" s="951" t="str">
        <f>IF('Jrnl Exp ~ Dép'!$E210="","",'Jrnl Exp ~ Dép'!$E210)</f>
        <v/>
      </c>
      <c r="H707" s="147">
        <f>'Jrnl Exp ~ Dép'!H210</f>
        <v>0</v>
      </c>
      <c r="I707" s="147" t="str">
        <f t="shared" si="22"/>
        <v>0</v>
      </c>
      <c r="J707" s="148" t="b">
        <f t="shared" si="23"/>
        <v>0</v>
      </c>
      <c r="K707" s="169"/>
      <c r="L707" s="169">
        <f>'Jrnl Exp ~ Dép'!$G210</f>
        <v>0</v>
      </c>
      <c r="M707" s="151"/>
      <c r="N707" s="167"/>
    </row>
    <row r="708" spans="2:14" s="1" customFormat="1" ht="30" hidden="1" customHeight="1" x14ac:dyDescent="0.15">
      <c r="B708" s="146">
        <f>IF(AND('Jrnl Exp ~ Dép'!$G211&lt;&gt;"",'Jrnl Exp ~ Dép'!$C211&lt;&gt;""),1,0)</f>
        <v>0</v>
      </c>
      <c r="C708" s="146">
        <f>'Jrnl Exp ~ Dép'!$C211</f>
        <v>0</v>
      </c>
      <c r="D708" s="168">
        <f>'Jrnl Exp ~ Dép'!$D211</f>
        <v>0</v>
      </c>
      <c r="E708" s="1510">
        <f>'Jrnl Exp ~ Dép'!$F211</f>
        <v>0</v>
      </c>
      <c r="F708" s="1510"/>
      <c r="G708" s="951" t="str">
        <f>IF('Jrnl Exp ~ Dép'!$E211="","",'Jrnl Exp ~ Dép'!$E211)</f>
        <v/>
      </c>
      <c r="H708" s="147">
        <f>'Jrnl Exp ~ Dép'!H211</f>
        <v>0</v>
      </c>
      <c r="I708" s="147" t="str">
        <f t="shared" si="22"/>
        <v>0</v>
      </c>
      <c r="J708" s="148" t="b">
        <f t="shared" si="23"/>
        <v>0</v>
      </c>
      <c r="K708" s="169"/>
      <c r="L708" s="169">
        <f>'Jrnl Exp ~ Dép'!$G211</f>
        <v>0</v>
      </c>
      <c r="M708" s="151"/>
      <c r="N708" s="167"/>
    </row>
    <row r="709" spans="2:14" s="1" customFormat="1" ht="30" hidden="1" customHeight="1" x14ac:dyDescent="0.15">
      <c r="B709" s="146">
        <f>IF(AND('Jrnl Exp ~ Dép'!$G212&lt;&gt;"",'Jrnl Exp ~ Dép'!$C212&lt;&gt;""),1,0)</f>
        <v>0</v>
      </c>
      <c r="C709" s="146">
        <f>'Jrnl Exp ~ Dép'!$C212</f>
        <v>0</v>
      </c>
      <c r="D709" s="168">
        <f>'Jrnl Exp ~ Dép'!$D212</f>
        <v>0</v>
      </c>
      <c r="E709" s="1510">
        <f>'Jrnl Exp ~ Dép'!$F212</f>
        <v>0</v>
      </c>
      <c r="F709" s="1510"/>
      <c r="G709" s="951" t="str">
        <f>IF('Jrnl Exp ~ Dép'!$E212="","",'Jrnl Exp ~ Dép'!$E212)</f>
        <v/>
      </c>
      <c r="H709" s="147">
        <f>'Jrnl Exp ~ Dép'!H212</f>
        <v>0</v>
      </c>
      <c r="I709" s="147" t="str">
        <f t="shared" si="22"/>
        <v>0</v>
      </c>
      <c r="J709" s="148" t="b">
        <f t="shared" si="23"/>
        <v>0</v>
      </c>
      <c r="K709" s="169"/>
      <c r="L709" s="169">
        <f>'Jrnl Exp ~ Dép'!$G212</f>
        <v>0</v>
      </c>
      <c r="M709" s="151"/>
      <c r="N709" s="167"/>
    </row>
    <row r="710" spans="2:14" s="1" customFormat="1" ht="30" hidden="1" customHeight="1" x14ac:dyDescent="0.15">
      <c r="B710" s="146">
        <f>IF(AND('Jrnl Exp ~ Dép'!$G213&lt;&gt;"",'Jrnl Exp ~ Dép'!$C213&lt;&gt;""),1,0)</f>
        <v>0</v>
      </c>
      <c r="C710" s="146">
        <f>'Jrnl Exp ~ Dép'!$C213</f>
        <v>0</v>
      </c>
      <c r="D710" s="168">
        <f>'Jrnl Exp ~ Dép'!$D213</f>
        <v>0</v>
      </c>
      <c r="E710" s="1510">
        <f>'Jrnl Exp ~ Dép'!$F213</f>
        <v>0</v>
      </c>
      <c r="F710" s="1510"/>
      <c r="G710" s="951" t="str">
        <f>IF('Jrnl Exp ~ Dép'!$E213="","",'Jrnl Exp ~ Dép'!$E213)</f>
        <v/>
      </c>
      <c r="H710" s="147">
        <f>'Jrnl Exp ~ Dép'!H213</f>
        <v>0</v>
      </c>
      <c r="I710" s="147" t="str">
        <f t="shared" si="22"/>
        <v>0</v>
      </c>
      <c r="J710" s="148" t="b">
        <f t="shared" si="23"/>
        <v>0</v>
      </c>
      <c r="K710" s="169"/>
      <c r="L710" s="169">
        <f>'Jrnl Exp ~ Dép'!$G213</f>
        <v>0</v>
      </c>
      <c r="M710" s="151"/>
      <c r="N710" s="167"/>
    </row>
    <row r="711" spans="2:14" s="1" customFormat="1" ht="30" hidden="1" customHeight="1" x14ac:dyDescent="0.15">
      <c r="B711" s="146">
        <f>IF(AND('Jrnl Exp ~ Dép'!$G214&lt;&gt;"",'Jrnl Exp ~ Dép'!$C214&lt;&gt;""),1,0)</f>
        <v>0</v>
      </c>
      <c r="C711" s="146">
        <f>'Jrnl Exp ~ Dép'!$C214</f>
        <v>0</v>
      </c>
      <c r="D711" s="168">
        <f>'Jrnl Exp ~ Dép'!$D214</f>
        <v>0</v>
      </c>
      <c r="E711" s="1510">
        <f>'Jrnl Exp ~ Dép'!$F214</f>
        <v>0</v>
      </c>
      <c r="F711" s="1510"/>
      <c r="G711" s="951" t="str">
        <f>IF('Jrnl Exp ~ Dép'!$E214="","",'Jrnl Exp ~ Dép'!$E214)</f>
        <v/>
      </c>
      <c r="H711" s="147">
        <f>'Jrnl Exp ~ Dép'!H214</f>
        <v>0</v>
      </c>
      <c r="I711" s="147" t="str">
        <f t="shared" si="22"/>
        <v>0</v>
      </c>
      <c r="J711" s="148" t="b">
        <f t="shared" si="23"/>
        <v>0</v>
      </c>
      <c r="K711" s="169"/>
      <c r="L711" s="169">
        <f>'Jrnl Exp ~ Dép'!$G214</f>
        <v>0</v>
      </c>
      <c r="M711" s="151"/>
      <c r="N711" s="167"/>
    </row>
    <row r="712" spans="2:14" s="1" customFormat="1" ht="30" hidden="1" customHeight="1" x14ac:dyDescent="0.15">
      <c r="B712" s="146">
        <f>IF(AND('Jrnl Exp ~ Dép'!$G215&lt;&gt;"",'Jrnl Exp ~ Dép'!$C215&lt;&gt;""),1,0)</f>
        <v>0</v>
      </c>
      <c r="C712" s="146">
        <f>'Jrnl Exp ~ Dép'!$C215</f>
        <v>0</v>
      </c>
      <c r="D712" s="168">
        <f>'Jrnl Exp ~ Dép'!$D215</f>
        <v>0</v>
      </c>
      <c r="E712" s="1510">
        <f>'Jrnl Exp ~ Dép'!$F215</f>
        <v>0</v>
      </c>
      <c r="F712" s="1510"/>
      <c r="G712" s="951" t="str">
        <f>IF('Jrnl Exp ~ Dép'!$E215="","",'Jrnl Exp ~ Dép'!$E215)</f>
        <v/>
      </c>
      <c r="H712" s="147">
        <f>'Jrnl Exp ~ Dép'!H215</f>
        <v>0</v>
      </c>
      <c r="I712" s="147" t="str">
        <f t="shared" si="22"/>
        <v>0</v>
      </c>
      <c r="J712" s="148" t="b">
        <f t="shared" si="23"/>
        <v>0</v>
      </c>
      <c r="K712" s="169"/>
      <c r="L712" s="169">
        <f>'Jrnl Exp ~ Dép'!$G215</f>
        <v>0</v>
      </c>
      <c r="M712" s="151"/>
      <c r="N712" s="167"/>
    </row>
    <row r="713" spans="2:14" s="1" customFormat="1" ht="30" hidden="1" customHeight="1" x14ac:dyDescent="0.15">
      <c r="B713" s="146">
        <f>IF(AND('Jrnl Exp ~ Dép'!$G216&lt;&gt;"",'Jrnl Exp ~ Dép'!$C216&lt;&gt;""),1,0)</f>
        <v>0</v>
      </c>
      <c r="C713" s="146">
        <f>'Jrnl Exp ~ Dép'!$C216</f>
        <v>0</v>
      </c>
      <c r="D713" s="168">
        <f>'Jrnl Exp ~ Dép'!$D216</f>
        <v>0</v>
      </c>
      <c r="E713" s="1510">
        <f>'Jrnl Exp ~ Dép'!$F216</f>
        <v>0</v>
      </c>
      <c r="F713" s="1510"/>
      <c r="G713" s="951" t="str">
        <f>IF('Jrnl Exp ~ Dép'!$E216="","",'Jrnl Exp ~ Dép'!$E216)</f>
        <v/>
      </c>
      <c r="H713" s="147">
        <f>'Jrnl Exp ~ Dép'!H216</f>
        <v>0</v>
      </c>
      <c r="I713" s="147" t="str">
        <f t="shared" si="22"/>
        <v>0</v>
      </c>
      <c r="J713" s="148" t="b">
        <f t="shared" si="23"/>
        <v>0</v>
      </c>
      <c r="K713" s="169"/>
      <c r="L713" s="169">
        <f>'Jrnl Exp ~ Dép'!$G216</f>
        <v>0</v>
      </c>
      <c r="M713" s="151"/>
      <c r="N713" s="167"/>
    </row>
    <row r="714" spans="2:14" s="1" customFormat="1" ht="30" hidden="1" customHeight="1" x14ac:dyDescent="0.15">
      <c r="B714" s="146">
        <f>IF(AND('Jrnl Exp ~ Dép'!$G217&lt;&gt;"",'Jrnl Exp ~ Dép'!$C217&lt;&gt;""),1,0)</f>
        <v>0</v>
      </c>
      <c r="C714" s="146">
        <f>'Jrnl Exp ~ Dép'!$C217</f>
        <v>0</v>
      </c>
      <c r="D714" s="168">
        <f>'Jrnl Exp ~ Dép'!$D217</f>
        <v>0</v>
      </c>
      <c r="E714" s="1510">
        <f>'Jrnl Exp ~ Dép'!$F217</f>
        <v>0</v>
      </c>
      <c r="F714" s="1510"/>
      <c r="G714" s="951" t="str">
        <f>IF('Jrnl Exp ~ Dép'!$E217="","",'Jrnl Exp ~ Dép'!$E217)</f>
        <v/>
      </c>
      <c r="H714" s="147">
        <f>'Jrnl Exp ~ Dép'!H217</f>
        <v>0</v>
      </c>
      <c r="I714" s="147" t="str">
        <f t="shared" si="22"/>
        <v>0</v>
      </c>
      <c r="J714" s="148" t="b">
        <f t="shared" si="23"/>
        <v>0</v>
      </c>
      <c r="K714" s="169"/>
      <c r="L714" s="169">
        <f>'Jrnl Exp ~ Dép'!$G217</f>
        <v>0</v>
      </c>
      <c r="M714" s="151"/>
      <c r="N714" s="167"/>
    </row>
    <row r="715" spans="2:14" s="1" customFormat="1" ht="30" hidden="1" customHeight="1" x14ac:dyDescent="0.15">
      <c r="B715" s="146">
        <f>IF(AND('Jrnl Exp ~ Dép'!$G218&lt;&gt;"",'Jrnl Exp ~ Dép'!$C218&lt;&gt;""),1,0)</f>
        <v>0</v>
      </c>
      <c r="C715" s="146">
        <f>'Jrnl Exp ~ Dép'!$C218</f>
        <v>0</v>
      </c>
      <c r="D715" s="168">
        <f>'Jrnl Exp ~ Dép'!$D218</f>
        <v>0</v>
      </c>
      <c r="E715" s="1510">
        <f>'Jrnl Exp ~ Dép'!$F218</f>
        <v>0</v>
      </c>
      <c r="F715" s="1510"/>
      <c r="G715" s="951" t="str">
        <f>IF('Jrnl Exp ~ Dép'!$E218="","",'Jrnl Exp ~ Dép'!$E218)</f>
        <v/>
      </c>
      <c r="H715" s="147">
        <f>'Jrnl Exp ~ Dép'!H218</f>
        <v>0</v>
      </c>
      <c r="I715" s="147" t="str">
        <f t="shared" si="22"/>
        <v>0</v>
      </c>
      <c r="J715" s="148" t="b">
        <f t="shared" si="23"/>
        <v>0</v>
      </c>
      <c r="K715" s="169"/>
      <c r="L715" s="169">
        <f>'Jrnl Exp ~ Dép'!$G218</f>
        <v>0</v>
      </c>
      <c r="M715" s="151"/>
      <c r="N715" s="167"/>
    </row>
    <row r="716" spans="2:14" s="1" customFormat="1" ht="30" hidden="1" customHeight="1" x14ac:dyDescent="0.15">
      <c r="B716" s="146">
        <f>IF(AND('Jrnl Exp ~ Dép'!$G219&lt;&gt;"",'Jrnl Exp ~ Dép'!$C219&lt;&gt;""),1,0)</f>
        <v>0</v>
      </c>
      <c r="C716" s="146">
        <f>'Jrnl Exp ~ Dép'!$C219</f>
        <v>0</v>
      </c>
      <c r="D716" s="168">
        <f>'Jrnl Exp ~ Dép'!$D219</f>
        <v>0</v>
      </c>
      <c r="E716" s="1510">
        <f>'Jrnl Exp ~ Dép'!$F219</f>
        <v>0</v>
      </c>
      <c r="F716" s="1510"/>
      <c r="G716" s="951" t="str">
        <f>IF('Jrnl Exp ~ Dép'!$E219="","",'Jrnl Exp ~ Dép'!$E219)</f>
        <v/>
      </c>
      <c r="H716" s="147">
        <f>'Jrnl Exp ~ Dép'!H219</f>
        <v>0</v>
      </c>
      <c r="I716" s="147" t="str">
        <f t="shared" si="22"/>
        <v>0</v>
      </c>
      <c r="J716" s="148" t="b">
        <f t="shared" si="23"/>
        <v>0</v>
      </c>
      <c r="K716" s="169"/>
      <c r="L716" s="169">
        <f>'Jrnl Exp ~ Dép'!$G219</f>
        <v>0</v>
      </c>
      <c r="M716" s="151"/>
      <c r="N716" s="167"/>
    </row>
    <row r="717" spans="2:14" s="1" customFormat="1" ht="30" hidden="1" customHeight="1" x14ac:dyDescent="0.15">
      <c r="B717" s="146">
        <f>IF(AND('Jrnl Exp ~ Dép'!$G220&lt;&gt;"",'Jrnl Exp ~ Dép'!$C220&lt;&gt;""),1,0)</f>
        <v>0</v>
      </c>
      <c r="C717" s="146">
        <f>'Jrnl Exp ~ Dép'!$C220</f>
        <v>0</v>
      </c>
      <c r="D717" s="168">
        <f>'Jrnl Exp ~ Dép'!$D220</f>
        <v>0</v>
      </c>
      <c r="E717" s="1510">
        <f>'Jrnl Exp ~ Dép'!$F220</f>
        <v>0</v>
      </c>
      <c r="F717" s="1510"/>
      <c r="G717" s="951" t="str">
        <f>IF('Jrnl Exp ~ Dép'!$E220="","",'Jrnl Exp ~ Dép'!$E220)</f>
        <v/>
      </c>
      <c r="H717" s="147">
        <f>'Jrnl Exp ~ Dép'!H220</f>
        <v>0</v>
      </c>
      <c r="I717" s="147" t="str">
        <f t="shared" si="22"/>
        <v>0</v>
      </c>
      <c r="J717" s="148" t="b">
        <f t="shared" si="23"/>
        <v>0</v>
      </c>
      <c r="K717" s="169"/>
      <c r="L717" s="169">
        <f>'Jrnl Exp ~ Dép'!$G220</f>
        <v>0</v>
      </c>
      <c r="M717" s="151"/>
      <c r="N717" s="167"/>
    </row>
    <row r="718" spans="2:14" s="1" customFormat="1" ht="30" hidden="1" customHeight="1" x14ac:dyDescent="0.15">
      <c r="B718" s="146">
        <f>IF(AND('Jrnl Exp ~ Dép'!$G221&lt;&gt;"",'Jrnl Exp ~ Dép'!$C221&lt;&gt;""),1,0)</f>
        <v>0</v>
      </c>
      <c r="C718" s="146">
        <f>'Jrnl Exp ~ Dép'!$C221</f>
        <v>0</v>
      </c>
      <c r="D718" s="168">
        <f>'Jrnl Exp ~ Dép'!$D221</f>
        <v>0</v>
      </c>
      <c r="E718" s="1510">
        <f>'Jrnl Exp ~ Dép'!$F221</f>
        <v>0</v>
      </c>
      <c r="F718" s="1510"/>
      <c r="G718" s="951" t="str">
        <f>IF('Jrnl Exp ~ Dép'!$E221="","",'Jrnl Exp ~ Dép'!$E221)</f>
        <v/>
      </c>
      <c r="H718" s="147">
        <f>'Jrnl Exp ~ Dép'!H221</f>
        <v>0</v>
      </c>
      <c r="I718" s="147" t="str">
        <f t="shared" si="22"/>
        <v>0</v>
      </c>
      <c r="J718" s="148" t="b">
        <f t="shared" si="23"/>
        <v>0</v>
      </c>
      <c r="K718" s="169"/>
      <c r="L718" s="169">
        <f>'Jrnl Exp ~ Dép'!$G221</f>
        <v>0</v>
      </c>
      <c r="M718" s="151"/>
      <c r="N718" s="167"/>
    </row>
    <row r="719" spans="2:14" s="1" customFormat="1" ht="30" hidden="1" customHeight="1" x14ac:dyDescent="0.15">
      <c r="B719" s="146">
        <f>IF(AND('Jrnl Exp ~ Dép'!$G222&lt;&gt;"",'Jrnl Exp ~ Dép'!$C222&lt;&gt;""),1,0)</f>
        <v>0</v>
      </c>
      <c r="C719" s="146">
        <f>'Jrnl Exp ~ Dép'!$C222</f>
        <v>0</v>
      </c>
      <c r="D719" s="168">
        <f>'Jrnl Exp ~ Dép'!$D222</f>
        <v>0</v>
      </c>
      <c r="E719" s="1510">
        <f>'Jrnl Exp ~ Dép'!$F222</f>
        <v>0</v>
      </c>
      <c r="F719" s="1510"/>
      <c r="G719" s="951" t="str">
        <f>IF('Jrnl Exp ~ Dép'!$E222="","",'Jrnl Exp ~ Dép'!$E222)</f>
        <v/>
      </c>
      <c r="H719" s="147">
        <f>'Jrnl Exp ~ Dép'!H222</f>
        <v>0</v>
      </c>
      <c r="I719" s="147" t="str">
        <f t="shared" si="22"/>
        <v>0</v>
      </c>
      <c r="J719" s="148" t="b">
        <f t="shared" si="23"/>
        <v>0</v>
      </c>
      <c r="K719" s="169"/>
      <c r="L719" s="169">
        <f>'Jrnl Exp ~ Dép'!$G222</f>
        <v>0</v>
      </c>
      <c r="M719" s="151"/>
      <c r="N719" s="167"/>
    </row>
    <row r="720" spans="2:14" s="1" customFormat="1" ht="30" hidden="1" customHeight="1" x14ac:dyDescent="0.15">
      <c r="B720" s="146">
        <f>IF(AND('Jrnl Exp ~ Dép'!$G223&lt;&gt;"",'Jrnl Exp ~ Dép'!$C223&lt;&gt;""),1,0)</f>
        <v>0</v>
      </c>
      <c r="C720" s="146">
        <f>'Jrnl Exp ~ Dép'!$C223</f>
        <v>0</v>
      </c>
      <c r="D720" s="168">
        <f>'Jrnl Exp ~ Dép'!$D223</f>
        <v>0</v>
      </c>
      <c r="E720" s="1510">
        <f>'Jrnl Exp ~ Dép'!$F223</f>
        <v>0</v>
      </c>
      <c r="F720" s="1510"/>
      <c r="G720" s="951" t="str">
        <f>IF('Jrnl Exp ~ Dép'!$E223="","",'Jrnl Exp ~ Dép'!$E223)</f>
        <v/>
      </c>
      <c r="H720" s="147">
        <f>'Jrnl Exp ~ Dép'!H223</f>
        <v>0</v>
      </c>
      <c r="I720" s="147" t="str">
        <f t="shared" si="22"/>
        <v>0</v>
      </c>
      <c r="J720" s="148" t="b">
        <f t="shared" si="23"/>
        <v>0</v>
      </c>
      <c r="K720" s="169"/>
      <c r="L720" s="169">
        <f>'Jrnl Exp ~ Dép'!$G223</f>
        <v>0</v>
      </c>
      <c r="M720" s="151"/>
      <c r="N720" s="167"/>
    </row>
    <row r="721" spans="2:14" s="1" customFormat="1" ht="30" hidden="1" customHeight="1" x14ac:dyDescent="0.15">
      <c r="B721" s="146">
        <f>IF(AND('Jrnl Exp ~ Dép'!$G224&lt;&gt;"",'Jrnl Exp ~ Dép'!$C224&lt;&gt;""),1,0)</f>
        <v>0</v>
      </c>
      <c r="C721" s="146">
        <f>'Jrnl Exp ~ Dép'!$C224</f>
        <v>0</v>
      </c>
      <c r="D721" s="168">
        <f>'Jrnl Exp ~ Dép'!$D224</f>
        <v>0</v>
      </c>
      <c r="E721" s="1510">
        <f>'Jrnl Exp ~ Dép'!$F224</f>
        <v>0</v>
      </c>
      <c r="F721" s="1510"/>
      <c r="G721" s="951" t="str">
        <f>IF('Jrnl Exp ~ Dép'!$E224="","",'Jrnl Exp ~ Dép'!$E224)</f>
        <v/>
      </c>
      <c r="H721" s="147">
        <f>'Jrnl Exp ~ Dép'!H224</f>
        <v>0</v>
      </c>
      <c r="I721" s="147" t="str">
        <f t="shared" si="22"/>
        <v>0</v>
      </c>
      <c r="J721" s="148" t="b">
        <f t="shared" si="23"/>
        <v>0</v>
      </c>
      <c r="K721" s="169"/>
      <c r="L721" s="169">
        <f>'Jrnl Exp ~ Dép'!$G224</f>
        <v>0</v>
      </c>
      <c r="M721" s="151"/>
      <c r="N721" s="167"/>
    </row>
    <row r="722" spans="2:14" s="1" customFormat="1" ht="30" hidden="1" customHeight="1" x14ac:dyDescent="0.15">
      <c r="B722" s="146">
        <f>IF(AND('Jrnl Exp ~ Dép'!$G225&lt;&gt;"",'Jrnl Exp ~ Dép'!$C225&lt;&gt;""),1,0)</f>
        <v>0</v>
      </c>
      <c r="C722" s="146">
        <f>'Jrnl Exp ~ Dép'!$C225</f>
        <v>0</v>
      </c>
      <c r="D722" s="168">
        <f>'Jrnl Exp ~ Dép'!$D225</f>
        <v>0</v>
      </c>
      <c r="E722" s="1510">
        <f>'Jrnl Exp ~ Dép'!$F225</f>
        <v>0</v>
      </c>
      <c r="F722" s="1510"/>
      <c r="G722" s="951" t="str">
        <f>IF('Jrnl Exp ~ Dép'!$E225="","",'Jrnl Exp ~ Dép'!$E225)</f>
        <v/>
      </c>
      <c r="H722" s="147">
        <f>'Jrnl Exp ~ Dép'!H225</f>
        <v>0</v>
      </c>
      <c r="I722" s="147" t="str">
        <f t="shared" si="22"/>
        <v>0</v>
      </c>
      <c r="J722" s="148" t="b">
        <f t="shared" si="23"/>
        <v>0</v>
      </c>
      <c r="K722" s="169"/>
      <c r="L722" s="169">
        <f>'Jrnl Exp ~ Dép'!$G225</f>
        <v>0</v>
      </c>
      <c r="M722" s="151"/>
      <c r="N722" s="167"/>
    </row>
    <row r="723" spans="2:14" s="1" customFormat="1" ht="30" hidden="1" customHeight="1" x14ac:dyDescent="0.15">
      <c r="B723" s="146">
        <f>IF(AND('Jrnl Exp ~ Dép'!$G226&lt;&gt;"",'Jrnl Exp ~ Dép'!$C226&lt;&gt;""),1,0)</f>
        <v>0</v>
      </c>
      <c r="C723" s="146">
        <f>'Jrnl Exp ~ Dép'!$C226</f>
        <v>0</v>
      </c>
      <c r="D723" s="168">
        <f>'Jrnl Exp ~ Dép'!$D226</f>
        <v>0</v>
      </c>
      <c r="E723" s="1510">
        <f>'Jrnl Exp ~ Dép'!$F226</f>
        <v>0</v>
      </c>
      <c r="F723" s="1510"/>
      <c r="G723" s="951" t="str">
        <f>IF('Jrnl Exp ~ Dép'!$E226="","",'Jrnl Exp ~ Dép'!$E226)</f>
        <v/>
      </c>
      <c r="H723" s="147">
        <f>'Jrnl Exp ~ Dép'!H226</f>
        <v>0</v>
      </c>
      <c r="I723" s="147" t="str">
        <f t="shared" si="22"/>
        <v>0</v>
      </c>
      <c r="J723" s="148" t="b">
        <f t="shared" si="23"/>
        <v>0</v>
      </c>
      <c r="K723" s="169"/>
      <c r="L723" s="169">
        <f>'Jrnl Exp ~ Dép'!$G226</f>
        <v>0</v>
      </c>
      <c r="M723" s="151"/>
      <c r="N723" s="167"/>
    </row>
    <row r="724" spans="2:14" s="1" customFormat="1" ht="30" hidden="1" customHeight="1" x14ac:dyDescent="0.15">
      <c r="B724" s="146">
        <f>IF(AND('Jrnl Exp ~ Dép'!$G227&lt;&gt;"",'Jrnl Exp ~ Dép'!$C227&lt;&gt;""),1,0)</f>
        <v>0</v>
      </c>
      <c r="C724" s="146">
        <f>'Jrnl Exp ~ Dép'!$C227</f>
        <v>0</v>
      </c>
      <c r="D724" s="168">
        <f>'Jrnl Exp ~ Dép'!$D227</f>
        <v>0</v>
      </c>
      <c r="E724" s="1510">
        <f>'Jrnl Exp ~ Dép'!$F227</f>
        <v>0</v>
      </c>
      <c r="F724" s="1510"/>
      <c r="G724" s="951" t="str">
        <f>IF('Jrnl Exp ~ Dép'!$E227="","",'Jrnl Exp ~ Dép'!$E227)</f>
        <v/>
      </c>
      <c r="H724" s="147">
        <f>'Jrnl Exp ~ Dép'!H227</f>
        <v>0</v>
      </c>
      <c r="I724" s="147" t="str">
        <f t="shared" si="22"/>
        <v>0</v>
      </c>
      <c r="J724" s="148" t="b">
        <f t="shared" si="23"/>
        <v>0</v>
      </c>
      <c r="K724" s="169"/>
      <c r="L724" s="169">
        <f>'Jrnl Exp ~ Dép'!$G227</f>
        <v>0</v>
      </c>
      <c r="M724" s="151"/>
      <c r="N724" s="167"/>
    </row>
    <row r="725" spans="2:14" s="1" customFormat="1" ht="30" hidden="1" customHeight="1" x14ac:dyDescent="0.15">
      <c r="B725" s="146">
        <f>IF(AND('Jrnl Exp ~ Dép'!$G228&lt;&gt;"",'Jrnl Exp ~ Dép'!$C228&lt;&gt;""),1,0)</f>
        <v>0</v>
      </c>
      <c r="C725" s="146">
        <f>'Jrnl Exp ~ Dép'!$C228</f>
        <v>0</v>
      </c>
      <c r="D725" s="168">
        <f>'Jrnl Exp ~ Dép'!$D228</f>
        <v>0</v>
      </c>
      <c r="E725" s="1510">
        <f>'Jrnl Exp ~ Dép'!$F228</f>
        <v>0</v>
      </c>
      <c r="F725" s="1510"/>
      <c r="G725" s="951" t="str">
        <f>IF('Jrnl Exp ~ Dép'!$E228="","",'Jrnl Exp ~ Dép'!$E228)</f>
        <v/>
      </c>
      <c r="H725" s="147">
        <f>'Jrnl Exp ~ Dép'!H228</f>
        <v>0</v>
      </c>
      <c r="I725" s="147" t="str">
        <f t="shared" si="22"/>
        <v>0</v>
      </c>
      <c r="J725" s="148" t="b">
        <f t="shared" si="23"/>
        <v>0</v>
      </c>
      <c r="K725" s="169"/>
      <c r="L725" s="169">
        <f>'Jrnl Exp ~ Dép'!$G228</f>
        <v>0</v>
      </c>
      <c r="M725" s="151"/>
      <c r="N725" s="167"/>
    </row>
    <row r="726" spans="2:14" s="1" customFormat="1" ht="30" hidden="1" customHeight="1" x14ac:dyDescent="0.15">
      <c r="B726" s="146">
        <f>IF(AND('Jrnl Exp ~ Dép'!$G229&lt;&gt;"",'Jrnl Exp ~ Dép'!$C229&lt;&gt;""),1,0)</f>
        <v>0</v>
      </c>
      <c r="C726" s="146">
        <f>'Jrnl Exp ~ Dép'!$C229</f>
        <v>0</v>
      </c>
      <c r="D726" s="168">
        <f>'Jrnl Exp ~ Dép'!$D229</f>
        <v>0</v>
      </c>
      <c r="E726" s="1510">
        <f>'Jrnl Exp ~ Dép'!$F229</f>
        <v>0</v>
      </c>
      <c r="F726" s="1510"/>
      <c r="G726" s="951" t="str">
        <f>IF('Jrnl Exp ~ Dép'!$E229="","",'Jrnl Exp ~ Dép'!$E229)</f>
        <v/>
      </c>
      <c r="H726" s="147">
        <f>'Jrnl Exp ~ Dép'!H229</f>
        <v>0</v>
      </c>
      <c r="I726" s="147" t="str">
        <f t="shared" si="22"/>
        <v>0</v>
      </c>
      <c r="J726" s="148" t="b">
        <f t="shared" si="23"/>
        <v>0</v>
      </c>
      <c r="K726" s="169"/>
      <c r="L726" s="169">
        <f>'Jrnl Exp ~ Dép'!$G229</f>
        <v>0</v>
      </c>
      <c r="M726" s="151"/>
      <c r="N726" s="167"/>
    </row>
    <row r="727" spans="2:14" s="1" customFormat="1" ht="30" hidden="1" customHeight="1" x14ac:dyDescent="0.15">
      <c r="B727" s="146">
        <f>IF(AND('Jrnl Exp ~ Dép'!$G230&lt;&gt;"",'Jrnl Exp ~ Dép'!$C230&lt;&gt;""),1,0)</f>
        <v>0</v>
      </c>
      <c r="C727" s="146">
        <f>'Jrnl Exp ~ Dép'!$C230</f>
        <v>0</v>
      </c>
      <c r="D727" s="168">
        <f>'Jrnl Exp ~ Dép'!$D230</f>
        <v>0</v>
      </c>
      <c r="E727" s="1510">
        <f>'Jrnl Exp ~ Dép'!$F230</f>
        <v>0</v>
      </c>
      <c r="F727" s="1510"/>
      <c r="G727" s="951" t="str">
        <f>IF('Jrnl Exp ~ Dép'!$E230="","",'Jrnl Exp ~ Dép'!$E230)</f>
        <v/>
      </c>
      <c r="H727" s="147">
        <f>'Jrnl Exp ~ Dép'!H230</f>
        <v>0</v>
      </c>
      <c r="I727" s="147" t="str">
        <f t="shared" si="22"/>
        <v>0</v>
      </c>
      <c r="J727" s="148" t="b">
        <f t="shared" si="23"/>
        <v>0</v>
      </c>
      <c r="K727" s="169"/>
      <c r="L727" s="169">
        <f>'Jrnl Exp ~ Dép'!$G230</f>
        <v>0</v>
      </c>
      <c r="M727" s="151"/>
      <c r="N727" s="167"/>
    </row>
    <row r="728" spans="2:14" s="1" customFormat="1" ht="30" hidden="1" customHeight="1" x14ac:dyDescent="0.15">
      <c r="B728" s="146">
        <f>IF(AND('Jrnl Exp ~ Dép'!$G231&lt;&gt;"",'Jrnl Exp ~ Dép'!$C231&lt;&gt;""),1,0)</f>
        <v>0</v>
      </c>
      <c r="C728" s="146">
        <f>'Jrnl Exp ~ Dép'!$C231</f>
        <v>0</v>
      </c>
      <c r="D728" s="168">
        <f>'Jrnl Exp ~ Dép'!$D231</f>
        <v>0</v>
      </c>
      <c r="E728" s="1510">
        <f>'Jrnl Exp ~ Dép'!$F231</f>
        <v>0</v>
      </c>
      <c r="F728" s="1510"/>
      <c r="G728" s="951" t="str">
        <f>IF('Jrnl Exp ~ Dép'!$E231="","",'Jrnl Exp ~ Dép'!$E231)</f>
        <v/>
      </c>
      <c r="H728" s="147">
        <f>'Jrnl Exp ~ Dép'!H231</f>
        <v>0</v>
      </c>
      <c r="I728" s="147" t="str">
        <f t="shared" si="22"/>
        <v>0</v>
      </c>
      <c r="J728" s="148" t="b">
        <f t="shared" si="23"/>
        <v>0</v>
      </c>
      <c r="K728" s="169"/>
      <c r="L728" s="169">
        <f>'Jrnl Exp ~ Dép'!$G231</f>
        <v>0</v>
      </c>
      <c r="M728" s="151"/>
      <c r="N728" s="167"/>
    </row>
    <row r="729" spans="2:14" s="1" customFormat="1" ht="30" hidden="1" customHeight="1" x14ac:dyDescent="0.15">
      <c r="B729" s="146">
        <f>IF(AND('Jrnl Exp ~ Dép'!$G232&lt;&gt;"",'Jrnl Exp ~ Dép'!$C232&lt;&gt;""),1,0)</f>
        <v>0</v>
      </c>
      <c r="C729" s="146">
        <f>'Jrnl Exp ~ Dép'!$C232</f>
        <v>0</v>
      </c>
      <c r="D729" s="168">
        <f>'Jrnl Exp ~ Dép'!$D232</f>
        <v>0</v>
      </c>
      <c r="E729" s="1510">
        <f>'Jrnl Exp ~ Dép'!$F232</f>
        <v>0</v>
      </c>
      <c r="F729" s="1510"/>
      <c r="G729" s="951" t="str">
        <f>IF('Jrnl Exp ~ Dép'!$E232="","",'Jrnl Exp ~ Dép'!$E232)</f>
        <v/>
      </c>
      <c r="H729" s="147">
        <f>'Jrnl Exp ~ Dép'!H232</f>
        <v>0</v>
      </c>
      <c r="I729" s="147" t="str">
        <f t="shared" si="22"/>
        <v>0</v>
      </c>
      <c r="J729" s="148" t="b">
        <f t="shared" si="23"/>
        <v>0</v>
      </c>
      <c r="K729" s="169"/>
      <c r="L729" s="169">
        <f>'Jrnl Exp ~ Dép'!$G232</f>
        <v>0</v>
      </c>
      <c r="M729" s="151"/>
      <c r="N729" s="167"/>
    </row>
    <row r="730" spans="2:14" s="1" customFormat="1" ht="30" hidden="1" customHeight="1" x14ac:dyDescent="0.15">
      <c r="B730" s="146">
        <f>IF(AND('Jrnl Exp ~ Dép'!$G233&lt;&gt;"",'Jrnl Exp ~ Dép'!$C233&lt;&gt;""),1,0)</f>
        <v>0</v>
      </c>
      <c r="C730" s="146">
        <f>'Jrnl Exp ~ Dép'!$C233</f>
        <v>0</v>
      </c>
      <c r="D730" s="168">
        <f>'Jrnl Exp ~ Dép'!$D233</f>
        <v>0</v>
      </c>
      <c r="E730" s="1510">
        <f>'Jrnl Exp ~ Dép'!$F233</f>
        <v>0</v>
      </c>
      <c r="F730" s="1510"/>
      <c r="G730" s="951" t="str">
        <f>IF('Jrnl Exp ~ Dép'!$E233="","",'Jrnl Exp ~ Dép'!$E233)</f>
        <v/>
      </c>
      <c r="H730" s="147">
        <f>'Jrnl Exp ~ Dép'!H233</f>
        <v>0</v>
      </c>
      <c r="I730" s="147" t="str">
        <f t="shared" si="22"/>
        <v>0</v>
      </c>
      <c r="J730" s="148" t="b">
        <f t="shared" si="23"/>
        <v>0</v>
      </c>
      <c r="K730" s="169"/>
      <c r="L730" s="169">
        <f>'Jrnl Exp ~ Dép'!$G233</f>
        <v>0</v>
      </c>
      <c r="M730" s="151"/>
      <c r="N730" s="167"/>
    </row>
    <row r="731" spans="2:14" s="1" customFormat="1" ht="30" hidden="1" customHeight="1" x14ac:dyDescent="0.15">
      <c r="B731" s="146">
        <f>IF(AND('Jrnl Exp ~ Dép'!$G234&lt;&gt;"",'Jrnl Exp ~ Dép'!$C234&lt;&gt;""),1,0)</f>
        <v>0</v>
      </c>
      <c r="C731" s="146">
        <f>'Jrnl Exp ~ Dép'!$C234</f>
        <v>0</v>
      </c>
      <c r="D731" s="168">
        <f>'Jrnl Exp ~ Dép'!$D234</f>
        <v>0</v>
      </c>
      <c r="E731" s="1510">
        <f>'Jrnl Exp ~ Dép'!$F234</f>
        <v>0</v>
      </c>
      <c r="F731" s="1510"/>
      <c r="G731" s="951" t="str">
        <f>IF('Jrnl Exp ~ Dép'!$E234="","",'Jrnl Exp ~ Dép'!$E234)</f>
        <v/>
      </c>
      <c r="H731" s="147">
        <f>'Jrnl Exp ~ Dép'!H234</f>
        <v>0</v>
      </c>
      <c r="I731" s="147" t="str">
        <f t="shared" si="22"/>
        <v>0</v>
      </c>
      <c r="J731" s="148" t="b">
        <f t="shared" si="23"/>
        <v>0</v>
      </c>
      <c r="K731" s="169"/>
      <c r="L731" s="169">
        <f>'Jrnl Exp ~ Dép'!$G234</f>
        <v>0</v>
      </c>
      <c r="M731" s="151"/>
      <c r="N731" s="167"/>
    </row>
    <row r="732" spans="2:14" s="1" customFormat="1" ht="30" hidden="1" customHeight="1" x14ac:dyDescent="0.15">
      <c r="B732" s="146">
        <f>IF(AND('Jrnl Exp ~ Dép'!$G235&lt;&gt;"",'Jrnl Exp ~ Dép'!$C235&lt;&gt;""),1,0)</f>
        <v>0</v>
      </c>
      <c r="C732" s="146">
        <f>'Jrnl Exp ~ Dép'!$C235</f>
        <v>0</v>
      </c>
      <c r="D732" s="168">
        <f>'Jrnl Exp ~ Dép'!$D235</f>
        <v>0</v>
      </c>
      <c r="E732" s="1510">
        <f>'Jrnl Exp ~ Dép'!$F235</f>
        <v>0</v>
      </c>
      <c r="F732" s="1510"/>
      <c r="G732" s="951" t="str">
        <f>IF('Jrnl Exp ~ Dép'!$E235="","",'Jrnl Exp ~ Dép'!$E235)</f>
        <v/>
      </c>
      <c r="H732" s="147">
        <f>'Jrnl Exp ~ Dép'!H235</f>
        <v>0</v>
      </c>
      <c r="I732" s="147" t="str">
        <f t="shared" si="22"/>
        <v>0</v>
      </c>
      <c r="J732" s="148" t="b">
        <f t="shared" si="23"/>
        <v>0</v>
      </c>
      <c r="K732" s="169"/>
      <c r="L732" s="169">
        <f>'Jrnl Exp ~ Dép'!$G235</f>
        <v>0</v>
      </c>
      <c r="M732" s="151"/>
      <c r="N732" s="167"/>
    </row>
    <row r="733" spans="2:14" s="1" customFormat="1" ht="30" hidden="1" customHeight="1" x14ac:dyDescent="0.15">
      <c r="B733" s="146">
        <f>IF(AND('Jrnl Exp ~ Dép'!$G236&lt;&gt;"",'Jrnl Exp ~ Dép'!$C236&lt;&gt;""),1,0)</f>
        <v>0</v>
      </c>
      <c r="C733" s="146">
        <f>'Jrnl Exp ~ Dép'!$C236</f>
        <v>0</v>
      </c>
      <c r="D733" s="168">
        <f>'Jrnl Exp ~ Dép'!$D236</f>
        <v>0</v>
      </c>
      <c r="E733" s="1510">
        <f>'Jrnl Exp ~ Dép'!$F236</f>
        <v>0</v>
      </c>
      <c r="F733" s="1510"/>
      <c r="G733" s="951" t="str">
        <f>IF('Jrnl Exp ~ Dép'!$E236="","",'Jrnl Exp ~ Dép'!$E236)</f>
        <v/>
      </c>
      <c r="H733" s="147">
        <f>'Jrnl Exp ~ Dép'!H236</f>
        <v>0</v>
      </c>
      <c r="I733" s="147" t="str">
        <f t="shared" si="22"/>
        <v>0</v>
      </c>
      <c r="J733" s="148" t="b">
        <f t="shared" si="23"/>
        <v>0</v>
      </c>
      <c r="K733" s="169"/>
      <c r="L733" s="169">
        <f>'Jrnl Exp ~ Dép'!$G236</f>
        <v>0</v>
      </c>
      <c r="M733" s="151"/>
      <c r="N733" s="167"/>
    </row>
    <row r="734" spans="2:14" s="1" customFormat="1" ht="30" hidden="1" customHeight="1" x14ac:dyDescent="0.15">
      <c r="B734" s="146">
        <f>IF(AND('Jrnl Exp ~ Dép'!$G237&lt;&gt;"",'Jrnl Exp ~ Dép'!$C237&lt;&gt;""),1,0)</f>
        <v>0</v>
      </c>
      <c r="C734" s="146">
        <f>'Jrnl Exp ~ Dép'!$C237</f>
        <v>0</v>
      </c>
      <c r="D734" s="168">
        <f>'Jrnl Exp ~ Dép'!$D237</f>
        <v>0</v>
      </c>
      <c r="E734" s="1510">
        <f>'Jrnl Exp ~ Dép'!$F237</f>
        <v>0</v>
      </c>
      <c r="F734" s="1510"/>
      <c r="G734" s="951" t="str">
        <f>IF('Jrnl Exp ~ Dép'!$E237="","",'Jrnl Exp ~ Dép'!$E237)</f>
        <v/>
      </c>
      <c r="H734" s="147">
        <f>'Jrnl Exp ~ Dép'!H237</f>
        <v>0</v>
      </c>
      <c r="I734" s="147" t="str">
        <f t="shared" si="22"/>
        <v>0</v>
      </c>
      <c r="J734" s="148" t="b">
        <f t="shared" si="23"/>
        <v>0</v>
      </c>
      <c r="K734" s="169"/>
      <c r="L734" s="169">
        <f>'Jrnl Exp ~ Dép'!$G237</f>
        <v>0</v>
      </c>
      <c r="M734" s="151"/>
      <c r="N734" s="167"/>
    </row>
    <row r="735" spans="2:14" s="1" customFormat="1" ht="30" hidden="1" customHeight="1" x14ac:dyDescent="0.15">
      <c r="B735" s="146">
        <f>IF(AND('Jrnl Exp ~ Dép'!$G238&lt;&gt;"",'Jrnl Exp ~ Dép'!$C238&lt;&gt;""),1,0)</f>
        <v>0</v>
      </c>
      <c r="C735" s="146">
        <f>'Jrnl Exp ~ Dép'!$C238</f>
        <v>0</v>
      </c>
      <c r="D735" s="168">
        <f>'Jrnl Exp ~ Dép'!$D238</f>
        <v>0</v>
      </c>
      <c r="E735" s="1510">
        <f>'Jrnl Exp ~ Dép'!$F238</f>
        <v>0</v>
      </c>
      <c r="F735" s="1510"/>
      <c r="G735" s="951" t="str">
        <f>IF('Jrnl Exp ~ Dép'!$E238="","",'Jrnl Exp ~ Dép'!$E238)</f>
        <v/>
      </c>
      <c r="H735" s="147">
        <f>'Jrnl Exp ~ Dép'!H238</f>
        <v>0</v>
      </c>
      <c r="I735" s="147" t="str">
        <f t="shared" si="22"/>
        <v>0</v>
      </c>
      <c r="J735" s="148" t="b">
        <f t="shared" si="23"/>
        <v>0</v>
      </c>
      <c r="K735" s="169"/>
      <c r="L735" s="169">
        <f>'Jrnl Exp ~ Dép'!$G238</f>
        <v>0</v>
      </c>
      <c r="M735" s="151"/>
      <c r="N735" s="167"/>
    </row>
    <row r="736" spans="2:14" s="1" customFormat="1" ht="30" hidden="1" customHeight="1" x14ac:dyDescent="0.15">
      <c r="B736" s="146">
        <f>IF(AND('Jrnl Exp ~ Dép'!$G239&lt;&gt;"",'Jrnl Exp ~ Dép'!$C239&lt;&gt;""),1,0)</f>
        <v>0</v>
      </c>
      <c r="C736" s="146">
        <f>'Jrnl Exp ~ Dép'!$C239</f>
        <v>0</v>
      </c>
      <c r="D736" s="168">
        <f>'Jrnl Exp ~ Dép'!$D239</f>
        <v>0</v>
      </c>
      <c r="E736" s="1510">
        <f>'Jrnl Exp ~ Dép'!$F239</f>
        <v>0</v>
      </c>
      <c r="F736" s="1510"/>
      <c r="G736" s="951" t="str">
        <f>IF('Jrnl Exp ~ Dép'!$E239="","",'Jrnl Exp ~ Dép'!$E239)</f>
        <v/>
      </c>
      <c r="H736" s="147">
        <f>'Jrnl Exp ~ Dép'!H239</f>
        <v>0</v>
      </c>
      <c r="I736" s="147" t="str">
        <f t="shared" si="22"/>
        <v>0</v>
      </c>
      <c r="J736" s="148" t="b">
        <f t="shared" si="23"/>
        <v>0</v>
      </c>
      <c r="K736" s="169"/>
      <c r="L736" s="169">
        <f>'Jrnl Exp ~ Dép'!$G239</f>
        <v>0</v>
      </c>
      <c r="M736" s="151"/>
      <c r="N736" s="167"/>
    </row>
    <row r="737" spans="2:14" s="1" customFormat="1" ht="30" hidden="1" customHeight="1" x14ac:dyDescent="0.15">
      <c r="B737" s="146">
        <f>IF(AND('Jrnl Exp ~ Dép'!$G240&lt;&gt;"",'Jrnl Exp ~ Dép'!$C240&lt;&gt;""),1,0)</f>
        <v>0</v>
      </c>
      <c r="C737" s="146">
        <f>'Jrnl Exp ~ Dép'!$C240</f>
        <v>0</v>
      </c>
      <c r="D737" s="168">
        <f>'Jrnl Exp ~ Dép'!$D240</f>
        <v>0</v>
      </c>
      <c r="E737" s="1510">
        <f>'Jrnl Exp ~ Dép'!$F240</f>
        <v>0</v>
      </c>
      <c r="F737" s="1510"/>
      <c r="G737" s="951" t="str">
        <f>IF('Jrnl Exp ~ Dép'!$E240="","",'Jrnl Exp ~ Dép'!$E240)</f>
        <v/>
      </c>
      <c r="H737" s="147">
        <f>'Jrnl Exp ~ Dép'!H240</f>
        <v>0</v>
      </c>
      <c r="I737" s="147" t="str">
        <f t="shared" si="22"/>
        <v>0</v>
      </c>
      <c r="J737" s="148" t="b">
        <f t="shared" si="23"/>
        <v>0</v>
      </c>
      <c r="K737" s="169"/>
      <c r="L737" s="169">
        <f>'Jrnl Exp ~ Dép'!$G240</f>
        <v>0</v>
      </c>
      <c r="M737" s="151"/>
      <c r="N737" s="167"/>
    </row>
    <row r="738" spans="2:14" s="1" customFormat="1" ht="30" hidden="1" customHeight="1" x14ac:dyDescent="0.15">
      <c r="B738" s="146">
        <f>IF(AND('Jrnl Exp ~ Dép'!$G241&lt;&gt;"",'Jrnl Exp ~ Dép'!$C241&lt;&gt;""),1,0)</f>
        <v>0</v>
      </c>
      <c r="C738" s="146">
        <f>'Jrnl Exp ~ Dép'!$C241</f>
        <v>0</v>
      </c>
      <c r="D738" s="168">
        <f>'Jrnl Exp ~ Dép'!$D241</f>
        <v>0</v>
      </c>
      <c r="E738" s="1510">
        <f>'Jrnl Exp ~ Dép'!$F241</f>
        <v>0</v>
      </c>
      <c r="F738" s="1510"/>
      <c r="G738" s="951" t="str">
        <f>IF('Jrnl Exp ~ Dép'!$E241="","",'Jrnl Exp ~ Dép'!$E241)</f>
        <v/>
      </c>
      <c r="H738" s="147">
        <f>'Jrnl Exp ~ Dép'!H241</f>
        <v>0</v>
      </c>
      <c r="I738" s="147" t="str">
        <f t="shared" si="22"/>
        <v>0</v>
      </c>
      <c r="J738" s="148" t="b">
        <f t="shared" si="23"/>
        <v>0</v>
      </c>
      <c r="K738" s="169"/>
      <c r="L738" s="169">
        <f>'Jrnl Exp ~ Dép'!$G241</f>
        <v>0</v>
      </c>
      <c r="M738" s="151"/>
      <c r="N738" s="167"/>
    </row>
    <row r="739" spans="2:14" s="1" customFormat="1" ht="30" hidden="1" customHeight="1" x14ac:dyDescent="0.15">
      <c r="B739" s="146">
        <f>IF(AND('Jrnl Exp ~ Dép'!$G242&lt;&gt;"",'Jrnl Exp ~ Dép'!$C242&lt;&gt;""),1,0)</f>
        <v>0</v>
      </c>
      <c r="C739" s="146">
        <f>'Jrnl Exp ~ Dép'!$C242</f>
        <v>0</v>
      </c>
      <c r="D739" s="168">
        <f>'Jrnl Exp ~ Dép'!$D242</f>
        <v>0</v>
      </c>
      <c r="E739" s="1510">
        <f>'Jrnl Exp ~ Dép'!$F242</f>
        <v>0</v>
      </c>
      <c r="F739" s="1510"/>
      <c r="G739" s="951" t="str">
        <f>IF('Jrnl Exp ~ Dép'!$E242="","",'Jrnl Exp ~ Dép'!$E242)</f>
        <v/>
      </c>
      <c r="H739" s="147">
        <f>'Jrnl Exp ~ Dép'!H242</f>
        <v>0</v>
      </c>
      <c r="I739" s="147" t="str">
        <f t="shared" si="22"/>
        <v>0</v>
      </c>
      <c r="J739" s="148" t="b">
        <f t="shared" si="23"/>
        <v>0</v>
      </c>
      <c r="K739" s="169"/>
      <c r="L739" s="169">
        <f>'Jrnl Exp ~ Dép'!$G242</f>
        <v>0</v>
      </c>
      <c r="M739" s="151"/>
      <c r="N739" s="167"/>
    </row>
    <row r="740" spans="2:14" s="1" customFormat="1" ht="30" hidden="1" customHeight="1" x14ac:dyDescent="0.15">
      <c r="B740" s="146">
        <f>IF(AND('Jrnl Exp ~ Dép'!$G243&lt;&gt;"",'Jrnl Exp ~ Dép'!$C243&lt;&gt;""),1,0)</f>
        <v>0</v>
      </c>
      <c r="C740" s="146">
        <f>'Jrnl Exp ~ Dép'!$C243</f>
        <v>0</v>
      </c>
      <c r="D740" s="168">
        <f>'Jrnl Exp ~ Dép'!$D243</f>
        <v>0</v>
      </c>
      <c r="E740" s="1510">
        <f>'Jrnl Exp ~ Dép'!$F243</f>
        <v>0</v>
      </c>
      <c r="F740" s="1510"/>
      <c r="G740" s="951" t="str">
        <f>IF('Jrnl Exp ~ Dép'!$E243="","",'Jrnl Exp ~ Dép'!$E243)</f>
        <v/>
      </c>
      <c r="H740" s="147">
        <f>'Jrnl Exp ~ Dép'!H243</f>
        <v>0</v>
      </c>
      <c r="I740" s="147" t="str">
        <f t="shared" si="22"/>
        <v>0</v>
      </c>
      <c r="J740" s="148" t="b">
        <f t="shared" si="23"/>
        <v>0</v>
      </c>
      <c r="K740" s="169"/>
      <c r="L740" s="169">
        <f>'Jrnl Exp ~ Dép'!$G243</f>
        <v>0</v>
      </c>
      <c r="M740" s="151"/>
      <c r="N740" s="167"/>
    </row>
    <row r="741" spans="2:14" s="1" customFormat="1" ht="30" hidden="1" customHeight="1" x14ac:dyDescent="0.15">
      <c r="B741" s="146">
        <f>IF(AND('Jrnl Exp ~ Dép'!$G244&lt;&gt;"",'Jrnl Exp ~ Dép'!$C244&lt;&gt;""),1,0)</f>
        <v>0</v>
      </c>
      <c r="C741" s="146">
        <f>'Jrnl Exp ~ Dép'!$C244</f>
        <v>0</v>
      </c>
      <c r="D741" s="168">
        <f>'Jrnl Exp ~ Dép'!$D244</f>
        <v>0</v>
      </c>
      <c r="E741" s="1510">
        <f>'Jrnl Exp ~ Dép'!$F244</f>
        <v>0</v>
      </c>
      <c r="F741" s="1510"/>
      <c r="G741" s="951" t="str">
        <f>IF('Jrnl Exp ~ Dép'!$E244="","",'Jrnl Exp ~ Dép'!$E244)</f>
        <v/>
      </c>
      <c r="H741" s="147">
        <f>'Jrnl Exp ~ Dép'!H244</f>
        <v>0</v>
      </c>
      <c r="I741" s="147" t="str">
        <f t="shared" si="22"/>
        <v>0</v>
      </c>
      <c r="J741" s="148" t="b">
        <f t="shared" si="23"/>
        <v>0</v>
      </c>
      <c r="K741" s="169"/>
      <c r="L741" s="169">
        <f>'Jrnl Exp ~ Dép'!$G244</f>
        <v>0</v>
      </c>
      <c r="M741" s="151"/>
      <c r="N741" s="167"/>
    </row>
    <row r="742" spans="2:14" s="1" customFormat="1" ht="30" hidden="1" customHeight="1" x14ac:dyDescent="0.15">
      <c r="B742" s="146">
        <f>IF(AND('Jrnl Exp ~ Dép'!$G245&lt;&gt;"",'Jrnl Exp ~ Dép'!$C245&lt;&gt;""),1,0)</f>
        <v>0</v>
      </c>
      <c r="C742" s="146">
        <f>'Jrnl Exp ~ Dép'!$C245</f>
        <v>0</v>
      </c>
      <c r="D742" s="168">
        <f>'Jrnl Exp ~ Dép'!$D245</f>
        <v>0</v>
      </c>
      <c r="E742" s="1510">
        <f>'Jrnl Exp ~ Dép'!$F245</f>
        <v>0</v>
      </c>
      <c r="F742" s="1510"/>
      <c r="G742" s="951" t="str">
        <f>IF('Jrnl Exp ~ Dép'!$E245="","",'Jrnl Exp ~ Dép'!$E245)</f>
        <v/>
      </c>
      <c r="H742" s="147">
        <f>'Jrnl Exp ~ Dép'!H245</f>
        <v>0</v>
      </c>
      <c r="I742" s="147" t="str">
        <f t="shared" si="22"/>
        <v>0</v>
      </c>
      <c r="J742" s="148" t="b">
        <f t="shared" si="23"/>
        <v>0</v>
      </c>
      <c r="K742" s="169"/>
      <c r="L742" s="169">
        <f>'Jrnl Exp ~ Dép'!$G245</f>
        <v>0</v>
      </c>
      <c r="M742" s="151"/>
      <c r="N742" s="167"/>
    </row>
    <row r="743" spans="2:14" s="1" customFormat="1" ht="30" hidden="1" customHeight="1" x14ac:dyDescent="0.15">
      <c r="B743" s="146">
        <f>IF(AND('Jrnl Exp ~ Dép'!$G246&lt;&gt;"",'Jrnl Exp ~ Dép'!$C246&lt;&gt;""),1,0)</f>
        <v>0</v>
      </c>
      <c r="C743" s="146">
        <f>'Jrnl Exp ~ Dép'!$C246</f>
        <v>0</v>
      </c>
      <c r="D743" s="168">
        <f>'Jrnl Exp ~ Dép'!$D246</f>
        <v>0</v>
      </c>
      <c r="E743" s="1510">
        <f>'Jrnl Exp ~ Dép'!$F246</f>
        <v>0</v>
      </c>
      <c r="F743" s="1510"/>
      <c r="G743" s="951" t="str">
        <f>IF('Jrnl Exp ~ Dép'!$E246="","",'Jrnl Exp ~ Dép'!$E246)</f>
        <v/>
      </c>
      <c r="H743" s="147">
        <f>'Jrnl Exp ~ Dép'!H246</f>
        <v>0</v>
      </c>
      <c r="I743" s="147" t="str">
        <f t="shared" si="22"/>
        <v>0</v>
      </c>
      <c r="J743" s="148" t="b">
        <f t="shared" si="23"/>
        <v>0</v>
      </c>
      <c r="K743" s="169"/>
      <c r="L743" s="169">
        <f>'Jrnl Exp ~ Dép'!$G246</f>
        <v>0</v>
      </c>
      <c r="M743" s="151"/>
      <c r="N743" s="167"/>
    </row>
    <row r="744" spans="2:14" s="1" customFormat="1" ht="30" hidden="1" customHeight="1" x14ac:dyDescent="0.15">
      <c r="B744" s="146">
        <f>IF(AND('Jrnl Exp ~ Dép'!$G247&lt;&gt;"",'Jrnl Exp ~ Dép'!$C247&lt;&gt;""),1,0)</f>
        <v>0</v>
      </c>
      <c r="C744" s="146">
        <f>'Jrnl Exp ~ Dép'!$C247</f>
        <v>0</v>
      </c>
      <c r="D744" s="168">
        <f>'Jrnl Exp ~ Dép'!$D247</f>
        <v>0</v>
      </c>
      <c r="E744" s="1510">
        <f>'Jrnl Exp ~ Dép'!$F247</f>
        <v>0</v>
      </c>
      <c r="F744" s="1510"/>
      <c r="G744" s="951" t="str">
        <f>IF('Jrnl Exp ~ Dép'!$E247="","",'Jrnl Exp ~ Dép'!$E247)</f>
        <v/>
      </c>
      <c r="H744" s="147">
        <f>'Jrnl Exp ~ Dép'!H247</f>
        <v>0</v>
      </c>
      <c r="I744" s="147" t="str">
        <f t="shared" si="22"/>
        <v>0</v>
      </c>
      <c r="J744" s="148" t="b">
        <f t="shared" si="23"/>
        <v>0</v>
      </c>
      <c r="K744" s="169"/>
      <c r="L744" s="169">
        <f>'Jrnl Exp ~ Dép'!$G247</f>
        <v>0</v>
      </c>
      <c r="M744" s="151"/>
      <c r="N744" s="167"/>
    </row>
    <row r="745" spans="2:14" s="1" customFormat="1" ht="30" hidden="1" customHeight="1" x14ac:dyDescent="0.15">
      <c r="B745" s="146">
        <f>IF(AND('Jrnl Exp ~ Dép'!$G248&lt;&gt;"",'Jrnl Exp ~ Dép'!$C248&lt;&gt;""),1,0)</f>
        <v>0</v>
      </c>
      <c r="C745" s="146">
        <f>'Jrnl Exp ~ Dép'!$C248</f>
        <v>0</v>
      </c>
      <c r="D745" s="168">
        <f>'Jrnl Exp ~ Dép'!$D248</f>
        <v>0</v>
      </c>
      <c r="E745" s="1510">
        <f>'Jrnl Exp ~ Dép'!$F248</f>
        <v>0</v>
      </c>
      <c r="F745" s="1510"/>
      <c r="G745" s="951" t="str">
        <f>IF('Jrnl Exp ~ Dép'!$E248="","",'Jrnl Exp ~ Dép'!$E248)</f>
        <v/>
      </c>
      <c r="H745" s="147">
        <f>'Jrnl Exp ~ Dép'!H248</f>
        <v>0</v>
      </c>
      <c r="I745" s="147" t="str">
        <f t="shared" si="22"/>
        <v>0</v>
      </c>
      <c r="J745" s="148" t="b">
        <f t="shared" si="23"/>
        <v>0</v>
      </c>
      <c r="K745" s="169"/>
      <c r="L745" s="169">
        <f>'Jrnl Exp ~ Dép'!$G248</f>
        <v>0</v>
      </c>
      <c r="M745" s="151"/>
      <c r="N745" s="167"/>
    </row>
    <row r="746" spans="2:14" s="1" customFormat="1" ht="30" hidden="1" customHeight="1" x14ac:dyDescent="0.15">
      <c r="B746" s="146">
        <f>IF(AND('Jrnl Exp ~ Dép'!$G249&lt;&gt;"",'Jrnl Exp ~ Dép'!$C249&lt;&gt;""),1,0)</f>
        <v>0</v>
      </c>
      <c r="C746" s="146">
        <f>'Jrnl Exp ~ Dép'!$C249</f>
        <v>0</v>
      </c>
      <c r="D746" s="168">
        <f>'Jrnl Exp ~ Dép'!$D249</f>
        <v>0</v>
      </c>
      <c r="E746" s="1510">
        <f>'Jrnl Exp ~ Dép'!$F249</f>
        <v>0</v>
      </c>
      <c r="F746" s="1510"/>
      <c r="G746" s="951" t="str">
        <f>IF('Jrnl Exp ~ Dép'!$E249="","",'Jrnl Exp ~ Dép'!$E249)</f>
        <v/>
      </c>
      <c r="H746" s="147">
        <f>'Jrnl Exp ~ Dép'!H249</f>
        <v>0</v>
      </c>
      <c r="I746" s="147" t="str">
        <f t="shared" si="22"/>
        <v>0</v>
      </c>
      <c r="J746" s="148" t="b">
        <f t="shared" si="23"/>
        <v>0</v>
      </c>
      <c r="K746" s="169"/>
      <c r="L746" s="169">
        <f>'Jrnl Exp ~ Dép'!$G249</f>
        <v>0</v>
      </c>
      <c r="M746" s="151"/>
      <c r="N746" s="167"/>
    </row>
    <row r="747" spans="2:14" s="1" customFormat="1" ht="30" hidden="1" customHeight="1" x14ac:dyDescent="0.15">
      <c r="B747" s="146">
        <f>IF(AND('Jrnl Exp ~ Dép'!$G250&lt;&gt;"",'Jrnl Exp ~ Dép'!$C250&lt;&gt;""),1,0)</f>
        <v>0</v>
      </c>
      <c r="C747" s="146">
        <f>'Jrnl Exp ~ Dép'!$C250</f>
        <v>0</v>
      </c>
      <c r="D747" s="168">
        <f>'Jrnl Exp ~ Dép'!$D250</f>
        <v>0</v>
      </c>
      <c r="E747" s="1510">
        <f>'Jrnl Exp ~ Dép'!$F250</f>
        <v>0</v>
      </c>
      <c r="F747" s="1510"/>
      <c r="G747" s="951" t="str">
        <f>IF('Jrnl Exp ~ Dép'!$E250="","",'Jrnl Exp ~ Dép'!$E250)</f>
        <v/>
      </c>
      <c r="H747" s="147">
        <f>'Jrnl Exp ~ Dép'!H250</f>
        <v>0</v>
      </c>
      <c r="I747" s="147" t="str">
        <f t="shared" si="22"/>
        <v>0</v>
      </c>
      <c r="J747" s="148" t="b">
        <f t="shared" si="23"/>
        <v>0</v>
      </c>
      <c r="K747" s="169"/>
      <c r="L747" s="169">
        <f>'Jrnl Exp ~ Dép'!$G250</f>
        <v>0</v>
      </c>
      <c r="M747" s="151"/>
      <c r="N747" s="167"/>
    </row>
    <row r="748" spans="2:14" s="1" customFormat="1" ht="30" hidden="1" customHeight="1" x14ac:dyDescent="0.15">
      <c r="B748" s="146">
        <f>IF(AND('Jrnl Exp ~ Dép'!$G251&lt;&gt;"",'Jrnl Exp ~ Dép'!$C251&lt;&gt;""),1,0)</f>
        <v>0</v>
      </c>
      <c r="C748" s="146">
        <f>'Jrnl Exp ~ Dép'!$C251</f>
        <v>0</v>
      </c>
      <c r="D748" s="168">
        <f>'Jrnl Exp ~ Dép'!$D251</f>
        <v>0</v>
      </c>
      <c r="E748" s="1510">
        <f>'Jrnl Exp ~ Dép'!$F251</f>
        <v>0</v>
      </c>
      <c r="F748" s="1510"/>
      <c r="G748" s="951" t="str">
        <f>IF('Jrnl Exp ~ Dép'!$E251="","",'Jrnl Exp ~ Dép'!$E251)</f>
        <v/>
      </c>
      <c r="H748" s="147">
        <f>'Jrnl Exp ~ Dép'!H251</f>
        <v>0</v>
      </c>
      <c r="I748" s="147" t="str">
        <f t="shared" si="22"/>
        <v>0</v>
      </c>
      <c r="J748" s="148" t="b">
        <f t="shared" si="23"/>
        <v>0</v>
      </c>
      <c r="K748" s="169"/>
      <c r="L748" s="169">
        <f>'Jrnl Exp ~ Dép'!$G251</f>
        <v>0</v>
      </c>
      <c r="M748" s="151"/>
      <c r="N748" s="167"/>
    </row>
    <row r="749" spans="2:14" s="1" customFormat="1" ht="30" hidden="1" customHeight="1" x14ac:dyDescent="0.15">
      <c r="B749" s="146">
        <f>IF(AND('Jrnl Exp ~ Dép'!$G252&lt;&gt;"",'Jrnl Exp ~ Dép'!$C252&lt;&gt;""),1,0)</f>
        <v>0</v>
      </c>
      <c r="C749" s="146">
        <f>'Jrnl Exp ~ Dép'!$C252</f>
        <v>0</v>
      </c>
      <c r="D749" s="168">
        <f>'Jrnl Exp ~ Dép'!$D252</f>
        <v>0</v>
      </c>
      <c r="E749" s="1510">
        <f>'Jrnl Exp ~ Dép'!$F252</f>
        <v>0</v>
      </c>
      <c r="F749" s="1510"/>
      <c r="G749" s="951" t="str">
        <f>IF('Jrnl Exp ~ Dép'!$E252="","",'Jrnl Exp ~ Dép'!$E252)</f>
        <v/>
      </c>
      <c r="H749" s="147">
        <f>'Jrnl Exp ~ Dép'!H252</f>
        <v>0</v>
      </c>
      <c r="I749" s="147" t="str">
        <f t="shared" si="22"/>
        <v>0</v>
      </c>
      <c r="J749" s="148" t="b">
        <f t="shared" si="23"/>
        <v>0</v>
      </c>
      <c r="K749" s="169"/>
      <c r="L749" s="169">
        <f>'Jrnl Exp ~ Dép'!$G252</f>
        <v>0</v>
      </c>
      <c r="M749" s="151"/>
      <c r="N749" s="167"/>
    </row>
    <row r="750" spans="2:14" s="1" customFormat="1" ht="30" hidden="1" customHeight="1" x14ac:dyDescent="0.15">
      <c r="B750" s="146">
        <f>IF(AND('Jrnl Exp ~ Dép'!$G253&lt;&gt;"",'Jrnl Exp ~ Dép'!$C253&lt;&gt;""),1,0)</f>
        <v>0</v>
      </c>
      <c r="C750" s="146">
        <f>'Jrnl Exp ~ Dép'!$C253</f>
        <v>0</v>
      </c>
      <c r="D750" s="168">
        <f>'Jrnl Exp ~ Dép'!$D253</f>
        <v>0</v>
      </c>
      <c r="E750" s="1510">
        <f>'Jrnl Exp ~ Dép'!$F253</f>
        <v>0</v>
      </c>
      <c r="F750" s="1510"/>
      <c r="G750" s="951" t="str">
        <f>IF('Jrnl Exp ~ Dép'!$E253="","",'Jrnl Exp ~ Dép'!$E253)</f>
        <v/>
      </c>
      <c r="H750" s="147">
        <f>'Jrnl Exp ~ Dép'!H253</f>
        <v>0</v>
      </c>
      <c r="I750" s="147" t="str">
        <f t="shared" si="22"/>
        <v>0</v>
      </c>
      <c r="J750" s="148" t="b">
        <f t="shared" si="23"/>
        <v>0</v>
      </c>
      <c r="K750" s="169"/>
      <c r="L750" s="169">
        <f>'Jrnl Exp ~ Dép'!$G253</f>
        <v>0</v>
      </c>
      <c r="M750" s="151"/>
      <c r="N750" s="167"/>
    </row>
    <row r="751" spans="2:14" s="1" customFormat="1" ht="30" hidden="1" customHeight="1" x14ac:dyDescent="0.15">
      <c r="B751" s="146">
        <f>IF(AND('Jrnl Exp ~ Dép'!$G254&lt;&gt;"",'Jrnl Exp ~ Dép'!$C254&lt;&gt;""),1,0)</f>
        <v>0</v>
      </c>
      <c r="C751" s="146">
        <f>'Jrnl Exp ~ Dép'!$C254</f>
        <v>0</v>
      </c>
      <c r="D751" s="168">
        <f>'Jrnl Exp ~ Dép'!$D254</f>
        <v>0</v>
      </c>
      <c r="E751" s="1510">
        <f>'Jrnl Exp ~ Dép'!$F254</f>
        <v>0</v>
      </c>
      <c r="F751" s="1510"/>
      <c r="G751" s="951" t="str">
        <f>IF('Jrnl Exp ~ Dép'!$E254="","",'Jrnl Exp ~ Dép'!$E254)</f>
        <v/>
      </c>
      <c r="H751" s="147">
        <f>'Jrnl Exp ~ Dép'!H254</f>
        <v>0</v>
      </c>
      <c r="I751" s="147" t="str">
        <f t="shared" si="22"/>
        <v>0</v>
      </c>
      <c r="J751" s="148" t="b">
        <f t="shared" si="23"/>
        <v>0</v>
      </c>
      <c r="K751" s="169"/>
      <c r="L751" s="169">
        <f>'Jrnl Exp ~ Dép'!$G254</f>
        <v>0</v>
      </c>
      <c r="M751" s="151"/>
      <c r="N751" s="167"/>
    </row>
    <row r="752" spans="2:14" s="1" customFormat="1" ht="30" hidden="1" customHeight="1" x14ac:dyDescent="0.15">
      <c r="B752" s="146">
        <f>IF(AND('Jrnl Exp ~ Dép'!$G255&lt;&gt;"",'Jrnl Exp ~ Dép'!$C255&lt;&gt;""),1,0)</f>
        <v>0</v>
      </c>
      <c r="C752" s="146">
        <f>'Jrnl Exp ~ Dép'!$C255</f>
        <v>0</v>
      </c>
      <c r="D752" s="168">
        <f>'Jrnl Exp ~ Dép'!$D255</f>
        <v>0</v>
      </c>
      <c r="E752" s="1510">
        <f>'Jrnl Exp ~ Dép'!$F255</f>
        <v>0</v>
      </c>
      <c r="F752" s="1510"/>
      <c r="G752" s="951" t="str">
        <f>IF('Jrnl Exp ~ Dép'!$E255="","",'Jrnl Exp ~ Dép'!$E255)</f>
        <v/>
      </c>
      <c r="H752" s="147">
        <f>'Jrnl Exp ~ Dép'!H255</f>
        <v>0</v>
      </c>
      <c r="I752" s="147" t="str">
        <f t="shared" si="22"/>
        <v>0</v>
      </c>
      <c r="J752" s="148" t="b">
        <f t="shared" si="23"/>
        <v>0</v>
      </c>
      <c r="K752" s="169"/>
      <c r="L752" s="169">
        <f>'Jrnl Exp ~ Dép'!$G255</f>
        <v>0</v>
      </c>
      <c r="M752" s="151">
        <f>'Jrnl Exp ~ Dép'!E17</f>
        <v>0</v>
      </c>
      <c r="N752" s="167">
        <f>'Jrnl Exp ~ Dép'!$H17</f>
        <v>0</v>
      </c>
    </row>
    <row r="753" spans="2:14" s="1" customFormat="1" ht="30" hidden="1" customHeight="1" x14ac:dyDescent="0.15">
      <c r="B753" s="146">
        <f>IF(AND('Jrnl Exp ~ Dép'!$G256&lt;&gt;"",'Jrnl Exp ~ Dép'!$C256&lt;&gt;""),1,0)</f>
        <v>0</v>
      </c>
      <c r="C753" s="146">
        <f>'Jrnl Exp ~ Dép'!$C256</f>
        <v>0</v>
      </c>
      <c r="D753" s="168">
        <f>'Jrnl Exp ~ Dép'!$D256</f>
        <v>0</v>
      </c>
      <c r="E753" s="1510">
        <f>'Jrnl Exp ~ Dép'!$F256</f>
        <v>0</v>
      </c>
      <c r="F753" s="1510"/>
      <c r="G753" s="951" t="str">
        <f>IF('Jrnl Exp ~ Dép'!$E256="","",'Jrnl Exp ~ Dép'!$E256)</f>
        <v/>
      </c>
      <c r="H753" s="147">
        <f>'Jrnl Exp ~ Dép'!H256</f>
        <v>0</v>
      </c>
      <c r="I753" s="147" t="str">
        <f t="shared" si="22"/>
        <v>0</v>
      </c>
      <c r="J753" s="148" t="b">
        <f t="shared" si="23"/>
        <v>0</v>
      </c>
      <c r="K753" s="169"/>
      <c r="L753" s="169">
        <f>'Jrnl Exp ~ Dép'!$G256</f>
        <v>0</v>
      </c>
      <c r="M753" s="151">
        <f>'Jrnl Exp ~ Dép'!E18</f>
        <v>0</v>
      </c>
      <c r="N753" s="167">
        <f>'Jrnl Exp ~ Dép'!$H18</f>
        <v>0</v>
      </c>
    </row>
    <row r="754" spans="2:14" s="1" customFormat="1" ht="30" hidden="1" customHeight="1" x14ac:dyDescent="0.15">
      <c r="B754" s="146">
        <f>IF(AND('Jrnl Exp ~ Dép'!$G257&lt;&gt;"",'Jrnl Exp ~ Dép'!$C257&lt;&gt;""),1,0)</f>
        <v>0</v>
      </c>
      <c r="C754" s="146">
        <f>'Jrnl Exp ~ Dép'!$C257</f>
        <v>0</v>
      </c>
      <c r="D754" s="168">
        <f>'Jrnl Exp ~ Dép'!$D257</f>
        <v>0</v>
      </c>
      <c r="E754" s="1510">
        <f>'Jrnl Exp ~ Dép'!$F257</f>
        <v>0</v>
      </c>
      <c r="F754" s="1510"/>
      <c r="G754" s="951" t="str">
        <f>IF('Jrnl Exp ~ Dép'!$E257="","",'Jrnl Exp ~ Dép'!$E257)</f>
        <v/>
      </c>
      <c r="H754" s="147">
        <f>'Jrnl Exp ~ Dép'!H257</f>
        <v>0</v>
      </c>
      <c r="I754" s="147" t="str">
        <f t="shared" si="22"/>
        <v>0</v>
      </c>
      <c r="J754" s="148" t="b">
        <f t="shared" si="23"/>
        <v>0</v>
      </c>
      <c r="K754" s="169"/>
      <c r="L754" s="169">
        <f>'Jrnl Exp ~ Dép'!$G257</f>
        <v>0</v>
      </c>
      <c r="M754" s="151">
        <f>'Jrnl Exp ~ Dép'!E19</f>
        <v>0</v>
      </c>
      <c r="N754" s="167">
        <f>'Jrnl Exp ~ Dép'!$H19</f>
        <v>0</v>
      </c>
    </row>
    <row r="755" spans="2:14" s="1" customFormat="1" ht="30" hidden="1" customHeight="1" x14ac:dyDescent="0.15">
      <c r="B755" s="146">
        <f>IF(AND('Jrnl Exp ~ Dép'!$G258&lt;&gt;"",'Jrnl Exp ~ Dép'!$C258&lt;&gt;""),1,0)</f>
        <v>0</v>
      </c>
      <c r="C755" s="146">
        <f>'Jrnl Exp ~ Dép'!$C258</f>
        <v>0</v>
      </c>
      <c r="D755" s="168">
        <f>'Jrnl Exp ~ Dép'!$D258</f>
        <v>0</v>
      </c>
      <c r="E755" s="1510">
        <f>'Jrnl Exp ~ Dép'!$F258</f>
        <v>0</v>
      </c>
      <c r="F755" s="1510"/>
      <c r="G755" s="951" t="str">
        <f>IF('Jrnl Exp ~ Dép'!$E258="","",'Jrnl Exp ~ Dép'!$E258)</f>
        <v/>
      </c>
      <c r="H755" s="147">
        <f>'Jrnl Exp ~ Dép'!H258</f>
        <v>0</v>
      </c>
      <c r="I755" s="147" t="str">
        <f t="shared" si="22"/>
        <v>0</v>
      </c>
      <c r="J755" s="148" t="b">
        <f t="shared" si="23"/>
        <v>0</v>
      </c>
      <c r="K755" s="169"/>
      <c r="L755" s="169">
        <f>'Jrnl Exp ~ Dép'!$G258</f>
        <v>0</v>
      </c>
      <c r="M755" s="151">
        <f>'Jrnl Exp ~ Dép'!E20</f>
        <v>0</v>
      </c>
      <c r="N755" s="167">
        <f>'Jrnl Exp ~ Dép'!$H20</f>
        <v>0</v>
      </c>
    </row>
    <row r="756" spans="2:14" s="1" customFormat="1" ht="30" hidden="1" customHeight="1" x14ac:dyDescent="0.15">
      <c r="B756" s="146">
        <f>IF(AND('Jrnl Exp ~ Dép'!$G259&lt;&gt;"",'Jrnl Exp ~ Dép'!$C259&lt;&gt;""),1,0)</f>
        <v>0</v>
      </c>
      <c r="C756" s="146">
        <f>'Jrnl Exp ~ Dép'!$C259</f>
        <v>0</v>
      </c>
      <c r="D756" s="168">
        <f>'Jrnl Exp ~ Dép'!$D259</f>
        <v>0</v>
      </c>
      <c r="E756" s="1510">
        <f>'Jrnl Exp ~ Dép'!$F259</f>
        <v>0</v>
      </c>
      <c r="F756" s="1510"/>
      <c r="G756" s="951" t="str">
        <f>IF('Jrnl Exp ~ Dép'!$E259="","",'Jrnl Exp ~ Dép'!$E259)</f>
        <v/>
      </c>
      <c r="H756" s="147">
        <f>'Jrnl Exp ~ Dép'!H259</f>
        <v>0</v>
      </c>
      <c r="I756" s="147" t="str">
        <f t="shared" si="22"/>
        <v>0</v>
      </c>
      <c r="J756" s="148" t="b">
        <f t="shared" si="23"/>
        <v>0</v>
      </c>
      <c r="K756" s="169"/>
      <c r="L756" s="169">
        <f>'Jrnl Exp ~ Dép'!$G259</f>
        <v>0</v>
      </c>
      <c r="M756" s="151">
        <f>'Jrnl Exp ~ Dép'!E21</f>
        <v>0</v>
      </c>
      <c r="N756" s="167">
        <f>'Jrnl Exp ~ Dép'!$H21</f>
        <v>0</v>
      </c>
    </row>
    <row r="757" spans="2:14" s="1" customFormat="1" ht="30" hidden="1" customHeight="1" x14ac:dyDescent="0.15">
      <c r="B757" s="146">
        <f>IF(AND('Jrnl Exp ~ Dép'!$G260&lt;&gt;"",'Jrnl Exp ~ Dép'!$C260&lt;&gt;""),1,0)</f>
        <v>0</v>
      </c>
      <c r="C757" s="146">
        <f>'Jrnl Exp ~ Dép'!$C260</f>
        <v>0</v>
      </c>
      <c r="D757" s="168">
        <f>'Jrnl Exp ~ Dép'!$D260</f>
        <v>0</v>
      </c>
      <c r="E757" s="1510">
        <f>'Jrnl Exp ~ Dép'!$F260</f>
        <v>0</v>
      </c>
      <c r="F757" s="1510"/>
      <c r="G757" s="951" t="str">
        <f>IF('Jrnl Exp ~ Dép'!$E260="","",'Jrnl Exp ~ Dép'!$E260)</f>
        <v/>
      </c>
      <c r="H757" s="147">
        <f>'Jrnl Exp ~ Dép'!H260</f>
        <v>0</v>
      </c>
      <c r="I757" s="147" t="str">
        <f t="shared" si="22"/>
        <v>0</v>
      </c>
      <c r="J757" s="148" t="b">
        <f t="shared" si="23"/>
        <v>0</v>
      </c>
      <c r="K757" s="169"/>
      <c r="L757" s="169">
        <f>'Jrnl Exp ~ Dép'!$G260</f>
        <v>0</v>
      </c>
      <c r="M757" s="151">
        <f>'Jrnl Exp ~ Dép'!E22</f>
        <v>0</v>
      </c>
      <c r="N757" s="167">
        <f>'Jrnl Exp ~ Dép'!$H22</f>
        <v>0</v>
      </c>
    </row>
    <row r="758" spans="2:14" s="1" customFormat="1" ht="30" hidden="1" customHeight="1" x14ac:dyDescent="0.15">
      <c r="B758" s="146">
        <f>IF(AND('Jrnl Exp ~ Dép'!$G261&lt;&gt;"",'Jrnl Exp ~ Dép'!$C261&lt;&gt;""),1,0)</f>
        <v>0</v>
      </c>
      <c r="C758" s="146">
        <f>'Jrnl Exp ~ Dép'!$C261</f>
        <v>0</v>
      </c>
      <c r="D758" s="168">
        <f>'Jrnl Exp ~ Dép'!$D261</f>
        <v>0</v>
      </c>
      <c r="E758" s="1510">
        <f>'Jrnl Exp ~ Dép'!$F261</f>
        <v>0</v>
      </c>
      <c r="F758" s="1510"/>
      <c r="G758" s="951" t="str">
        <f>IF('Jrnl Exp ~ Dép'!$E261="","",'Jrnl Exp ~ Dép'!$E261)</f>
        <v/>
      </c>
      <c r="H758" s="147">
        <f>'Jrnl Exp ~ Dép'!H261</f>
        <v>0</v>
      </c>
      <c r="I758" s="147" t="str">
        <f t="shared" si="22"/>
        <v>0</v>
      </c>
      <c r="J758" s="148" t="b">
        <f t="shared" si="23"/>
        <v>0</v>
      </c>
      <c r="K758" s="169"/>
      <c r="L758" s="169">
        <f>'Jrnl Exp ~ Dép'!$G261</f>
        <v>0</v>
      </c>
      <c r="M758" s="151">
        <f>'Jrnl Exp ~ Dép'!E23</f>
        <v>0</v>
      </c>
      <c r="N758" s="167">
        <f>'Jrnl Exp ~ Dép'!$H23</f>
        <v>0</v>
      </c>
    </row>
    <row r="759" spans="2:14" s="1" customFormat="1" ht="30" hidden="1" customHeight="1" x14ac:dyDescent="0.15">
      <c r="B759" s="146">
        <f>IF(AND('Jrnl Exp ~ Dép'!$G262&lt;&gt;"",'Jrnl Exp ~ Dép'!$C262&lt;&gt;""),1,0)</f>
        <v>0</v>
      </c>
      <c r="C759" s="146">
        <f>'Jrnl Exp ~ Dép'!$C262</f>
        <v>0</v>
      </c>
      <c r="D759" s="168">
        <f>'Jrnl Exp ~ Dép'!$D262</f>
        <v>0</v>
      </c>
      <c r="E759" s="1510">
        <f>'Jrnl Exp ~ Dép'!$F262</f>
        <v>0</v>
      </c>
      <c r="F759" s="1510"/>
      <c r="G759" s="951" t="str">
        <f>IF('Jrnl Exp ~ Dép'!$E262="","",'Jrnl Exp ~ Dép'!$E262)</f>
        <v/>
      </c>
      <c r="H759" s="147">
        <f>'Jrnl Exp ~ Dép'!H262</f>
        <v>0</v>
      </c>
      <c r="I759" s="147" t="str">
        <f t="shared" si="22"/>
        <v>0</v>
      </c>
      <c r="J759" s="148" t="b">
        <f t="shared" si="23"/>
        <v>0</v>
      </c>
      <c r="K759" s="169"/>
      <c r="L759" s="169">
        <f>'Jrnl Exp ~ Dép'!$G262</f>
        <v>0</v>
      </c>
      <c r="M759" s="151">
        <f>'Jrnl Exp ~ Dép'!E24</f>
        <v>0</v>
      </c>
      <c r="N759" s="167">
        <f>'Jrnl Exp ~ Dép'!$H24</f>
        <v>0</v>
      </c>
    </row>
    <row r="760" spans="2:14" s="1" customFormat="1" ht="30" hidden="1" customHeight="1" x14ac:dyDescent="0.15">
      <c r="B760" s="146">
        <f>IF(AND('Jrnl Exp ~ Dép'!$G263&lt;&gt;"",'Jrnl Exp ~ Dép'!$C263&lt;&gt;""),1,0)</f>
        <v>0</v>
      </c>
      <c r="C760" s="146">
        <f>'Jrnl Exp ~ Dép'!$C263</f>
        <v>0</v>
      </c>
      <c r="D760" s="168">
        <f>'Jrnl Exp ~ Dép'!$D263</f>
        <v>0</v>
      </c>
      <c r="E760" s="1510">
        <f>'Jrnl Exp ~ Dép'!$F263</f>
        <v>0</v>
      </c>
      <c r="F760" s="1510"/>
      <c r="G760" s="951" t="str">
        <f>IF('Jrnl Exp ~ Dép'!$E263="","",'Jrnl Exp ~ Dép'!$E263)</f>
        <v/>
      </c>
      <c r="H760" s="147">
        <f>'Jrnl Exp ~ Dép'!H263</f>
        <v>0</v>
      </c>
      <c r="I760" s="147" t="str">
        <f t="shared" si="22"/>
        <v>0</v>
      </c>
      <c r="J760" s="148" t="b">
        <f t="shared" si="23"/>
        <v>0</v>
      </c>
      <c r="K760" s="169"/>
      <c r="L760" s="169">
        <f>'Jrnl Exp ~ Dép'!$G263</f>
        <v>0</v>
      </c>
      <c r="M760" s="151">
        <f>'Jrnl Exp ~ Dép'!E25</f>
        <v>0</v>
      </c>
      <c r="N760" s="167">
        <f>'Jrnl Exp ~ Dép'!$H25</f>
        <v>0</v>
      </c>
    </row>
    <row r="761" spans="2:14" s="1" customFormat="1" ht="30" hidden="1" customHeight="1" x14ac:dyDescent="0.15">
      <c r="B761" s="146">
        <f>IF(AND('Jrnl Exp ~ Dép'!$G264&lt;&gt;"",'Jrnl Exp ~ Dép'!$C264&lt;&gt;""),1,0)</f>
        <v>0</v>
      </c>
      <c r="C761" s="146">
        <f>'Jrnl Exp ~ Dép'!$C264</f>
        <v>0</v>
      </c>
      <c r="D761" s="168">
        <f>'Jrnl Exp ~ Dép'!$D264</f>
        <v>0</v>
      </c>
      <c r="E761" s="1510">
        <f>'Jrnl Exp ~ Dép'!$F264</f>
        <v>0</v>
      </c>
      <c r="F761" s="1510"/>
      <c r="G761" s="951" t="str">
        <f>IF('Jrnl Exp ~ Dép'!$E264="","",'Jrnl Exp ~ Dép'!$E264)</f>
        <v/>
      </c>
      <c r="H761" s="147">
        <f>'Jrnl Exp ~ Dép'!H264</f>
        <v>0</v>
      </c>
      <c r="I761" s="147" t="str">
        <f t="shared" si="22"/>
        <v>0</v>
      </c>
      <c r="J761" s="148" t="b">
        <f t="shared" si="23"/>
        <v>0</v>
      </c>
      <c r="K761" s="169"/>
      <c r="L761" s="169">
        <f>'Jrnl Exp ~ Dép'!$G264</f>
        <v>0</v>
      </c>
      <c r="M761" s="151">
        <f>'Jrnl Exp ~ Dép'!E26</f>
        <v>0</v>
      </c>
      <c r="N761" s="167">
        <f>'Jrnl Exp ~ Dép'!$H26</f>
        <v>0</v>
      </c>
    </row>
    <row r="762" spans="2:14" s="1" customFormat="1" ht="30" hidden="1" customHeight="1" x14ac:dyDescent="0.15">
      <c r="B762" s="146">
        <f>IF(AND('Jrnl Exp ~ Dép'!$G265&lt;&gt;"",'Jrnl Exp ~ Dép'!$C265&lt;&gt;""),1,0)</f>
        <v>0</v>
      </c>
      <c r="C762" s="146">
        <f>'Jrnl Exp ~ Dép'!$C265</f>
        <v>0</v>
      </c>
      <c r="D762" s="168">
        <f>'Jrnl Exp ~ Dép'!$D265</f>
        <v>0</v>
      </c>
      <c r="E762" s="1510">
        <f>'Jrnl Exp ~ Dép'!$F265</f>
        <v>0</v>
      </c>
      <c r="F762" s="1510"/>
      <c r="G762" s="951" t="str">
        <f>IF('Jrnl Exp ~ Dép'!$E265="","",'Jrnl Exp ~ Dép'!$E265)</f>
        <v/>
      </c>
      <c r="H762" s="147">
        <f>'Jrnl Exp ~ Dép'!H265</f>
        <v>0</v>
      </c>
      <c r="I762" s="147" t="str">
        <f t="shared" si="22"/>
        <v>0</v>
      </c>
      <c r="J762" s="148" t="b">
        <f t="shared" si="23"/>
        <v>0</v>
      </c>
      <c r="K762" s="169"/>
      <c r="L762" s="169">
        <f>'Jrnl Exp ~ Dép'!$G265</f>
        <v>0</v>
      </c>
      <c r="M762" s="151">
        <f>'Jrnl Exp ~ Dép'!E27</f>
        <v>0</v>
      </c>
      <c r="N762" s="167">
        <f>'Jrnl Exp ~ Dép'!$H27</f>
        <v>0</v>
      </c>
    </row>
    <row r="763" spans="2:14" s="1" customFormat="1" ht="30" hidden="1" customHeight="1" x14ac:dyDescent="0.15">
      <c r="B763" s="146">
        <f>IF(AND('Jrnl Exp ~ Dép'!$G266&lt;&gt;"",'Jrnl Exp ~ Dép'!$C266&lt;&gt;""),1,0)</f>
        <v>0</v>
      </c>
      <c r="C763" s="146">
        <f>'Jrnl Exp ~ Dép'!$C266</f>
        <v>0</v>
      </c>
      <c r="D763" s="168">
        <f>'Jrnl Exp ~ Dép'!$D266</f>
        <v>0</v>
      </c>
      <c r="E763" s="1510">
        <f>'Jrnl Exp ~ Dép'!$F266</f>
        <v>0</v>
      </c>
      <c r="F763" s="1510"/>
      <c r="G763" s="951" t="str">
        <f>IF('Jrnl Exp ~ Dép'!$E266="","",'Jrnl Exp ~ Dép'!$E266)</f>
        <v/>
      </c>
      <c r="H763" s="147">
        <f>'Jrnl Exp ~ Dép'!H266</f>
        <v>0</v>
      </c>
      <c r="I763" s="147" t="str">
        <f t="shared" si="22"/>
        <v>0</v>
      </c>
      <c r="J763" s="148" t="b">
        <f t="shared" si="23"/>
        <v>0</v>
      </c>
      <c r="K763" s="169"/>
      <c r="L763" s="169">
        <f>'Jrnl Exp ~ Dép'!$G266</f>
        <v>0</v>
      </c>
      <c r="M763" s="151">
        <f>'Jrnl Exp ~ Dép'!E28</f>
        <v>0</v>
      </c>
      <c r="N763" s="167">
        <f>'Jrnl Exp ~ Dép'!$H28</f>
        <v>0</v>
      </c>
    </row>
    <row r="764" spans="2:14" s="1" customFormat="1" ht="30" hidden="1" customHeight="1" x14ac:dyDescent="0.15">
      <c r="B764" s="146">
        <f>IF(AND('Jrnl Exp ~ Dép'!$G267&lt;&gt;"",'Jrnl Exp ~ Dép'!$C267&lt;&gt;""),1,0)</f>
        <v>0</v>
      </c>
      <c r="C764" s="146">
        <f>'Jrnl Exp ~ Dép'!$C267</f>
        <v>0</v>
      </c>
      <c r="D764" s="168">
        <f>'Jrnl Exp ~ Dép'!$D267</f>
        <v>0</v>
      </c>
      <c r="E764" s="1510">
        <f>'Jrnl Exp ~ Dép'!$F267</f>
        <v>0</v>
      </c>
      <c r="F764" s="1510"/>
      <c r="G764" s="951" t="str">
        <f>IF('Jrnl Exp ~ Dép'!$E267="","",'Jrnl Exp ~ Dép'!$E267)</f>
        <v/>
      </c>
      <c r="H764" s="147">
        <f>'Jrnl Exp ~ Dép'!H267</f>
        <v>0</v>
      </c>
      <c r="I764" s="147" t="str">
        <f t="shared" si="22"/>
        <v>0</v>
      </c>
      <c r="J764" s="148" t="b">
        <f t="shared" si="23"/>
        <v>0</v>
      </c>
      <c r="K764" s="169"/>
      <c r="L764" s="169">
        <f>'Jrnl Exp ~ Dép'!$G267</f>
        <v>0</v>
      </c>
      <c r="M764" s="151">
        <f>'Jrnl Exp ~ Dép'!E29</f>
        <v>0</v>
      </c>
      <c r="N764" s="167">
        <f>'Jrnl Exp ~ Dép'!$H29</f>
        <v>0</v>
      </c>
    </row>
    <row r="765" spans="2:14" s="1" customFormat="1" ht="30" hidden="1" customHeight="1" x14ac:dyDescent="0.15">
      <c r="B765" s="146">
        <f>IF(AND('Jrnl Exp ~ Dép'!$G268&lt;&gt;"",'Jrnl Exp ~ Dép'!$C268&lt;&gt;""),1,0)</f>
        <v>0</v>
      </c>
      <c r="C765" s="146">
        <f>'Jrnl Exp ~ Dép'!$C268</f>
        <v>0</v>
      </c>
      <c r="D765" s="168">
        <f>'Jrnl Exp ~ Dép'!$D268</f>
        <v>0</v>
      </c>
      <c r="E765" s="1510">
        <f>'Jrnl Exp ~ Dép'!$F268</f>
        <v>0</v>
      </c>
      <c r="F765" s="1510"/>
      <c r="G765" s="951" t="str">
        <f>IF('Jrnl Exp ~ Dép'!$E268="","",'Jrnl Exp ~ Dép'!$E268)</f>
        <v/>
      </c>
      <c r="H765" s="147">
        <f>'Jrnl Exp ~ Dép'!H268</f>
        <v>0</v>
      </c>
      <c r="I765" s="147" t="str">
        <f t="shared" si="22"/>
        <v>0</v>
      </c>
      <c r="J765" s="148" t="b">
        <f t="shared" si="23"/>
        <v>0</v>
      </c>
      <c r="K765" s="169"/>
      <c r="L765" s="169">
        <f>'Jrnl Exp ~ Dép'!$G268</f>
        <v>0</v>
      </c>
      <c r="M765" s="151">
        <f>'Jrnl Exp ~ Dép'!E30</f>
        <v>0</v>
      </c>
      <c r="N765" s="167">
        <f>'Jrnl Exp ~ Dép'!$H30</f>
        <v>0</v>
      </c>
    </row>
    <row r="766" spans="2:14" s="1" customFormat="1" ht="30" hidden="1" customHeight="1" x14ac:dyDescent="0.15">
      <c r="B766" s="146">
        <f>IF(AND('Jrnl Exp ~ Dép'!$G269&lt;&gt;"",'Jrnl Exp ~ Dép'!$C269&lt;&gt;""),1,0)</f>
        <v>0</v>
      </c>
      <c r="C766" s="146">
        <f>'Jrnl Exp ~ Dép'!$C269</f>
        <v>0</v>
      </c>
      <c r="D766" s="168">
        <f>'Jrnl Exp ~ Dép'!$D269</f>
        <v>0</v>
      </c>
      <c r="E766" s="1510">
        <f>'Jrnl Exp ~ Dép'!$F269</f>
        <v>0</v>
      </c>
      <c r="F766" s="1510"/>
      <c r="G766" s="951" t="str">
        <f>IF('Jrnl Exp ~ Dép'!$E269="","",'Jrnl Exp ~ Dép'!$E269)</f>
        <v/>
      </c>
      <c r="H766" s="147">
        <f>'Jrnl Exp ~ Dép'!H269</f>
        <v>0</v>
      </c>
      <c r="I766" s="147" t="str">
        <f t="shared" si="22"/>
        <v>0</v>
      </c>
      <c r="J766" s="148" t="b">
        <f t="shared" si="23"/>
        <v>0</v>
      </c>
      <c r="K766" s="169"/>
      <c r="L766" s="169">
        <f>'Jrnl Exp ~ Dép'!$G269</f>
        <v>0</v>
      </c>
      <c r="M766" s="151">
        <f>'Jrnl Exp ~ Dép'!E31</f>
        <v>0</v>
      </c>
      <c r="N766" s="167">
        <f>'Jrnl Exp ~ Dép'!$H31</f>
        <v>0</v>
      </c>
    </row>
    <row r="767" spans="2:14" s="1" customFormat="1" ht="30" hidden="1" customHeight="1" x14ac:dyDescent="0.15">
      <c r="B767" s="146">
        <f>IF(AND('Jrnl Exp ~ Dép'!$G270&lt;&gt;"",'Jrnl Exp ~ Dép'!$C270&lt;&gt;""),1,0)</f>
        <v>0</v>
      </c>
      <c r="C767" s="146">
        <f>'Jrnl Exp ~ Dép'!$C270</f>
        <v>0</v>
      </c>
      <c r="D767" s="168">
        <f>'Jrnl Exp ~ Dép'!$D270</f>
        <v>0</v>
      </c>
      <c r="E767" s="1510">
        <f>'Jrnl Exp ~ Dép'!$F270</f>
        <v>0</v>
      </c>
      <c r="F767" s="1510"/>
      <c r="G767" s="951" t="str">
        <f>IF('Jrnl Exp ~ Dép'!$E270="","",'Jrnl Exp ~ Dép'!$E270)</f>
        <v/>
      </c>
      <c r="H767" s="147">
        <f>'Jrnl Exp ~ Dép'!H270</f>
        <v>0</v>
      </c>
      <c r="I767" s="147" t="str">
        <f t="shared" si="22"/>
        <v>0</v>
      </c>
      <c r="J767" s="148" t="b">
        <f t="shared" si="23"/>
        <v>0</v>
      </c>
      <c r="K767" s="169"/>
      <c r="L767" s="169">
        <f>'Jrnl Exp ~ Dép'!$G270</f>
        <v>0</v>
      </c>
      <c r="M767" s="151">
        <f>'Jrnl Exp ~ Dép'!E32</f>
        <v>0</v>
      </c>
      <c r="N767" s="167">
        <f>'Jrnl Exp ~ Dép'!$H32</f>
        <v>0</v>
      </c>
    </row>
    <row r="768" spans="2:14" s="1" customFormat="1" ht="30" hidden="1" customHeight="1" x14ac:dyDescent="0.15">
      <c r="B768" s="146">
        <f>IF(AND('Jrnl Exp ~ Dép'!$G271&lt;&gt;"",'Jrnl Exp ~ Dép'!$C271&lt;&gt;""),1,0)</f>
        <v>0</v>
      </c>
      <c r="C768" s="146">
        <f>'Jrnl Exp ~ Dép'!$C271</f>
        <v>0</v>
      </c>
      <c r="D768" s="168">
        <f>'Jrnl Exp ~ Dép'!$D271</f>
        <v>0</v>
      </c>
      <c r="E768" s="1510">
        <f>'Jrnl Exp ~ Dép'!$F271</f>
        <v>0</v>
      </c>
      <c r="F768" s="1510"/>
      <c r="G768" s="951" t="str">
        <f>IF('Jrnl Exp ~ Dép'!$E271="","",'Jrnl Exp ~ Dép'!$E271)</f>
        <v/>
      </c>
      <c r="H768" s="147">
        <f>'Jrnl Exp ~ Dép'!H271</f>
        <v>0</v>
      </c>
      <c r="I768" s="147" t="str">
        <f t="shared" si="22"/>
        <v>0</v>
      </c>
      <c r="J768" s="148" t="b">
        <f t="shared" si="23"/>
        <v>0</v>
      </c>
      <c r="K768" s="169"/>
      <c r="L768" s="169">
        <f>'Jrnl Exp ~ Dép'!$G271</f>
        <v>0</v>
      </c>
      <c r="M768" s="151">
        <f>'Jrnl Exp ~ Dép'!E33</f>
        <v>0</v>
      </c>
      <c r="N768" s="167">
        <f>'Jrnl Exp ~ Dép'!$H33</f>
        <v>0</v>
      </c>
    </row>
    <row r="769" spans="2:14" s="1" customFormat="1" ht="30" hidden="1" customHeight="1" x14ac:dyDescent="0.15">
      <c r="B769" s="146">
        <f>IF(AND('Jrnl Exp ~ Dép'!$G272&lt;&gt;"",'Jrnl Exp ~ Dép'!$C272&lt;&gt;""),1,0)</f>
        <v>0</v>
      </c>
      <c r="C769" s="146">
        <f>'Jrnl Exp ~ Dép'!$C272</f>
        <v>0</v>
      </c>
      <c r="D769" s="168">
        <f>'Jrnl Exp ~ Dép'!$D272</f>
        <v>0</v>
      </c>
      <c r="E769" s="1510">
        <f>'Jrnl Exp ~ Dép'!$F272</f>
        <v>0</v>
      </c>
      <c r="F769" s="1510"/>
      <c r="G769" s="951" t="str">
        <f>IF('Jrnl Exp ~ Dép'!$E272="","",'Jrnl Exp ~ Dép'!$E272)</f>
        <v/>
      </c>
      <c r="H769" s="147">
        <f>'Jrnl Exp ~ Dép'!H272</f>
        <v>0</v>
      </c>
      <c r="I769" s="147" t="str">
        <f t="shared" ref="I769:I832" si="24">LEFT(H769,4)</f>
        <v>0</v>
      </c>
      <c r="J769" s="148" t="b">
        <f t="shared" ref="J769:J832" si="25">IF(I769="1020",IF(G769&gt;=$E$3,IF(G769&lt;=$G$3,L769,0)))</f>
        <v>0</v>
      </c>
      <c r="K769" s="169"/>
      <c r="L769" s="169">
        <f>'Jrnl Exp ~ Dép'!$G272</f>
        <v>0</v>
      </c>
      <c r="M769" s="151">
        <f>'Jrnl Exp ~ Dép'!E34</f>
        <v>0</v>
      </c>
      <c r="N769" s="167">
        <f>'Jrnl Exp ~ Dép'!$H34</f>
        <v>0</v>
      </c>
    </row>
    <row r="770" spans="2:14" s="1" customFormat="1" ht="30" hidden="1" customHeight="1" x14ac:dyDescent="0.15">
      <c r="B770" s="146">
        <f>IF(AND('Jrnl Exp ~ Dép'!$G273&lt;&gt;"",'Jrnl Exp ~ Dép'!$C273&lt;&gt;""),1,0)</f>
        <v>0</v>
      </c>
      <c r="C770" s="146">
        <f>'Jrnl Exp ~ Dép'!$C273</f>
        <v>0</v>
      </c>
      <c r="D770" s="168">
        <f>'Jrnl Exp ~ Dép'!$D273</f>
        <v>0</v>
      </c>
      <c r="E770" s="1510">
        <f>'Jrnl Exp ~ Dép'!$F273</f>
        <v>0</v>
      </c>
      <c r="F770" s="1510"/>
      <c r="G770" s="951" t="str">
        <f>IF('Jrnl Exp ~ Dép'!$E273="","",'Jrnl Exp ~ Dép'!$E273)</f>
        <v/>
      </c>
      <c r="H770" s="147">
        <f>'Jrnl Exp ~ Dép'!H273</f>
        <v>0</v>
      </c>
      <c r="I770" s="147" t="str">
        <f t="shared" si="24"/>
        <v>0</v>
      </c>
      <c r="J770" s="148" t="b">
        <f t="shared" si="25"/>
        <v>0</v>
      </c>
      <c r="K770" s="169"/>
      <c r="L770" s="169">
        <f>'Jrnl Exp ~ Dép'!$G273</f>
        <v>0</v>
      </c>
      <c r="M770" s="151">
        <f>'Jrnl Exp ~ Dép'!E35</f>
        <v>0</v>
      </c>
      <c r="N770" s="167">
        <f>'Jrnl Exp ~ Dép'!$H35</f>
        <v>0</v>
      </c>
    </row>
    <row r="771" spans="2:14" s="1" customFormat="1" ht="30" hidden="1" customHeight="1" x14ac:dyDescent="0.15">
      <c r="B771" s="146">
        <f>IF(AND('Jrnl Exp ~ Dép'!$G274&lt;&gt;"",'Jrnl Exp ~ Dép'!$C274&lt;&gt;""),1,0)</f>
        <v>0</v>
      </c>
      <c r="C771" s="146">
        <f>'Jrnl Exp ~ Dép'!$C274</f>
        <v>0</v>
      </c>
      <c r="D771" s="168">
        <f>'Jrnl Exp ~ Dép'!$D274</f>
        <v>0</v>
      </c>
      <c r="E771" s="1510">
        <f>'Jrnl Exp ~ Dép'!$F274</f>
        <v>0</v>
      </c>
      <c r="F771" s="1510"/>
      <c r="G771" s="951" t="str">
        <f>IF('Jrnl Exp ~ Dép'!$E274="","",'Jrnl Exp ~ Dép'!$E274)</f>
        <v/>
      </c>
      <c r="H771" s="147">
        <f>'Jrnl Exp ~ Dép'!H274</f>
        <v>0</v>
      </c>
      <c r="I771" s="147" t="str">
        <f t="shared" si="24"/>
        <v>0</v>
      </c>
      <c r="J771" s="148" t="b">
        <f t="shared" si="25"/>
        <v>0</v>
      </c>
      <c r="K771" s="169"/>
      <c r="L771" s="169">
        <f>'Jrnl Exp ~ Dép'!$G274</f>
        <v>0</v>
      </c>
      <c r="M771" s="151">
        <f>'Jrnl Exp ~ Dép'!E36</f>
        <v>0</v>
      </c>
      <c r="N771" s="167">
        <f>'Jrnl Exp ~ Dép'!$H36</f>
        <v>0</v>
      </c>
    </row>
    <row r="772" spans="2:14" s="1" customFormat="1" ht="30" hidden="1" customHeight="1" x14ac:dyDescent="0.15">
      <c r="B772" s="146">
        <f>IF(AND('Jrnl Exp ~ Dép'!$G275&lt;&gt;"",'Jrnl Exp ~ Dép'!$C275&lt;&gt;""),1,0)</f>
        <v>0</v>
      </c>
      <c r="C772" s="146">
        <f>'Jrnl Exp ~ Dép'!$C275</f>
        <v>0</v>
      </c>
      <c r="D772" s="168">
        <f>'Jrnl Exp ~ Dép'!$D275</f>
        <v>0</v>
      </c>
      <c r="E772" s="1510">
        <f>'Jrnl Exp ~ Dép'!$F275</f>
        <v>0</v>
      </c>
      <c r="F772" s="1510"/>
      <c r="G772" s="951" t="str">
        <f>IF('Jrnl Exp ~ Dép'!$E275="","",'Jrnl Exp ~ Dép'!$E275)</f>
        <v/>
      </c>
      <c r="H772" s="147">
        <f>'Jrnl Exp ~ Dép'!H275</f>
        <v>0</v>
      </c>
      <c r="I772" s="147" t="str">
        <f t="shared" si="24"/>
        <v>0</v>
      </c>
      <c r="J772" s="148" t="b">
        <f t="shared" si="25"/>
        <v>0</v>
      </c>
      <c r="K772" s="169"/>
      <c r="L772" s="169">
        <f>'Jrnl Exp ~ Dép'!$G275</f>
        <v>0</v>
      </c>
      <c r="M772" s="151">
        <f>'Jrnl Exp ~ Dép'!E37</f>
        <v>0</v>
      </c>
      <c r="N772" s="167">
        <f>'Jrnl Exp ~ Dép'!$H37</f>
        <v>0</v>
      </c>
    </row>
    <row r="773" spans="2:14" s="1" customFormat="1" ht="30" hidden="1" customHeight="1" x14ac:dyDescent="0.15">
      <c r="B773" s="146">
        <f>IF(AND('Jrnl Exp ~ Dép'!$G276&lt;&gt;"",'Jrnl Exp ~ Dép'!$C276&lt;&gt;""),1,0)</f>
        <v>0</v>
      </c>
      <c r="C773" s="146">
        <f>'Jrnl Exp ~ Dép'!$C276</f>
        <v>0</v>
      </c>
      <c r="D773" s="168">
        <f>'Jrnl Exp ~ Dép'!$D276</f>
        <v>0</v>
      </c>
      <c r="E773" s="1510">
        <f>'Jrnl Exp ~ Dép'!$F276</f>
        <v>0</v>
      </c>
      <c r="F773" s="1510"/>
      <c r="G773" s="951" t="str">
        <f>IF('Jrnl Exp ~ Dép'!$E276="","",'Jrnl Exp ~ Dép'!$E276)</f>
        <v/>
      </c>
      <c r="H773" s="147">
        <f>'Jrnl Exp ~ Dép'!H276</f>
        <v>0</v>
      </c>
      <c r="I773" s="147" t="str">
        <f t="shared" si="24"/>
        <v>0</v>
      </c>
      <c r="J773" s="148" t="b">
        <f t="shared" si="25"/>
        <v>0</v>
      </c>
      <c r="K773" s="169"/>
      <c r="L773" s="169">
        <f>'Jrnl Exp ~ Dép'!$G276</f>
        <v>0</v>
      </c>
      <c r="M773" s="151">
        <f>'Jrnl Exp ~ Dép'!E38</f>
        <v>0</v>
      </c>
      <c r="N773" s="167">
        <f>'Jrnl Exp ~ Dép'!$H38</f>
        <v>0</v>
      </c>
    </row>
    <row r="774" spans="2:14" s="1" customFormat="1" ht="30" hidden="1" customHeight="1" x14ac:dyDescent="0.15">
      <c r="B774" s="146">
        <f>IF(AND('Jrnl Exp ~ Dép'!$G277&lt;&gt;"",'Jrnl Exp ~ Dép'!$C277&lt;&gt;""),1,0)</f>
        <v>0</v>
      </c>
      <c r="C774" s="146">
        <f>'Jrnl Exp ~ Dép'!$C277</f>
        <v>0</v>
      </c>
      <c r="D774" s="168">
        <f>'Jrnl Exp ~ Dép'!$D277</f>
        <v>0</v>
      </c>
      <c r="E774" s="1510">
        <f>'Jrnl Exp ~ Dép'!$F277</f>
        <v>0</v>
      </c>
      <c r="F774" s="1510"/>
      <c r="G774" s="951" t="str">
        <f>IF('Jrnl Exp ~ Dép'!$E277="","",'Jrnl Exp ~ Dép'!$E277)</f>
        <v/>
      </c>
      <c r="H774" s="147">
        <f>'Jrnl Exp ~ Dép'!H277</f>
        <v>0</v>
      </c>
      <c r="I774" s="147" t="str">
        <f t="shared" si="24"/>
        <v>0</v>
      </c>
      <c r="J774" s="148" t="b">
        <f t="shared" si="25"/>
        <v>0</v>
      </c>
      <c r="K774" s="169"/>
      <c r="L774" s="169">
        <f>'Jrnl Exp ~ Dép'!$G277</f>
        <v>0</v>
      </c>
      <c r="M774" s="151">
        <f>'Jrnl Exp ~ Dép'!E39</f>
        <v>0</v>
      </c>
      <c r="N774" s="167">
        <f>'Jrnl Exp ~ Dép'!$H39</f>
        <v>0</v>
      </c>
    </row>
    <row r="775" spans="2:14" s="1" customFormat="1" ht="30" hidden="1" customHeight="1" x14ac:dyDescent="0.15">
      <c r="B775" s="146">
        <f>IF(AND('Jrnl Exp ~ Dép'!$G278&lt;&gt;"",'Jrnl Exp ~ Dép'!$C278&lt;&gt;""),1,0)</f>
        <v>0</v>
      </c>
      <c r="C775" s="146">
        <f>'Jrnl Exp ~ Dép'!$C278</f>
        <v>0</v>
      </c>
      <c r="D775" s="168">
        <f>'Jrnl Exp ~ Dép'!$D278</f>
        <v>0</v>
      </c>
      <c r="E775" s="1510">
        <f>'Jrnl Exp ~ Dép'!$F278</f>
        <v>0</v>
      </c>
      <c r="F775" s="1510"/>
      <c r="G775" s="951" t="str">
        <f>IF('Jrnl Exp ~ Dép'!$E278="","",'Jrnl Exp ~ Dép'!$E278)</f>
        <v/>
      </c>
      <c r="H775" s="147">
        <f>'Jrnl Exp ~ Dép'!H278</f>
        <v>0</v>
      </c>
      <c r="I775" s="147" t="str">
        <f t="shared" si="24"/>
        <v>0</v>
      </c>
      <c r="J775" s="148" t="b">
        <f t="shared" si="25"/>
        <v>0</v>
      </c>
      <c r="K775" s="169"/>
      <c r="L775" s="169">
        <f>'Jrnl Exp ~ Dép'!$G278</f>
        <v>0</v>
      </c>
      <c r="M775" s="151">
        <f>'Jrnl Exp ~ Dép'!E40</f>
        <v>0</v>
      </c>
      <c r="N775" s="167">
        <f>'Jrnl Exp ~ Dép'!$H40</f>
        <v>0</v>
      </c>
    </row>
    <row r="776" spans="2:14" s="1" customFormat="1" ht="30" hidden="1" customHeight="1" x14ac:dyDescent="0.15">
      <c r="B776" s="146">
        <f>IF(AND('Jrnl Exp ~ Dép'!$G279&lt;&gt;"",'Jrnl Exp ~ Dép'!$C279&lt;&gt;""),1,0)</f>
        <v>0</v>
      </c>
      <c r="C776" s="146">
        <f>'Jrnl Exp ~ Dép'!$C279</f>
        <v>0</v>
      </c>
      <c r="D776" s="168">
        <f>'Jrnl Exp ~ Dép'!$D279</f>
        <v>0</v>
      </c>
      <c r="E776" s="1510">
        <f>'Jrnl Exp ~ Dép'!$F279</f>
        <v>0</v>
      </c>
      <c r="F776" s="1510"/>
      <c r="G776" s="951" t="str">
        <f>IF('Jrnl Exp ~ Dép'!$E279="","",'Jrnl Exp ~ Dép'!$E279)</f>
        <v/>
      </c>
      <c r="H776" s="147">
        <f>'Jrnl Exp ~ Dép'!H279</f>
        <v>0</v>
      </c>
      <c r="I776" s="147" t="str">
        <f t="shared" si="24"/>
        <v>0</v>
      </c>
      <c r="J776" s="148" t="b">
        <f t="shared" si="25"/>
        <v>0</v>
      </c>
      <c r="K776" s="169"/>
      <c r="L776" s="169">
        <f>'Jrnl Exp ~ Dép'!$G279</f>
        <v>0</v>
      </c>
      <c r="M776" s="151">
        <f>'Jrnl Exp ~ Dép'!E41</f>
        <v>0</v>
      </c>
      <c r="N776" s="167">
        <f>'Jrnl Exp ~ Dép'!$H41</f>
        <v>0</v>
      </c>
    </row>
    <row r="777" spans="2:14" s="1" customFormat="1" ht="30" hidden="1" customHeight="1" x14ac:dyDescent="0.15">
      <c r="B777" s="146">
        <f>IF(AND('Jrnl Exp ~ Dép'!$G280&lt;&gt;"",'Jrnl Exp ~ Dép'!$C280&lt;&gt;""),1,0)</f>
        <v>0</v>
      </c>
      <c r="C777" s="146">
        <f>'Jrnl Exp ~ Dép'!$C280</f>
        <v>0</v>
      </c>
      <c r="D777" s="168">
        <f>'Jrnl Exp ~ Dép'!$D280</f>
        <v>0</v>
      </c>
      <c r="E777" s="1510">
        <f>'Jrnl Exp ~ Dép'!$F280</f>
        <v>0</v>
      </c>
      <c r="F777" s="1510"/>
      <c r="G777" s="951" t="str">
        <f>IF('Jrnl Exp ~ Dép'!$E280="","",'Jrnl Exp ~ Dép'!$E280)</f>
        <v/>
      </c>
      <c r="H777" s="147">
        <f>'Jrnl Exp ~ Dép'!H280</f>
        <v>0</v>
      </c>
      <c r="I777" s="147" t="str">
        <f t="shared" si="24"/>
        <v>0</v>
      </c>
      <c r="J777" s="148" t="b">
        <f t="shared" si="25"/>
        <v>0</v>
      </c>
      <c r="K777" s="169"/>
      <c r="L777" s="169">
        <f>'Jrnl Exp ~ Dép'!$G280</f>
        <v>0</v>
      </c>
      <c r="M777" s="151">
        <f>'Jrnl Exp ~ Dép'!E42</f>
        <v>0</v>
      </c>
      <c r="N777" s="167">
        <f>'Jrnl Exp ~ Dép'!$H42</f>
        <v>0</v>
      </c>
    </row>
    <row r="778" spans="2:14" s="1" customFormat="1" ht="30" hidden="1" customHeight="1" x14ac:dyDescent="0.15">
      <c r="B778" s="146">
        <f>IF(AND('Jrnl Exp ~ Dép'!$G281&lt;&gt;"",'Jrnl Exp ~ Dép'!$C281&lt;&gt;""),1,0)</f>
        <v>0</v>
      </c>
      <c r="C778" s="146">
        <f>'Jrnl Exp ~ Dép'!$C281</f>
        <v>0</v>
      </c>
      <c r="D778" s="168">
        <f>'Jrnl Exp ~ Dép'!$D281</f>
        <v>0</v>
      </c>
      <c r="E778" s="1510">
        <f>'Jrnl Exp ~ Dép'!$F281</f>
        <v>0</v>
      </c>
      <c r="F778" s="1510"/>
      <c r="G778" s="951" t="str">
        <f>IF('Jrnl Exp ~ Dép'!$E281="","",'Jrnl Exp ~ Dép'!$E281)</f>
        <v/>
      </c>
      <c r="H778" s="147">
        <f>'Jrnl Exp ~ Dép'!H281</f>
        <v>0</v>
      </c>
      <c r="I778" s="147" t="str">
        <f t="shared" si="24"/>
        <v>0</v>
      </c>
      <c r="J778" s="148" t="b">
        <f t="shared" si="25"/>
        <v>0</v>
      </c>
      <c r="K778" s="169"/>
      <c r="L778" s="169">
        <f>'Jrnl Exp ~ Dép'!$G281</f>
        <v>0</v>
      </c>
      <c r="M778" s="151">
        <f>'Jrnl Exp ~ Dép'!E43</f>
        <v>0</v>
      </c>
      <c r="N778" s="167">
        <f>'Jrnl Exp ~ Dép'!$H43</f>
        <v>0</v>
      </c>
    </row>
    <row r="779" spans="2:14" s="1" customFormat="1" ht="30" hidden="1" customHeight="1" x14ac:dyDescent="0.15">
      <c r="B779" s="146">
        <f>IF(AND('Jrnl Exp ~ Dép'!$G282&lt;&gt;"",'Jrnl Exp ~ Dép'!$C282&lt;&gt;""),1,0)</f>
        <v>0</v>
      </c>
      <c r="C779" s="146">
        <f>'Jrnl Exp ~ Dép'!$C282</f>
        <v>0</v>
      </c>
      <c r="D779" s="168">
        <f>'Jrnl Exp ~ Dép'!$D282</f>
        <v>0</v>
      </c>
      <c r="E779" s="1510">
        <f>'Jrnl Exp ~ Dép'!$F282</f>
        <v>0</v>
      </c>
      <c r="F779" s="1510"/>
      <c r="G779" s="951" t="str">
        <f>IF('Jrnl Exp ~ Dép'!$E282="","",'Jrnl Exp ~ Dép'!$E282)</f>
        <v/>
      </c>
      <c r="H779" s="147">
        <f>'Jrnl Exp ~ Dép'!H282</f>
        <v>0</v>
      </c>
      <c r="I779" s="147" t="str">
        <f t="shared" si="24"/>
        <v>0</v>
      </c>
      <c r="J779" s="148" t="b">
        <f t="shared" si="25"/>
        <v>0</v>
      </c>
      <c r="K779" s="169"/>
      <c r="L779" s="169">
        <f>'Jrnl Exp ~ Dép'!$G282</f>
        <v>0</v>
      </c>
      <c r="M779" s="151">
        <f>'Jrnl Exp ~ Dép'!E44</f>
        <v>0</v>
      </c>
      <c r="N779" s="167">
        <f>'Jrnl Exp ~ Dép'!$H44</f>
        <v>0</v>
      </c>
    </row>
    <row r="780" spans="2:14" s="1" customFormat="1" ht="30" hidden="1" customHeight="1" x14ac:dyDescent="0.15">
      <c r="B780" s="146">
        <f>IF(AND('Jrnl Exp ~ Dép'!$G283&lt;&gt;"",'Jrnl Exp ~ Dép'!$C283&lt;&gt;""),1,0)</f>
        <v>0</v>
      </c>
      <c r="C780" s="146">
        <f>'Jrnl Exp ~ Dép'!$C283</f>
        <v>0</v>
      </c>
      <c r="D780" s="168">
        <f>'Jrnl Exp ~ Dép'!$D283</f>
        <v>0</v>
      </c>
      <c r="E780" s="1510">
        <f>'Jrnl Exp ~ Dép'!$F283</f>
        <v>0</v>
      </c>
      <c r="F780" s="1510"/>
      <c r="G780" s="951" t="str">
        <f>IF('Jrnl Exp ~ Dép'!$E283="","",'Jrnl Exp ~ Dép'!$E283)</f>
        <v/>
      </c>
      <c r="H780" s="147">
        <f>'Jrnl Exp ~ Dép'!H283</f>
        <v>0</v>
      </c>
      <c r="I780" s="147" t="str">
        <f t="shared" si="24"/>
        <v>0</v>
      </c>
      <c r="J780" s="148" t="b">
        <f t="shared" si="25"/>
        <v>0</v>
      </c>
      <c r="K780" s="169"/>
      <c r="L780" s="169">
        <f>'Jrnl Exp ~ Dép'!$G283</f>
        <v>0</v>
      </c>
      <c r="M780" s="151">
        <f>'Jrnl Exp ~ Dép'!E45</f>
        <v>0</v>
      </c>
      <c r="N780" s="167">
        <f>'Jrnl Exp ~ Dép'!$H45</f>
        <v>0</v>
      </c>
    </row>
    <row r="781" spans="2:14" s="1" customFormat="1" ht="30" hidden="1" customHeight="1" x14ac:dyDescent="0.15">
      <c r="B781" s="146">
        <f>IF(AND('Jrnl Exp ~ Dép'!$G284&lt;&gt;"",'Jrnl Exp ~ Dép'!$C284&lt;&gt;""),1,0)</f>
        <v>0</v>
      </c>
      <c r="C781" s="146">
        <f>'Jrnl Exp ~ Dép'!$C284</f>
        <v>0</v>
      </c>
      <c r="D781" s="168">
        <f>'Jrnl Exp ~ Dép'!$D284</f>
        <v>0</v>
      </c>
      <c r="E781" s="1510">
        <f>'Jrnl Exp ~ Dép'!$F284</f>
        <v>0</v>
      </c>
      <c r="F781" s="1510"/>
      <c r="G781" s="951" t="str">
        <f>IF('Jrnl Exp ~ Dép'!$E284="","",'Jrnl Exp ~ Dép'!$E284)</f>
        <v/>
      </c>
      <c r="H781" s="147">
        <f>'Jrnl Exp ~ Dép'!H284</f>
        <v>0</v>
      </c>
      <c r="I781" s="147" t="str">
        <f t="shared" si="24"/>
        <v>0</v>
      </c>
      <c r="J781" s="148" t="b">
        <f t="shared" si="25"/>
        <v>0</v>
      </c>
      <c r="K781" s="169"/>
      <c r="L781" s="169">
        <f>'Jrnl Exp ~ Dép'!$G284</f>
        <v>0</v>
      </c>
      <c r="M781" s="151">
        <f>'Jrnl Exp ~ Dép'!E46</f>
        <v>0</v>
      </c>
      <c r="N781" s="167">
        <f>'Jrnl Exp ~ Dép'!$H46</f>
        <v>0</v>
      </c>
    </row>
    <row r="782" spans="2:14" s="1" customFormat="1" ht="30" hidden="1" customHeight="1" x14ac:dyDescent="0.15">
      <c r="B782" s="146">
        <f>IF(AND('Jrnl Exp ~ Dép'!$G285&lt;&gt;"",'Jrnl Exp ~ Dép'!$C285&lt;&gt;""),1,0)</f>
        <v>0</v>
      </c>
      <c r="C782" s="146">
        <f>'Jrnl Exp ~ Dép'!$C285</f>
        <v>0</v>
      </c>
      <c r="D782" s="168">
        <f>'Jrnl Exp ~ Dép'!$D285</f>
        <v>0</v>
      </c>
      <c r="E782" s="1510">
        <f>'Jrnl Exp ~ Dép'!$F285</f>
        <v>0</v>
      </c>
      <c r="F782" s="1510"/>
      <c r="G782" s="951" t="str">
        <f>IF('Jrnl Exp ~ Dép'!$E285="","",'Jrnl Exp ~ Dép'!$E285)</f>
        <v/>
      </c>
      <c r="H782" s="147">
        <f>'Jrnl Exp ~ Dép'!H285</f>
        <v>0</v>
      </c>
      <c r="I782" s="147" t="str">
        <f t="shared" si="24"/>
        <v>0</v>
      </c>
      <c r="J782" s="148" t="b">
        <f t="shared" si="25"/>
        <v>0</v>
      </c>
      <c r="K782" s="169"/>
      <c r="L782" s="169">
        <f>'Jrnl Exp ~ Dép'!$G285</f>
        <v>0</v>
      </c>
      <c r="M782" s="151">
        <f>'Jrnl Exp ~ Dép'!E47</f>
        <v>0</v>
      </c>
      <c r="N782" s="167">
        <f>'Jrnl Exp ~ Dép'!$H47</f>
        <v>0</v>
      </c>
    </row>
    <row r="783" spans="2:14" s="1" customFormat="1" ht="30" hidden="1" customHeight="1" x14ac:dyDescent="0.15">
      <c r="B783" s="146">
        <f>IF(AND('Jrnl Exp ~ Dép'!$G286&lt;&gt;"",'Jrnl Exp ~ Dép'!$C286&lt;&gt;""),1,0)</f>
        <v>0</v>
      </c>
      <c r="C783" s="146">
        <f>'Jrnl Exp ~ Dép'!$C286</f>
        <v>0</v>
      </c>
      <c r="D783" s="168">
        <f>'Jrnl Exp ~ Dép'!$D286</f>
        <v>0</v>
      </c>
      <c r="E783" s="1510">
        <f>'Jrnl Exp ~ Dép'!$F286</f>
        <v>0</v>
      </c>
      <c r="F783" s="1510"/>
      <c r="G783" s="951" t="str">
        <f>IF('Jrnl Exp ~ Dép'!$E286="","",'Jrnl Exp ~ Dép'!$E286)</f>
        <v/>
      </c>
      <c r="H783" s="147">
        <f>'Jrnl Exp ~ Dép'!H286</f>
        <v>0</v>
      </c>
      <c r="I783" s="147" t="str">
        <f t="shared" si="24"/>
        <v>0</v>
      </c>
      <c r="J783" s="148" t="b">
        <f t="shared" si="25"/>
        <v>0</v>
      </c>
      <c r="K783" s="169"/>
      <c r="L783" s="169">
        <f>'Jrnl Exp ~ Dép'!$G286</f>
        <v>0</v>
      </c>
      <c r="M783" s="151">
        <f>'Jrnl Exp ~ Dép'!E48</f>
        <v>0</v>
      </c>
      <c r="N783" s="167">
        <f>'Jrnl Exp ~ Dép'!$H48</f>
        <v>0</v>
      </c>
    </row>
    <row r="784" spans="2:14" s="1" customFormat="1" ht="30" hidden="1" customHeight="1" x14ac:dyDescent="0.15">
      <c r="B784" s="146">
        <f>IF(AND('Jrnl Exp ~ Dép'!$G287&lt;&gt;"",'Jrnl Exp ~ Dép'!$C287&lt;&gt;""),1,0)</f>
        <v>0</v>
      </c>
      <c r="C784" s="146">
        <f>'Jrnl Exp ~ Dép'!$C287</f>
        <v>0</v>
      </c>
      <c r="D784" s="168">
        <f>'Jrnl Exp ~ Dép'!$D287</f>
        <v>0</v>
      </c>
      <c r="E784" s="1510">
        <f>'Jrnl Exp ~ Dép'!$F287</f>
        <v>0</v>
      </c>
      <c r="F784" s="1510"/>
      <c r="G784" s="951" t="str">
        <f>IF('Jrnl Exp ~ Dép'!$E287="","",'Jrnl Exp ~ Dép'!$E287)</f>
        <v/>
      </c>
      <c r="H784" s="147">
        <f>'Jrnl Exp ~ Dép'!H287</f>
        <v>0</v>
      </c>
      <c r="I784" s="147" t="str">
        <f t="shared" si="24"/>
        <v>0</v>
      </c>
      <c r="J784" s="148" t="b">
        <f t="shared" si="25"/>
        <v>0</v>
      </c>
      <c r="K784" s="169"/>
      <c r="L784" s="169">
        <f>'Jrnl Exp ~ Dép'!$G287</f>
        <v>0</v>
      </c>
      <c r="M784" s="151">
        <f>'Jrnl Exp ~ Dép'!E49</f>
        <v>0</v>
      </c>
      <c r="N784" s="167">
        <f>'Jrnl Exp ~ Dép'!$H49</f>
        <v>0</v>
      </c>
    </row>
    <row r="785" spans="2:14" s="1" customFormat="1" ht="30" hidden="1" customHeight="1" x14ac:dyDescent="0.15">
      <c r="B785" s="146">
        <f>IF(AND('Jrnl Exp ~ Dép'!$G288&lt;&gt;"",'Jrnl Exp ~ Dép'!$C288&lt;&gt;""),1,0)</f>
        <v>0</v>
      </c>
      <c r="C785" s="146">
        <f>'Jrnl Exp ~ Dép'!$C288</f>
        <v>0</v>
      </c>
      <c r="D785" s="168">
        <f>'Jrnl Exp ~ Dép'!$D288</f>
        <v>0</v>
      </c>
      <c r="E785" s="1510">
        <f>'Jrnl Exp ~ Dép'!$F288</f>
        <v>0</v>
      </c>
      <c r="F785" s="1510"/>
      <c r="G785" s="951" t="str">
        <f>IF('Jrnl Exp ~ Dép'!$E288="","",'Jrnl Exp ~ Dép'!$E288)</f>
        <v/>
      </c>
      <c r="H785" s="147">
        <f>'Jrnl Exp ~ Dép'!H288</f>
        <v>0</v>
      </c>
      <c r="I785" s="147" t="str">
        <f t="shared" si="24"/>
        <v>0</v>
      </c>
      <c r="J785" s="148" t="b">
        <f t="shared" si="25"/>
        <v>0</v>
      </c>
      <c r="K785" s="169"/>
      <c r="L785" s="169">
        <f>'Jrnl Exp ~ Dép'!$G288</f>
        <v>0</v>
      </c>
      <c r="M785" s="151">
        <f>'Jrnl Exp ~ Dép'!E50</f>
        <v>0</v>
      </c>
      <c r="N785" s="167">
        <f>'Jrnl Exp ~ Dép'!$H50</f>
        <v>0</v>
      </c>
    </row>
    <row r="786" spans="2:14" s="1" customFormat="1" ht="30" hidden="1" customHeight="1" x14ac:dyDescent="0.15">
      <c r="B786" s="146">
        <f>IF(AND('Jrnl Exp ~ Dép'!$G289&lt;&gt;"",'Jrnl Exp ~ Dép'!$C289&lt;&gt;""),1,0)</f>
        <v>0</v>
      </c>
      <c r="C786" s="146">
        <f>'Jrnl Exp ~ Dép'!$C289</f>
        <v>0</v>
      </c>
      <c r="D786" s="168">
        <f>'Jrnl Exp ~ Dép'!$D289</f>
        <v>0</v>
      </c>
      <c r="E786" s="1510">
        <f>'Jrnl Exp ~ Dép'!$F289</f>
        <v>0</v>
      </c>
      <c r="F786" s="1510"/>
      <c r="G786" s="951" t="str">
        <f>IF('Jrnl Exp ~ Dép'!$E289="","",'Jrnl Exp ~ Dép'!$E289)</f>
        <v/>
      </c>
      <c r="H786" s="147">
        <f>'Jrnl Exp ~ Dép'!H289</f>
        <v>0</v>
      </c>
      <c r="I786" s="147" t="str">
        <f t="shared" si="24"/>
        <v>0</v>
      </c>
      <c r="J786" s="148" t="b">
        <f t="shared" si="25"/>
        <v>0</v>
      </c>
      <c r="K786" s="169"/>
      <c r="L786" s="169">
        <f>'Jrnl Exp ~ Dép'!$G289</f>
        <v>0</v>
      </c>
      <c r="M786" s="151">
        <f>'Jrnl Exp ~ Dép'!E51</f>
        <v>0</v>
      </c>
      <c r="N786" s="167">
        <f>'Jrnl Exp ~ Dép'!$H51</f>
        <v>0</v>
      </c>
    </row>
    <row r="787" spans="2:14" s="1" customFormat="1" ht="30" hidden="1" customHeight="1" x14ac:dyDescent="0.15">
      <c r="B787" s="146">
        <f>IF(AND('Jrnl Exp ~ Dép'!$G290&lt;&gt;"",'Jrnl Exp ~ Dép'!$C290&lt;&gt;""),1,0)</f>
        <v>0</v>
      </c>
      <c r="C787" s="146">
        <f>'Jrnl Exp ~ Dép'!$C290</f>
        <v>0</v>
      </c>
      <c r="D787" s="168">
        <f>'Jrnl Exp ~ Dép'!$D290</f>
        <v>0</v>
      </c>
      <c r="E787" s="1510">
        <f>'Jrnl Exp ~ Dép'!$F290</f>
        <v>0</v>
      </c>
      <c r="F787" s="1510"/>
      <c r="G787" s="951" t="str">
        <f>IF('Jrnl Exp ~ Dép'!$E290="","",'Jrnl Exp ~ Dép'!$E290)</f>
        <v/>
      </c>
      <c r="H787" s="147">
        <f>'Jrnl Exp ~ Dép'!H290</f>
        <v>0</v>
      </c>
      <c r="I787" s="147" t="str">
        <f t="shared" si="24"/>
        <v>0</v>
      </c>
      <c r="J787" s="148" t="b">
        <f t="shared" si="25"/>
        <v>0</v>
      </c>
      <c r="K787" s="169"/>
      <c r="L787" s="169">
        <f>'Jrnl Exp ~ Dép'!$G290</f>
        <v>0</v>
      </c>
      <c r="M787" s="151">
        <f>'Jrnl Exp ~ Dép'!E52</f>
        <v>0</v>
      </c>
      <c r="N787" s="167">
        <f>'Jrnl Exp ~ Dép'!$H52</f>
        <v>0</v>
      </c>
    </row>
    <row r="788" spans="2:14" s="1" customFormat="1" ht="30" hidden="1" customHeight="1" x14ac:dyDescent="0.15">
      <c r="B788" s="146">
        <f>IF(AND('Jrnl Exp ~ Dép'!$G291&lt;&gt;"",'Jrnl Exp ~ Dép'!$C291&lt;&gt;""),1,0)</f>
        <v>0</v>
      </c>
      <c r="C788" s="146">
        <f>'Jrnl Exp ~ Dép'!$C291</f>
        <v>0</v>
      </c>
      <c r="D788" s="168">
        <f>'Jrnl Exp ~ Dép'!$D291</f>
        <v>0</v>
      </c>
      <c r="E788" s="1510">
        <f>'Jrnl Exp ~ Dép'!$F291</f>
        <v>0</v>
      </c>
      <c r="F788" s="1510"/>
      <c r="G788" s="951" t="str">
        <f>IF('Jrnl Exp ~ Dép'!$E291="","",'Jrnl Exp ~ Dép'!$E291)</f>
        <v/>
      </c>
      <c r="H788" s="147">
        <f>'Jrnl Exp ~ Dép'!H291</f>
        <v>0</v>
      </c>
      <c r="I788" s="147" t="str">
        <f t="shared" si="24"/>
        <v>0</v>
      </c>
      <c r="J788" s="148" t="b">
        <f t="shared" si="25"/>
        <v>0</v>
      </c>
      <c r="K788" s="169"/>
      <c r="L788" s="169">
        <f>'Jrnl Exp ~ Dép'!$G291</f>
        <v>0</v>
      </c>
      <c r="M788" s="151">
        <f>'Jrnl Exp ~ Dép'!E53</f>
        <v>0</v>
      </c>
      <c r="N788" s="167">
        <f>'Jrnl Exp ~ Dép'!$H53</f>
        <v>0</v>
      </c>
    </row>
    <row r="789" spans="2:14" s="1" customFormat="1" ht="30" hidden="1" customHeight="1" x14ac:dyDescent="0.15">
      <c r="B789" s="146">
        <f>IF(AND('Jrnl Exp ~ Dép'!$G292&lt;&gt;"",'Jrnl Exp ~ Dép'!$C292&lt;&gt;""),1,0)</f>
        <v>0</v>
      </c>
      <c r="C789" s="146">
        <f>'Jrnl Exp ~ Dép'!$C292</f>
        <v>0</v>
      </c>
      <c r="D789" s="168">
        <f>'Jrnl Exp ~ Dép'!$D292</f>
        <v>0</v>
      </c>
      <c r="E789" s="1510">
        <f>'Jrnl Exp ~ Dép'!$F292</f>
        <v>0</v>
      </c>
      <c r="F789" s="1510"/>
      <c r="G789" s="951" t="str">
        <f>IF('Jrnl Exp ~ Dép'!$E292="","",'Jrnl Exp ~ Dép'!$E292)</f>
        <v/>
      </c>
      <c r="H789" s="147">
        <f>'Jrnl Exp ~ Dép'!H292</f>
        <v>0</v>
      </c>
      <c r="I789" s="147" t="str">
        <f t="shared" si="24"/>
        <v>0</v>
      </c>
      <c r="J789" s="148" t="b">
        <f t="shared" si="25"/>
        <v>0</v>
      </c>
      <c r="K789" s="169"/>
      <c r="L789" s="169">
        <f>'Jrnl Exp ~ Dép'!$G292</f>
        <v>0</v>
      </c>
      <c r="M789" s="151">
        <f>'Jrnl Exp ~ Dép'!E54</f>
        <v>0</v>
      </c>
      <c r="N789" s="167">
        <f>'Jrnl Exp ~ Dép'!$H54</f>
        <v>0</v>
      </c>
    </row>
    <row r="790" spans="2:14" s="1" customFormat="1" ht="30" hidden="1" customHeight="1" x14ac:dyDescent="0.15">
      <c r="B790" s="146">
        <f>IF(AND('Jrnl Exp ~ Dép'!$G293&lt;&gt;"",'Jrnl Exp ~ Dép'!$C293&lt;&gt;""),1,0)</f>
        <v>0</v>
      </c>
      <c r="C790" s="146">
        <f>'Jrnl Exp ~ Dép'!$C293</f>
        <v>0</v>
      </c>
      <c r="D790" s="168">
        <f>'Jrnl Exp ~ Dép'!$D293</f>
        <v>0</v>
      </c>
      <c r="E790" s="1510">
        <f>'Jrnl Exp ~ Dép'!$F293</f>
        <v>0</v>
      </c>
      <c r="F790" s="1510"/>
      <c r="G790" s="951" t="str">
        <f>IF('Jrnl Exp ~ Dép'!$E293="","",'Jrnl Exp ~ Dép'!$E293)</f>
        <v/>
      </c>
      <c r="H790" s="147">
        <f>'Jrnl Exp ~ Dép'!H293</f>
        <v>0</v>
      </c>
      <c r="I790" s="147" t="str">
        <f t="shared" si="24"/>
        <v>0</v>
      </c>
      <c r="J790" s="148" t="b">
        <f t="shared" si="25"/>
        <v>0</v>
      </c>
      <c r="K790" s="169"/>
      <c r="L790" s="169">
        <f>'Jrnl Exp ~ Dép'!$G293</f>
        <v>0</v>
      </c>
      <c r="M790" s="151">
        <f>'Jrnl Exp ~ Dép'!E55</f>
        <v>0</v>
      </c>
      <c r="N790" s="167">
        <f>'Jrnl Exp ~ Dép'!$H55</f>
        <v>0</v>
      </c>
    </row>
    <row r="791" spans="2:14" s="1" customFormat="1" ht="30" hidden="1" customHeight="1" x14ac:dyDescent="0.15">
      <c r="B791" s="146">
        <f>IF(AND('Jrnl Exp ~ Dép'!$G294&lt;&gt;"",'Jrnl Exp ~ Dép'!$C294&lt;&gt;""),1,0)</f>
        <v>0</v>
      </c>
      <c r="C791" s="146">
        <f>'Jrnl Exp ~ Dép'!$C294</f>
        <v>0</v>
      </c>
      <c r="D791" s="168">
        <f>'Jrnl Exp ~ Dép'!$D294</f>
        <v>0</v>
      </c>
      <c r="E791" s="1510">
        <f>'Jrnl Exp ~ Dép'!$F294</f>
        <v>0</v>
      </c>
      <c r="F791" s="1510"/>
      <c r="G791" s="951" t="str">
        <f>IF('Jrnl Exp ~ Dép'!$E294="","",'Jrnl Exp ~ Dép'!$E294)</f>
        <v/>
      </c>
      <c r="H791" s="147">
        <f>'Jrnl Exp ~ Dép'!H294</f>
        <v>0</v>
      </c>
      <c r="I791" s="147" t="str">
        <f t="shared" si="24"/>
        <v>0</v>
      </c>
      <c r="J791" s="148" t="b">
        <f t="shared" si="25"/>
        <v>0</v>
      </c>
      <c r="K791" s="169"/>
      <c r="L791" s="169">
        <f>'Jrnl Exp ~ Dép'!$G294</f>
        <v>0</v>
      </c>
      <c r="M791" s="151">
        <f>'Jrnl Exp ~ Dép'!E56</f>
        <v>0</v>
      </c>
      <c r="N791" s="167">
        <f>'Jrnl Exp ~ Dép'!$H56</f>
        <v>0</v>
      </c>
    </row>
    <row r="792" spans="2:14" s="1" customFormat="1" ht="30" hidden="1" customHeight="1" x14ac:dyDescent="0.15">
      <c r="B792" s="146">
        <f>IF(AND('Jrnl Exp ~ Dép'!$G295&lt;&gt;"",'Jrnl Exp ~ Dép'!$C295&lt;&gt;""),1,0)</f>
        <v>0</v>
      </c>
      <c r="C792" s="146">
        <f>'Jrnl Exp ~ Dép'!$C295</f>
        <v>0</v>
      </c>
      <c r="D792" s="168">
        <f>'Jrnl Exp ~ Dép'!$D295</f>
        <v>0</v>
      </c>
      <c r="E792" s="1510">
        <f>'Jrnl Exp ~ Dép'!$F295</f>
        <v>0</v>
      </c>
      <c r="F792" s="1510"/>
      <c r="G792" s="951" t="str">
        <f>IF('Jrnl Exp ~ Dép'!$E295="","",'Jrnl Exp ~ Dép'!$E295)</f>
        <v/>
      </c>
      <c r="H792" s="147">
        <f>'Jrnl Exp ~ Dép'!H295</f>
        <v>0</v>
      </c>
      <c r="I792" s="147" t="str">
        <f t="shared" si="24"/>
        <v>0</v>
      </c>
      <c r="J792" s="148" t="b">
        <f t="shared" si="25"/>
        <v>0</v>
      </c>
      <c r="K792" s="169"/>
      <c r="L792" s="169">
        <f>'Jrnl Exp ~ Dép'!$G295</f>
        <v>0</v>
      </c>
      <c r="M792" s="151">
        <f>'Jrnl Exp ~ Dép'!E57</f>
        <v>0</v>
      </c>
      <c r="N792" s="167">
        <f>'Jrnl Exp ~ Dép'!$H57</f>
        <v>0</v>
      </c>
    </row>
    <row r="793" spans="2:14" s="1" customFormat="1" ht="30" hidden="1" customHeight="1" x14ac:dyDescent="0.15">
      <c r="B793" s="146">
        <f>IF(AND('Jrnl Exp ~ Dép'!$G296&lt;&gt;"",'Jrnl Exp ~ Dép'!$C296&lt;&gt;""),1,0)</f>
        <v>0</v>
      </c>
      <c r="C793" s="146">
        <f>'Jrnl Exp ~ Dép'!$C296</f>
        <v>0</v>
      </c>
      <c r="D793" s="168">
        <f>'Jrnl Exp ~ Dép'!$D296</f>
        <v>0</v>
      </c>
      <c r="E793" s="1510">
        <f>'Jrnl Exp ~ Dép'!$F296</f>
        <v>0</v>
      </c>
      <c r="F793" s="1510"/>
      <c r="G793" s="951" t="str">
        <f>IF('Jrnl Exp ~ Dép'!$E296="","",'Jrnl Exp ~ Dép'!$E296)</f>
        <v/>
      </c>
      <c r="H793" s="147">
        <f>'Jrnl Exp ~ Dép'!H296</f>
        <v>0</v>
      </c>
      <c r="I793" s="147" t="str">
        <f t="shared" si="24"/>
        <v>0</v>
      </c>
      <c r="J793" s="148" t="b">
        <f t="shared" si="25"/>
        <v>0</v>
      </c>
      <c r="K793" s="169"/>
      <c r="L793" s="169">
        <f>'Jrnl Exp ~ Dép'!$G296</f>
        <v>0</v>
      </c>
      <c r="M793" s="151">
        <f>'Jrnl Exp ~ Dép'!E58</f>
        <v>0</v>
      </c>
      <c r="N793" s="167">
        <f>'Jrnl Exp ~ Dép'!$H58</f>
        <v>0</v>
      </c>
    </row>
    <row r="794" spans="2:14" s="1" customFormat="1" ht="30" hidden="1" customHeight="1" x14ac:dyDescent="0.15">
      <c r="B794" s="146">
        <f>IF(AND('Jrnl Exp ~ Dép'!$G297&lt;&gt;"",'Jrnl Exp ~ Dép'!$C297&lt;&gt;""),1,0)</f>
        <v>0</v>
      </c>
      <c r="C794" s="146">
        <f>'Jrnl Exp ~ Dép'!$C297</f>
        <v>0</v>
      </c>
      <c r="D794" s="168">
        <f>'Jrnl Exp ~ Dép'!$D297</f>
        <v>0</v>
      </c>
      <c r="E794" s="1510">
        <f>'Jrnl Exp ~ Dép'!$F297</f>
        <v>0</v>
      </c>
      <c r="F794" s="1510"/>
      <c r="G794" s="951" t="str">
        <f>IF('Jrnl Exp ~ Dép'!$E297="","",'Jrnl Exp ~ Dép'!$E297)</f>
        <v/>
      </c>
      <c r="H794" s="147">
        <f>'Jrnl Exp ~ Dép'!H297</f>
        <v>0</v>
      </c>
      <c r="I794" s="147" t="str">
        <f t="shared" si="24"/>
        <v>0</v>
      </c>
      <c r="J794" s="148" t="b">
        <f t="shared" si="25"/>
        <v>0</v>
      </c>
      <c r="K794" s="169"/>
      <c r="L794" s="169">
        <f>'Jrnl Exp ~ Dép'!$G297</f>
        <v>0</v>
      </c>
      <c r="M794" s="151">
        <f>'Jrnl Exp ~ Dép'!E59</f>
        <v>0</v>
      </c>
      <c r="N794" s="167">
        <f>'Jrnl Exp ~ Dép'!$H59</f>
        <v>0</v>
      </c>
    </row>
    <row r="795" spans="2:14" s="1" customFormat="1" ht="30" hidden="1" customHeight="1" x14ac:dyDescent="0.15">
      <c r="B795" s="146">
        <f>IF(AND('Jrnl Exp ~ Dép'!$G298&lt;&gt;"",'Jrnl Exp ~ Dép'!$C298&lt;&gt;""),1,0)</f>
        <v>0</v>
      </c>
      <c r="C795" s="146">
        <f>'Jrnl Exp ~ Dép'!$C298</f>
        <v>0</v>
      </c>
      <c r="D795" s="168">
        <f>'Jrnl Exp ~ Dép'!$D298</f>
        <v>0</v>
      </c>
      <c r="E795" s="1510">
        <f>'Jrnl Exp ~ Dép'!$F298</f>
        <v>0</v>
      </c>
      <c r="F795" s="1510"/>
      <c r="G795" s="951" t="str">
        <f>IF('Jrnl Exp ~ Dép'!$E298="","",'Jrnl Exp ~ Dép'!$E298)</f>
        <v/>
      </c>
      <c r="H795" s="147">
        <f>'Jrnl Exp ~ Dép'!H298</f>
        <v>0</v>
      </c>
      <c r="I795" s="147" t="str">
        <f t="shared" si="24"/>
        <v>0</v>
      </c>
      <c r="J795" s="148" t="b">
        <f t="shared" si="25"/>
        <v>0</v>
      </c>
      <c r="K795" s="169"/>
      <c r="L795" s="169">
        <f>'Jrnl Exp ~ Dép'!$G298</f>
        <v>0</v>
      </c>
      <c r="M795" s="151">
        <f>'Jrnl Exp ~ Dép'!E60</f>
        <v>0</v>
      </c>
      <c r="N795" s="167">
        <f>'Jrnl Exp ~ Dép'!$H60</f>
        <v>0</v>
      </c>
    </row>
    <row r="796" spans="2:14" s="1" customFormat="1" ht="30" hidden="1" customHeight="1" x14ac:dyDescent="0.15">
      <c r="B796" s="146">
        <f>IF(AND('Jrnl Exp ~ Dép'!$G299&lt;&gt;"",'Jrnl Exp ~ Dép'!$C299&lt;&gt;""),1,0)</f>
        <v>0</v>
      </c>
      <c r="C796" s="146">
        <f>'Jrnl Exp ~ Dép'!$C299</f>
        <v>0</v>
      </c>
      <c r="D796" s="168">
        <f>'Jrnl Exp ~ Dép'!$D299</f>
        <v>0</v>
      </c>
      <c r="E796" s="1510">
        <f>'Jrnl Exp ~ Dép'!$F299</f>
        <v>0</v>
      </c>
      <c r="F796" s="1510"/>
      <c r="G796" s="951" t="str">
        <f>IF('Jrnl Exp ~ Dép'!$E299="","",'Jrnl Exp ~ Dép'!$E299)</f>
        <v/>
      </c>
      <c r="H796" s="147">
        <f>'Jrnl Exp ~ Dép'!H299</f>
        <v>0</v>
      </c>
      <c r="I796" s="147" t="str">
        <f t="shared" si="24"/>
        <v>0</v>
      </c>
      <c r="J796" s="148" t="b">
        <f t="shared" si="25"/>
        <v>0</v>
      </c>
      <c r="K796" s="169"/>
      <c r="L796" s="169">
        <f>'Jrnl Exp ~ Dép'!$G299</f>
        <v>0</v>
      </c>
      <c r="M796" s="151">
        <f>'Jrnl Exp ~ Dép'!E61</f>
        <v>0</v>
      </c>
      <c r="N796" s="167">
        <f>'Jrnl Exp ~ Dép'!$H61</f>
        <v>0</v>
      </c>
    </row>
    <row r="797" spans="2:14" s="1" customFormat="1" ht="30" hidden="1" customHeight="1" x14ac:dyDescent="0.15">
      <c r="B797" s="146">
        <f>IF(AND('Jrnl Exp ~ Dép'!$G300&lt;&gt;"",'Jrnl Exp ~ Dép'!$C300&lt;&gt;""),1,0)</f>
        <v>0</v>
      </c>
      <c r="C797" s="146">
        <f>'Jrnl Exp ~ Dép'!$C300</f>
        <v>0</v>
      </c>
      <c r="D797" s="168">
        <f>'Jrnl Exp ~ Dép'!$D300</f>
        <v>0</v>
      </c>
      <c r="E797" s="1510">
        <f>'Jrnl Exp ~ Dép'!$F300</f>
        <v>0</v>
      </c>
      <c r="F797" s="1510"/>
      <c r="G797" s="951" t="str">
        <f>IF('Jrnl Exp ~ Dép'!$E300="","",'Jrnl Exp ~ Dép'!$E300)</f>
        <v/>
      </c>
      <c r="H797" s="147">
        <f>'Jrnl Exp ~ Dép'!H300</f>
        <v>0</v>
      </c>
      <c r="I797" s="147" t="str">
        <f t="shared" si="24"/>
        <v>0</v>
      </c>
      <c r="J797" s="148" t="b">
        <f t="shared" si="25"/>
        <v>0</v>
      </c>
      <c r="K797" s="169"/>
      <c r="L797" s="169">
        <f>'Jrnl Exp ~ Dép'!$G300</f>
        <v>0</v>
      </c>
      <c r="M797" s="151">
        <f>'Jrnl Exp ~ Dép'!E62</f>
        <v>0</v>
      </c>
      <c r="N797" s="167">
        <f>'Jrnl Exp ~ Dép'!$H62</f>
        <v>0</v>
      </c>
    </row>
    <row r="798" spans="2:14" s="1" customFormat="1" ht="30" hidden="1" customHeight="1" x14ac:dyDescent="0.15">
      <c r="B798" s="146">
        <f>IF(AND('Jrnl Exp ~ Dép'!$G301&lt;&gt;"",'Jrnl Exp ~ Dép'!$C301&lt;&gt;""),1,0)</f>
        <v>0</v>
      </c>
      <c r="C798" s="146">
        <f>'Jrnl Exp ~ Dép'!$C301</f>
        <v>0</v>
      </c>
      <c r="D798" s="168">
        <f>'Jrnl Exp ~ Dép'!$D301</f>
        <v>0</v>
      </c>
      <c r="E798" s="1510">
        <f>'Jrnl Exp ~ Dép'!$F301</f>
        <v>0</v>
      </c>
      <c r="F798" s="1510"/>
      <c r="G798" s="951" t="str">
        <f>IF('Jrnl Exp ~ Dép'!$E301="","",'Jrnl Exp ~ Dép'!$E301)</f>
        <v/>
      </c>
      <c r="H798" s="147">
        <f>'Jrnl Exp ~ Dép'!H301</f>
        <v>0</v>
      </c>
      <c r="I798" s="147" t="str">
        <f t="shared" si="24"/>
        <v>0</v>
      </c>
      <c r="J798" s="148" t="b">
        <f t="shared" si="25"/>
        <v>0</v>
      </c>
      <c r="K798" s="169"/>
      <c r="L798" s="169">
        <f>'Jrnl Exp ~ Dép'!$G301</f>
        <v>0</v>
      </c>
      <c r="M798" s="151">
        <f>'Jrnl Exp ~ Dép'!E63</f>
        <v>0</v>
      </c>
      <c r="N798" s="167">
        <f>'Jrnl Exp ~ Dép'!$H63</f>
        <v>0</v>
      </c>
    </row>
    <row r="799" spans="2:14" s="1" customFormat="1" ht="30" hidden="1" customHeight="1" x14ac:dyDescent="0.15">
      <c r="B799" s="146">
        <f>IF(AND('Jrnl Exp ~ Dép'!$G302&lt;&gt;"",'Jrnl Exp ~ Dép'!$C302&lt;&gt;""),1,0)</f>
        <v>0</v>
      </c>
      <c r="C799" s="146">
        <f>'Jrnl Exp ~ Dép'!$C302</f>
        <v>0</v>
      </c>
      <c r="D799" s="168">
        <f>'Jrnl Exp ~ Dép'!$D302</f>
        <v>0</v>
      </c>
      <c r="E799" s="1510">
        <f>'Jrnl Exp ~ Dép'!$F302</f>
        <v>0</v>
      </c>
      <c r="F799" s="1510"/>
      <c r="G799" s="951" t="str">
        <f>IF('Jrnl Exp ~ Dép'!$E302="","",'Jrnl Exp ~ Dép'!$E302)</f>
        <v/>
      </c>
      <c r="H799" s="147">
        <f>'Jrnl Exp ~ Dép'!H302</f>
        <v>0</v>
      </c>
      <c r="I799" s="147" t="str">
        <f t="shared" si="24"/>
        <v>0</v>
      </c>
      <c r="J799" s="148" t="b">
        <f t="shared" si="25"/>
        <v>0</v>
      </c>
      <c r="K799" s="169"/>
      <c r="L799" s="169">
        <f>'Jrnl Exp ~ Dép'!$G302</f>
        <v>0</v>
      </c>
      <c r="M799" s="151">
        <f>'Jrnl Exp ~ Dép'!E64</f>
        <v>0</v>
      </c>
      <c r="N799" s="167">
        <f>'Jrnl Exp ~ Dép'!$H64</f>
        <v>0</v>
      </c>
    </row>
    <row r="800" spans="2:14" s="1" customFormat="1" ht="30" hidden="1" customHeight="1" x14ac:dyDescent="0.15">
      <c r="B800" s="146">
        <f>IF(AND('Jrnl Exp ~ Dép'!$G303&lt;&gt;"",'Jrnl Exp ~ Dép'!$C303&lt;&gt;""),1,0)</f>
        <v>0</v>
      </c>
      <c r="C800" s="146">
        <f>'Jrnl Exp ~ Dép'!$C303</f>
        <v>0</v>
      </c>
      <c r="D800" s="168">
        <f>'Jrnl Exp ~ Dép'!$D303</f>
        <v>0</v>
      </c>
      <c r="E800" s="1510">
        <f>'Jrnl Exp ~ Dép'!$F303</f>
        <v>0</v>
      </c>
      <c r="F800" s="1510"/>
      <c r="G800" s="951" t="str">
        <f>IF('Jrnl Exp ~ Dép'!$E303="","",'Jrnl Exp ~ Dép'!$E303)</f>
        <v/>
      </c>
      <c r="H800" s="147">
        <f>'Jrnl Exp ~ Dép'!H303</f>
        <v>0</v>
      </c>
      <c r="I800" s="147" t="str">
        <f t="shared" si="24"/>
        <v>0</v>
      </c>
      <c r="J800" s="148" t="b">
        <f t="shared" si="25"/>
        <v>0</v>
      </c>
      <c r="K800" s="169"/>
      <c r="L800" s="169">
        <f>'Jrnl Exp ~ Dép'!$G303</f>
        <v>0</v>
      </c>
      <c r="M800" s="151">
        <f>'Jrnl Exp ~ Dép'!E65</f>
        <v>0</v>
      </c>
      <c r="N800" s="167">
        <f>'Jrnl Exp ~ Dép'!$H65</f>
        <v>0</v>
      </c>
    </row>
    <row r="801" spans="2:14" s="1" customFormat="1" ht="30" hidden="1" customHeight="1" x14ac:dyDescent="0.15">
      <c r="B801" s="146">
        <f>IF(AND('Jrnl Exp ~ Dép'!$G304&lt;&gt;"",'Jrnl Exp ~ Dép'!$C304&lt;&gt;""),1,0)</f>
        <v>0</v>
      </c>
      <c r="C801" s="146">
        <f>'Jrnl Exp ~ Dép'!$C304</f>
        <v>0</v>
      </c>
      <c r="D801" s="168">
        <f>'Jrnl Exp ~ Dép'!$D304</f>
        <v>0</v>
      </c>
      <c r="E801" s="1510">
        <f>'Jrnl Exp ~ Dép'!$F304</f>
        <v>0</v>
      </c>
      <c r="F801" s="1510"/>
      <c r="G801" s="951" t="str">
        <f>IF('Jrnl Exp ~ Dép'!$E304="","",'Jrnl Exp ~ Dép'!$E304)</f>
        <v/>
      </c>
      <c r="H801" s="147">
        <f>'Jrnl Exp ~ Dép'!H304</f>
        <v>0</v>
      </c>
      <c r="I801" s="147" t="str">
        <f t="shared" si="24"/>
        <v>0</v>
      </c>
      <c r="J801" s="148" t="b">
        <f t="shared" si="25"/>
        <v>0</v>
      </c>
      <c r="K801" s="169"/>
      <c r="L801" s="169">
        <f>'Jrnl Exp ~ Dép'!$G304</f>
        <v>0</v>
      </c>
      <c r="M801" s="151">
        <f>'Jrnl Exp ~ Dép'!E66</f>
        <v>0</v>
      </c>
      <c r="N801" s="167">
        <f>'Jrnl Exp ~ Dép'!$H66</f>
        <v>0</v>
      </c>
    </row>
    <row r="802" spans="2:14" s="1" customFormat="1" ht="30" hidden="1" customHeight="1" x14ac:dyDescent="0.15">
      <c r="B802" s="146">
        <f>IF(AND('Jrnl Exp ~ Dép'!$G305&lt;&gt;"",'Jrnl Exp ~ Dép'!$C305&lt;&gt;""),1,0)</f>
        <v>0</v>
      </c>
      <c r="C802" s="146">
        <f>'Jrnl Exp ~ Dép'!$C305</f>
        <v>0</v>
      </c>
      <c r="D802" s="168">
        <f>'Jrnl Exp ~ Dép'!$D305</f>
        <v>0</v>
      </c>
      <c r="E802" s="1510">
        <f>'Jrnl Exp ~ Dép'!$F305</f>
        <v>0</v>
      </c>
      <c r="F802" s="1510"/>
      <c r="G802" s="951" t="str">
        <f>IF('Jrnl Exp ~ Dép'!$E305="","",'Jrnl Exp ~ Dép'!$E305)</f>
        <v/>
      </c>
      <c r="H802" s="147">
        <f>'Jrnl Exp ~ Dép'!H305</f>
        <v>0</v>
      </c>
      <c r="I802" s="147" t="str">
        <f t="shared" si="24"/>
        <v>0</v>
      </c>
      <c r="J802" s="148" t="b">
        <f t="shared" si="25"/>
        <v>0</v>
      </c>
      <c r="K802" s="169"/>
      <c r="L802" s="169">
        <f>'Jrnl Exp ~ Dép'!$G305</f>
        <v>0</v>
      </c>
      <c r="M802" s="151">
        <f>'Jrnl Exp ~ Dép'!E67</f>
        <v>0</v>
      </c>
      <c r="N802" s="167">
        <f>'Jrnl Exp ~ Dép'!$H67</f>
        <v>0</v>
      </c>
    </row>
    <row r="803" spans="2:14" s="1" customFormat="1" ht="30" hidden="1" customHeight="1" x14ac:dyDescent="0.15">
      <c r="B803" s="146">
        <f>IF(AND('Jrnl Exp ~ Dép'!$G306&lt;&gt;"",'Jrnl Exp ~ Dép'!$C306&lt;&gt;""),1,0)</f>
        <v>0</v>
      </c>
      <c r="C803" s="146">
        <f>'Jrnl Exp ~ Dép'!$C306</f>
        <v>0</v>
      </c>
      <c r="D803" s="168">
        <f>'Jrnl Exp ~ Dép'!$D306</f>
        <v>0</v>
      </c>
      <c r="E803" s="1510">
        <f>'Jrnl Exp ~ Dép'!$F306</f>
        <v>0</v>
      </c>
      <c r="F803" s="1510"/>
      <c r="G803" s="951" t="str">
        <f>IF('Jrnl Exp ~ Dép'!$E306="","",'Jrnl Exp ~ Dép'!$E306)</f>
        <v/>
      </c>
      <c r="H803" s="147">
        <f>'Jrnl Exp ~ Dép'!H306</f>
        <v>0</v>
      </c>
      <c r="I803" s="147" t="str">
        <f t="shared" si="24"/>
        <v>0</v>
      </c>
      <c r="J803" s="148" t="b">
        <f t="shared" si="25"/>
        <v>0</v>
      </c>
      <c r="K803" s="169"/>
      <c r="L803" s="169">
        <f>'Jrnl Exp ~ Dép'!$G306</f>
        <v>0</v>
      </c>
      <c r="M803" s="151">
        <f>'Jrnl Exp ~ Dép'!E68</f>
        <v>0</v>
      </c>
      <c r="N803" s="167">
        <f>'Jrnl Exp ~ Dép'!$H68</f>
        <v>0</v>
      </c>
    </row>
    <row r="804" spans="2:14" s="1" customFormat="1" ht="30" hidden="1" customHeight="1" x14ac:dyDescent="0.15">
      <c r="B804" s="146">
        <f>IF(AND('Jrnl Exp ~ Dép'!$G307&lt;&gt;"",'Jrnl Exp ~ Dép'!$C307&lt;&gt;""),1,0)</f>
        <v>0</v>
      </c>
      <c r="C804" s="146">
        <f>'Jrnl Exp ~ Dép'!$C307</f>
        <v>0</v>
      </c>
      <c r="D804" s="168">
        <f>'Jrnl Exp ~ Dép'!$D307</f>
        <v>0</v>
      </c>
      <c r="E804" s="1510">
        <f>'Jrnl Exp ~ Dép'!$F307</f>
        <v>0</v>
      </c>
      <c r="F804" s="1510"/>
      <c r="G804" s="951" t="str">
        <f>IF('Jrnl Exp ~ Dép'!$E307="","",'Jrnl Exp ~ Dép'!$E307)</f>
        <v/>
      </c>
      <c r="H804" s="147">
        <f>'Jrnl Exp ~ Dép'!H307</f>
        <v>0</v>
      </c>
      <c r="I804" s="147" t="str">
        <f t="shared" si="24"/>
        <v>0</v>
      </c>
      <c r="J804" s="148" t="b">
        <f t="shared" si="25"/>
        <v>0</v>
      </c>
      <c r="K804" s="169"/>
      <c r="L804" s="169">
        <f>'Jrnl Exp ~ Dép'!$G307</f>
        <v>0</v>
      </c>
      <c r="M804" s="151">
        <f>'Jrnl Exp ~ Dép'!E69</f>
        <v>0</v>
      </c>
      <c r="N804" s="167">
        <f>'Jrnl Exp ~ Dép'!$H69</f>
        <v>0</v>
      </c>
    </row>
    <row r="805" spans="2:14" s="1" customFormat="1" ht="30" hidden="1" customHeight="1" x14ac:dyDescent="0.15">
      <c r="B805" s="146">
        <f>IF(AND('Jrnl Exp ~ Dép'!$G308&lt;&gt;"",'Jrnl Exp ~ Dép'!$C308&lt;&gt;""),1,0)</f>
        <v>0</v>
      </c>
      <c r="C805" s="146">
        <f>'Jrnl Exp ~ Dép'!$C308</f>
        <v>0</v>
      </c>
      <c r="D805" s="168">
        <f>'Jrnl Exp ~ Dép'!$D308</f>
        <v>0</v>
      </c>
      <c r="E805" s="1510">
        <f>'Jrnl Exp ~ Dép'!$F308</f>
        <v>0</v>
      </c>
      <c r="F805" s="1510"/>
      <c r="G805" s="951" t="str">
        <f>IF('Jrnl Exp ~ Dép'!$E308="","",'Jrnl Exp ~ Dép'!$E308)</f>
        <v/>
      </c>
      <c r="H805" s="147">
        <f>'Jrnl Exp ~ Dép'!H308</f>
        <v>0</v>
      </c>
      <c r="I805" s="147" t="str">
        <f t="shared" si="24"/>
        <v>0</v>
      </c>
      <c r="J805" s="148" t="b">
        <f t="shared" si="25"/>
        <v>0</v>
      </c>
      <c r="K805" s="169"/>
      <c r="L805" s="169">
        <f>'Jrnl Exp ~ Dép'!$G308</f>
        <v>0</v>
      </c>
      <c r="M805" s="151">
        <f>'Jrnl Exp ~ Dép'!E70</f>
        <v>0</v>
      </c>
      <c r="N805" s="167">
        <f>'Jrnl Exp ~ Dép'!$H70</f>
        <v>0</v>
      </c>
    </row>
    <row r="806" spans="2:14" s="1" customFormat="1" ht="30" hidden="1" customHeight="1" x14ac:dyDescent="0.15">
      <c r="B806" s="146">
        <f>IF(AND('Jrnl Exp ~ Dép'!$G309&lt;&gt;"",'Jrnl Exp ~ Dép'!$C309&lt;&gt;""),1,0)</f>
        <v>0</v>
      </c>
      <c r="C806" s="146">
        <f>'Jrnl Exp ~ Dép'!$C309</f>
        <v>0</v>
      </c>
      <c r="D806" s="168">
        <f>'Jrnl Exp ~ Dép'!$D309</f>
        <v>0</v>
      </c>
      <c r="E806" s="1510">
        <f>'Jrnl Exp ~ Dép'!$F309</f>
        <v>0</v>
      </c>
      <c r="F806" s="1510"/>
      <c r="G806" s="951" t="str">
        <f>IF('Jrnl Exp ~ Dép'!$E309="","",'Jrnl Exp ~ Dép'!$E309)</f>
        <v/>
      </c>
      <c r="H806" s="147">
        <f>'Jrnl Exp ~ Dép'!H309</f>
        <v>0</v>
      </c>
      <c r="I806" s="147" t="str">
        <f t="shared" si="24"/>
        <v>0</v>
      </c>
      <c r="J806" s="148" t="b">
        <f t="shared" si="25"/>
        <v>0</v>
      </c>
      <c r="K806" s="169"/>
      <c r="L806" s="169">
        <f>'Jrnl Exp ~ Dép'!$G309</f>
        <v>0</v>
      </c>
      <c r="M806" s="151">
        <f>'Jrnl Exp ~ Dép'!E71</f>
        <v>0</v>
      </c>
      <c r="N806" s="167">
        <f>'Jrnl Exp ~ Dép'!$H71</f>
        <v>0</v>
      </c>
    </row>
    <row r="807" spans="2:14" s="1" customFormat="1" ht="30" hidden="1" customHeight="1" x14ac:dyDescent="0.15">
      <c r="B807" s="146">
        <f>IF(AND('Jrnl Exp ~ Dép'!$G310&lt;&gt;"",'Jrnl Exp ~ Dép'!$C310&lt;&gt;""),1,0)</f>
        <v>0</v>
      </c>
      <c r="C807" s="146">
        <f>'Jrnl Exp ~ Dép'!$C310</f>
        <v>0</v>
      </c>
      <c r="D807" s="168">
        <f>'Jrnl Exp ~ Dép'!$D310</f>
        <v>0</v>
      </c>
      <c r="E807" s="1510">
        <f>'Jrnl Exp ~ Dép'!$F310</f>
        <v>0</v>
      </c>
      <c r="F807" s="1510"/>
      <c r="G807" s="951" t="str">
        <f>IF('Jrnl Exp ~ Dép'!$E310="","",'Jrnl Exp ~ Dép'!$E310)</f>
        <v/>
      </c>
      <c r="H807" s="147">
        <f>'Jrnl Exp ~ Dép'!H310</f>
        <v>0</v>
      </c>
      <c r="I807" s="147" t="str">
        <f t="shared" si="24"/>
        <v>0</v>
      </c>
      <c r="J807" s="148" t="b">
        <f t="shared" si="25"/>
        <v>0</v>
      </c>
      <c r="K807" s="169"/>
      <c r="L807" s="169">
        <f>'Jrnl Exp ~ Dép'!$G310</f>
        <v>0</v>
      </c>
      <c r="M807" s="151">
        <f>'Jrnl Exp ~ Dép'!E72</f>
        <v>0</v>
      </c>
      <c r="N807" s="167">
        <f>'Jrnl Exp ~ Dép'!$H72</f>
        <v>0</v>
      </c>
    </row>
    <row r="808" spans="2:14" s="1" customFormat="1" ht="30" hidden="1" customHeight="1" x14ac:dyDescent="0.15">
      <c r="B808" s="146">
        <f>IF(AND('Jrnl Exp ~ Dép'!$G311&lt;&gt;"",'Jrnl Exp ~ Dép'!$C311&lt;&gt;""),1,0)</f>
        <v>0</v>
      </c>
      <c r="C808" s="146">
        <f>'Jrnl Exp ~ Dép'!$C311</f>
        <v>0</v>
      </c>
      <c r="D808" s="168">
        <f>'Jrnl Exp ~ Dép'!$D311</f>
        <v>0</v>
      </c>
      <c r="E808" s="1510">
        <f>'Jrnl Exp ~ Dép'!$F311</f>
        <v>0</v>
      </c>
      <c r="F808" s="1510"/>
      <c r="G808" s="951" t="str">
        <f>IF('Jrnl Exp ~ Dép'!$E311="","",'Jrnl Exp ~ Dép'!$E311)</f>
        <v/>
      </c>
      <c r="H808" s="147">
        <f>'Jrnl Exp ~ Dép'!H311</f>
        <v>0</v>
      </c>
      <c r="I808" s="147" t="str">
        <f t="shared" si="24"/>
        <v>0</v>
      </c>
      <c r="J808" s="148" t="b">
        <f t="shared" si="25"/>
        <v>0</v>
      </c>
      <c r="K808" s="169"/>
      <c r="L808" s="169">
        <f>'Jrnl Exp ~ Dép'!$G311</f>
        <v>0</v>
      </c>
      <c r="M808" s="151">
        <f>'Jrnl Exp ~ Dép'!E73</f>
        <v>0</v>
      </c>
      <c r="N808" s="167">
        <f>'Jrnl Exp ~ Dép'!$H73</f>
        <v>0</v>
      </c>
    </row>
    <row r="809" spans="2:14" s="1" customFormat="1" ht="30" hidden="1" customHeight="1" x14ac:dyDescent="0.15">
      <c r="B809" s="146">
        <f>IF(AND('Jrnl Exp ~ Dép'!$G312&lt;&gt;"",'Jrnl Exp ~ Dép'!$C312&lt;&gt;""),1,0)</f>
        <v>0</v>
      </c>
      <c r="C809" s="146">
        <f>'Jrnl Exp ~ Dép'!$C312</f>
        <v>0</v>
      </c>
      <c r="D809" s="168">
        <f>'Jrnl Exp ~ Dép'!$D312</f>
        <v>0</v>
      </c>
      <c r="E809" s="1510">
        <f>'Jrnl Exp ~ Dép'!$F312</f>
        <v>0</v>
      </c>
      <c r="F809" s="1510"/>
      <c r="G809" s="951" t="str">
        <f>IF('Jrnl Exp ~ Dép'!$E312="","",'Jrnl Exp ~ Dép'!$E312)</f>
        <v/>
      </c>
      <c r="H809" s="147">
        <f>'Jrnl Exp ~ Dép'!H312</f>
        <v>0</v>
      </c>
      <c r="I809" s="147" t="str">
        <f t="shared" si="24"/>
        <v>0</v>
      </c>
      <c r="J809" s="148" t="b">
        <f t="shared" si="25"/>
        <v>0</v>
      </c>
      <c r="K809" s="169"/>
      <c r="L809" s="169">
        <f>'Jrnl Exp ~ Dép'!$G312</f>
        <v>0</v>
      </c>
      <c r="M809" s="151">
        <f>'Jrnl Exp ~ Dép'!E74</f>
        <v>0</v>
      </c>
      <c r="N809" s="167">
        <f>'Jrnl Exp ~ Dép'!$H74</f>
        <v>0</v>
      </c>
    </row>
    <row r="810" spans="2:14" s="1" customFormat="1" ht="30" hidden="1" customHeight="1" x14ac:dyDescent="0.15">
      <c r="B810" s="146">
        <f>IF(AND('Jrnl Exp ~ Dép'!$G313&lt;&gt;"",'Jrnl Exp ~ Dép'!$C313&lt;&gt;""),1,0)</f>
        <v>0</v>
      </c>
      <c r="C810" s="146">
        <f>'Jrnl Exp ~ Dép'!$C313</f>
        <v>0</v>
      </c>
      <c r="D810" s="168">
        <f>'Jrnl Exp ~ Dép'!$D313</f>
        <v>0</v>
      </c>
      <c r="E810" s="1510">
        <f>'Jrnl Exp ~ Dép'!$F313</f>
        <v>0</v>
      </c>
      <c r="F810" s="1510"/>
      <c r="G810" s="951" t="str">
        <f>IF('Jrnl Exp ~ Dép'!$E313="","",'Jrnl Exp ~ Dép'!$E313)</f>
        <v/>
      </c>
      <c r="H810" s="147">
        <f>'Jrnl Exp ~ Dép'!H313</f>
        <v>0</v>
      </c>
      <c r="I810" s="147" t="str">
        <f t="shared" si="24"/>
        <v>0</v>
      </c>
      <c r="J810" s="148" t="b">
        <f t="shared" si="25"/>
        <v>0</v>
      </c>
      <c r="K810" s="169"/>
      <c r="L810" s="169">
        <f>'Jrnl Exp ~ Dép'!$G313</f>
        <v>0</v>
      </c>
      <c r="M810" s="151">
        <f>'Jrnl Exp ~ Dép'!E75</f>
        <v>0</v>
      </c>
      <c r="N810" s="167">
        <f>'Jrnl Exp ~ Dép'!$H75</f>
        <v>0</v>
      </c>
    </row>
    <row r="811" spans="2:14" s="1" customFormat="1" ht="30" hidden="1" customHeight="1" x14ac:dyDescent="0.15">
      <c r="B811" s="146">
        <f>IF(AND('Jrnl Exp ~ Dép'!$G314&lt;&gt;"",'Jrnl Exp ~ Dép'!$C314&lt;&gt;""),1,0)</f>
        <v>0</v>
      </c>
      <c r="C811" s="146">
        <f>'Jrnl Exp ~ Dép'!$C314</f>
        <v>0</v>
      </c>
      <c r="D811" s="168">
        <f>'Jrnl Exp ~ Dép'!$D314</f>
        <v>0</v>
      </c>
      <c r="E811" s="1510">
        <f>'Jrnl Exp ~ Dép'!$F314</f>
        <v>0</v>
      </c>
      <c r="F811" s="1510"/>
      <c r="G811" s="951" t="str">
        <f>IF('Jrnl Exp ~ Dép'!$E314="","",'Jrnl Exp ~ Dép'!$E314)</f>
        <v/>
      </c>
      <c r="H811" s="147">
        <f>'Jrnl Exp ~ Dép'!H314</f>
        <v>0</v>
      </c>
      <c r="I811" s="147" t="str">
        <f t="shared" si="24"/>
        <v>0</v>
      </c>
      <c r="J811" s="148" t="b">
        <f t="shared" si="25"/>
        <v>0</v>
      </c>
      <c r="K811" s="169"/>
      <c r="L811" s="169">
        <f>'Jrnl Exp ~ Dép'!$G314</f>
        <v>0</v>
      </c>
      <c r="M811" s="151">
        <f>'Jrnl Exp ~ Dép'!E76</f>
        <v>0</v>
      </c>
      <c r="N811" s="167">
        <f>'Jrnl Exp ~ Dép'!$H76</f>
        <v>0</v>
      </c>
    </row>
    <row r="812" spans="2:14" s="1" customFormat="1" ht="30" hidden="1" customHeight="1" x14ac:dyDescent="0.15">
      <c r="B812" s="146">
        <f>IF(AND('Jrnl Exp ~ Dép'!$G315&lt;&gt;"",'Jrnl Exp ~ Dép'!$C315&lt;&gt;""),1,0)</f>
        <v>0</v>
      </c>
      <c r="C812" s="146">
        <f>'Jrnl Exp ~ Dép'!$C315</f>
        <v>0</v>
      </c>
      <c r="D812" s="168">
        <f>'Jrnl Exp ~ Dép'!$D315</f>
        <v>0</v>
      </c>
      <c r="E812" s="1510">
        <f>'Jrnl Exp ~ Dép'!$F315</f>
        <v>0</v>
      </c>
      <c r="F812" s="1510"/>
      <c r="G812" s="951" t="str">
        <f>IF('Jrnl Exp ~ Dép'!$E315="","",'Jrnl Exp ~ Dép'!$E315)</f>
        <v/>
      </c>
      <c r="H812" s="147">
        <f>'Jrnl Exp ~ Dép'!H315</f>
        <v>0</v>
      </c>
      <c r="I812" s="147" t="str">
        <f t="shared" si="24"/>
        <v>0</v>
      </c>
      <c r="J812" s="148" t="b">
        <f t="shared" si="25"/>
        <v>0</v>
      </c>
      <c r="K812" s="169"/>
      <c r="L812" s="169">
        <f>'Jrnl Exp ~ Dép'!$G315</f>
        <v>0</v>
      </c>
      <c r="M812" s="151">
        <f>'Jrnl Exp ~ Dép'!E77</f>
        <v>0</v>
      </c>
      <c r="N812" s="167">
        <f>'Jrnl Exp ~ Dép'!$H77</f>
        <v>0</v>
      </c>
    </row>
    <row r="813" spans="2:14" s="1" customFormat="1" ht="30" hidden="1" customHeight="1" x14ac:dyDescent="0.15">
      <c r="B813" s="146">
        <f>IF(AND('Jrnl Exp ~ Dép'!$G316&lt;&gt;"",'Jrnl Exp ~ Dép'!$C316&lt;&gt;""),1,0)</f>
        <v>0</v>
      </c>
      <c r="C813" s="146">
        <f>'Jrnl Exp ~ Dép'!$C316</f>
        <v>0</v>
      </c>
      <c r="D813" s="168">
        <f>'Jrnl Exp ~ Dép'!$D316</f>
        <v>0</v>
      </c>
      <c r="E813" s="1510">
        <f>'Jrnl Exp ~ Dép'!$F316</f>
        <v>0</v>
      </c>
      <c r="F813" s="1510"/>
      <c r="G813" s="951" t="str">
        <f>IF('Jrnl Exp ~ Dép'!$E316="","",'Jrnl Exp ~ Dép'!$E316)</f>
        <v/>
      </c>
      <c r="H813" s="147">
        <f>'Jrnl Exp ~ Dép'!H316</f>
        <v>0</v>
      </c>
      <c r="I813" s="147" t="str">
        <f t="shared" si="24"/>
        <v>0</v>
      </c>
      <c r="J813" s="148" t="b">
        <f t="shared" si="25"/>
        <v>0</v>
      </c>
      <c r="K813" s="169"/>
      <c r="L813" s="169">
        <f>'Jrnl Exp ~ Dép'!$G316</f>
        <v>0</v>
      </c>
      <c r="M813" s="151">
        <f>'Jrnl Exp ~ Dép'!E78</f>
        <v>0</v>
      </c>
      <c r="N813" s="167">
        <f>'Jrnl Exp ~ Dép'!$H78</f>
        <v>0</v>
      </c>
    </row>
    <row r="814" spans="2:14" s="1" customFormat="1" ht="30" hidden="1" customHeight="1" x14ac:dyDescent="0.15">
      <c r="B814" s="146">
        <f>IF(AND('Jrnl Exp ~ Dép'!$G317&lt;&gt;"",'Jrnl Exp ~ Dép'!$C317&lt;&gt;""),1,0)</f>
        <v>0</v>
      </c>
      <c r="C814" s="146">
        <f>'Jrnl Exp ~ Dép'!$C317</f>
        <v>0</v>
      </c>
      <c r="D814" s="168">
        <f>'Jrnl Exp ~ Dép'!$D317</f>
        <v>0</v>
      </c>
      <c r="E814" s="1510">
        <f>'Jrnl Exp ~ Dép'!$F317</f>
        <v>0</v>
      </c>
      <c r="F814" s="1510"/>
      <c r="G814" s="951" t="str">
        <f>IF('Jrnl Exp ~ Dép'!$E317="","",'Jrnl Exp ~ Dép'!$E317)</f>
        <v/>
      </c>
      <c r="H814" s="147">
        <f>'Jrnl Exp ~ Dép'!H317</f>
        <v>0</v>
      </c>
      <c r="I814" s="147" t="str">
        <f t="shared" si="24"/>
        <v>0</v>
      </c>
      <c r="J814" s="148" t="b">
        <f t="shared" si="25"/>
        <v>0</v>
      </c>
      <c r="K814" s="169"/>
      <c r="L814" s="169">
        <f>'Jrnl Exp ~ Dép'!$G317</f>
        <v>0</v>
      </c>
      <c r="M814" s="151">
        <f>'Jrnl Exp ~ Dép'!E79</f>
        <v>0</v>
      </c>
      <c r="N814" s="167">
        <f>'Jrnl Exp ~ Dép'!$H79</f>
        <v>0</v>
      </c>
    </row>
    <row r="815" spans="2:14" s="1" customFormat="1" ht="30" hidden="1" customHeight="1" x14ac:dyDescent="0.15">
      <c r="B815" s="146">
        <f>IF(AND('Jrnl Exp ~ Dép'!$G318&lt;&gt;"",'Jrnl Exp ~ Dép'!$C318&lt;&gt;""),1,0)</f>
        <v>0</v>
      </c>
      <c r="C815" s="146">
        <f>'Jrnl Exp ~ Dép'!$C318</f>
        <v>0</v>
      </c>
      <c r="D815" s="168">
        <f>'Jrnl Exp ~ Dép'!$D318</f>
        <v>0</v>
      </c>
      <c r="E815" s="1510">
        <f>'Jrnl Exp ~ Dép'!$F318</f>
        <v>0</v>
      </c>
      <c r="F815" s="1510"/>
      <c r="G815" s="951" t="str">
        <f>IF('Jrnl Exp ~ Dép'!$E318="","",'Jrnl Exp ~ Dép'!$E318)</f>
        <v/>
      </c>
      <c r="H815" s="147">
        <f>'Jrnl Exp ~ Dép'!H318</f>
        <v>0</v>
      </c>
      <c r="I815" s="147" t="str">
        <f t="shared" si="24"/>
        <v>0</v>
      </c>
      <c r="J815" s="148" t="b">
        <f t="shared" si="25"/>
        <v>0</v>
      </c>
      <c r="K815" s="169"/>
      <c r="L815" s="169">
        <f>'Jrnl Exp ~ Dép'!$G318</f>
        <v>0</v>
      </c>
      <c r="M815" s="151">
        <f>'Jrnl Exp ~ Dép'!E80</f>
        <v>0</v>
      </c>
      <c r="N815" s="167">
        <f>'Jrnl Exp ~ Dép'!$H80</f>
        <v>0</v>
      </c>
    </row>
    <row r="816" spans="2:14" s="1" customFormat="1" ht="30" hidden="1" customHeight="1" x14ac:dyDescent="0.15">
      <c r="B816" s="146">
        <f>IF(AND('Jrnl Exp ~ Dép'!$G319&lt;&gt;"",'Jrnl Exp ~ Dép'!$C319&lt;&gt;""),1,0)</f>
        <v>0</v>
      </c>
      <c r="C816" s="146">
        <f>'Jrnl Exp ~ Dép'!$C319</f>
        <v>0</v>
      </c>
      <c r="D816" s="168">
        <f>'Jrnl Exp ~ Dép'!$D319</f>
        <v>0</v>
      </c>
      <c r="E816" s="1510">
        <f>'Jrnl Exp ~ Dép'!$F319</f>
        <v>0</v>
      </c>
      <c r="F816" s="1510"/>
      <c r="G816" s="951" t="str">
        <f>IF('Jrnl Exp ~ Dép'!$E319="","",'Jrnl Exp ~ Dép'!$E319)</f>
        <v/>
      </c>
      <c r="H816" s="147">
        <f>'Jrnl Exp ~ Dép'!H319</f>
        <v>0</v>
      </c>
      <c r="I816" s="147" t="str">
        <f t="shared" si="24"/>
        <v>0</v>
      </c>
      <c r="J816" s="148" t="b">
        <f t="shared" si="25"/>
        <v>0</v>
      </c>
      <c r="K816" s="169"/>
      <c r="L816" s="169">
        <f>'Jrnl Exp ~ Dép'!$G319</f>
        <v>0</v>
      </c>
      <c r="M816" s="151">
        <f>'Jrnl Exp ~ Dép'!E81</f>
        <v>0</v>
      </c>
      <c r="N816" s="167">
        <f>'Jrnl Exp ~ Dép'!$H81</f>
        <v>0</v>
      </c>
    </row>
    <row r="817" spans="2:14" s="1" customFormat="1" ht="30" hidden="1" customHeight="1" x14ac:dyDescent="0.15">
      <c r="B817" s="146">
        <f>IF(AND('Jrnl Exp ~ Dép'!$G320&lt;&gt;"",'Jrnl Exp ~ Dép'!$C320&lt;&gt;""),1,0)</f>
        <v>0</v>
      </c>
      <c r="C817" s="146">
        <f>'Jrnl Exp ~ Dép'!$C320</f>
        <v>0</v>
      </c>
      <c r="D817" s="168">
        <f>'Jrnl Exp ~ Dép'!$D320</f>
        <v>0</v>
      </c>
      <c r="E817" s="1510">
        <f>'Jrnl Exp ~ Dép'!$F320</f>
        <v>0</v>
      </c>
      <c r="F817" s="1510"/>
      <c r="G817" s="951" t="str">
        <f>IF('Jrnl Exp ~ Dép'!$E320="","",'Jrnl Exp ~ Dép'!$E320)</f>
        <v/>
      </c>
      <c r="H817" s="147">
        <f>'Jrnl Exp ~ Dép'!H320</f>
        <v>0</v>
      </c>
      <c r="I817" s="147" t="str">
        <f t="shared" si="24"/>
        <v>0</v>
      </c>
      <c r="J817" s="148" t="b">
        <f t="shared" si="25"/>
        <v>0</v>
      </c>
      <c r="K817" s="169"/>
      <c r="L817" s="169">
        <f>'Jrnl Exp ~ Dép'!$G320</f>
        <v>0</v>
      </c>
      <c r="M817" s="151">
        <f>'Jrnl Exp ~ Dép'!E82</f>
        <v>0</v>
      </c>
      <c r="N817" s="167">
        <f>'Jrnl Exp ~ Dép'!$H82</f>
        <v>0</v>
      </c>
    </row>
    <row r="818" spans="2:14" s="1" customFormat="1" ht="30" hidden="1" customHeight="1" x14ac:dyDescent="0.15">
      <c r="B818" s="146">
        <f>IF(AND('Jrnl Exp ~ Dép'!$G321&lt;&gt;"",'Jrnl Exp ~ Dép'!$C321&lt;&gt;""),1,0)</f>
        <v>0</v>
      </c>
      <c r="C818" s="146">
        <f>'Jrnl Exp ~ Dép'!$C321</f>
        <v>0</v>
      </c>
      <c r="D818" s="168">
        <f>'Jrnl Exp ~ Dép'!$D321</f>
        <v>0</v>
      </c>
      <c r="E818" s="1510">
        <f>'Jrnl Exp ~ Dép'!$F321</f>
        <v>0</v>
      </c>
      <c r="F818" s="1510"/>
      <c r="G818" s="951" t="str">
        <f>IF('Jrnl Exp ~ Dép'!$E321="","",'Jrnl Exp ~ Dép'!$E321)</f>
        <v/>
      </c>
      <c r="H818" s="147">
        <f>'Jrnl Exp ~ Dép'!H321</f>
        <v>0</v>
      </c>
      <c r="I818" s="147" t="str">
        <f t="shared" si="24"/>
        <v>0</v>
      </c>
      <c r="J818" s="148" t="b">
        <f t="shared" si="25"/>
        <v>0</v>
      </c>
      <c r="K818" s="169"/>
      <c r="L818" s="169">
        <f>'Jrnl Exp ~ Dép'!$G321</f>
        <v>0</v>
      </c>
      <c r="M818" s="151">
        <f>'Jrnl Exp ~ Dép'!E83</f>
        <v>0</v>
      </c>
      <c r="N818" s="167">
        <f>'Jrnl Exp ~ Dép'!$H83</f>
        <v>0</v>
      </c>
    </row>
    <row r="819" spans="2:14" s="1" customFormat="1" ht="30" hidden="1" customHeight="1" x14ac:dyDescent="0.15">
      <c r="B819" s="146">
        <f>IF(AND('Jrnl Exp ~ Dép'!$G322&lt;&gt;"",'Jrnl Exp ~ Dép'!$C322&lt;&gt;""),1,0)</f>
        <v>0</v>
      </c>
      <c r="C819" s="146">
        <f>'Jrnl Exp ~ Dép'!$C322</f>
        <v>0</v>
      </c>
      <c r="D819" s="168">
        <f>'Jrnl Exp ~ Dép'!$D322</f>
        <v>0</v>
      </c>
      <c r="E819" s="1510">
        <f>'Jrnl Exp ~ Dép'!$F322</f>
        <v>0</v>
      </c>
      <c r="F819" s="1510"/>
      <c r="G819" s="951" t="str">
        <f>IF('Jrnl Exp ~ Dép'!$E322="","",'Jrnl Exp ~ Dép'!$E322)</f>
        <v/>
      </c>
      <c r="H819" s="147">
        <f>'Jrnl Exp ~ Dép'!H322</f>
        <v>0</v>
      </c>
      <c r="I819" s="147" t="str">
        <f t="shared" si="24"/>
        <v>0</v>
      </c>
      <c r="J819" s="148" t="b">
        <f t="shared" si="25"/>
        <v>0</v>
      </c>
      <c r="K819" s="169"/>
      <c r="L819" s="169">
        <f>'Jrnl Exp ~ Dép'!$G322</f>
        <v>0</v>
      </c>
      <c r="M819" s="151">
        <f>'Jrnl Exp ~ Dép'!E84</f>
        <v>0</v>
      </c>
      <c r="N819" s="167">
        <f>'Jrnl Exp ~ Dép'!$H84</f>
        <v>0</v>
      </c>
    </row>
    <row r="820" spans="2:14" s="1" customFormat="1" ht="30" hidden="1" customHeight="1" x14ac:dyDescent="0.15">
      <c r="B820" s="146">
        <f>IF(AND('Jrnl Exp ~ Dép'!$G323&lt;&gt;"",'Jrnl Exp ~ Dép'!$C323&lt;&gt;""),1,0)</f>
        <v>0</v>
      </c>
      <c r="C820" s="146">
        <f>'Jrnl Exp ~ Dép'!$C323</f>
        <v>0</v>
      </c>
      <c r="D820" s="168">
        <f>'Jrnl Exp ~ Dép'!$D323</f>
        <v>0</v>
      </c>
      <c r="E820" s="1510">
        <f>'Jrnl Exp ~ Dép'!$F323</f>
        <v>0</v>
      </c>
      <c r="F820" s="1510"/>
      <c r="G820" s="951" t="str">
        <f>IF('Jrnl Exp ~ Dép'!$E323="","",'Jrnl Exp ~ Dép'!$E323)</f>
        <v/>
      </c>
      <c r="H820" s="147">
        <f>'Jrnl Exp ~ Dép'!H323</f>
        <v>0</v>
      </c>
      <c r="I820" s="147" t="str">
        <f t="shared" si="24"/>
        <v>0</v>
      </c>
      <c r="J820" s="148" t="b">
        <f t="shared" si="25"/>
        <v>0</v>
      </c>
      <c r="K820" s="169"/>
      <c r="L820" s="169">
        <f>'Jrnl Exp ~ Dép'!$G323</f>
        <v>0</v>
      </c>
      <c r="M820" s="151">
        <f>'Jrnl Exp ~ Dép'!E85</f>
        <v>0</v>
      </c>
      <c r="N820" s="167">
        <f>'Jrnl Exp ~ Dép'!$H85</f>
        <v>0</v>
      </c>
    </row>
    <row r="821" spans="2:14" s="1" customFormat="1" ht="30" hidden="1" customHeight="1" x14ac:dyDescent="0.15">
      <c r="B821" s="146">
        <f>IF(AND('Jrnl Exp ~ Dép'!$G324&lt;&gt;"",'Jrnl Exp ~ Dép'!$C324&lt;&gt;""),1,0)</f>
        <v>0</v>
      </c>
      <c r="C821" s="146">
        <f>'Jrnl Exp ~ Dép'!$C324</f>
        <v>0</v>
      </c>
      <c r="D821" s="168">
        <f>'Jrnl Exp ~ Dép'!$D324</f>
        <v>0</v>
      </c>
      <c r="E821" s="1510">
        <f>'Jrnl Exp ~ Dép'!$F324</f>
        <v>0</v>
      </c>
      <c r="F821" s="1510"/>
      <c r="G821" s="951" t="str">
        <f>IF('Jrnl Exp ~ Dép'!$E324="","",'Jrnl Exp ~ Dép'!$E324)</f>
        <v/>
      </c>
      <c r="H821" s="147">
        <f>'Jrnl Exp ~ Dép'!H324</f>
        <v>0</v>
      </c>
      <c r="I821" s="147" t="str">
        <f t="shared" si="24"/>
        <v>0</v>
      </c>
      <c r="J821" s="148" t="b">
        <f t="shared" si="25"/>
        <v>0</v>
      </c>
      <c r="K821" s="169"/>
      <c r="L821" s="169">
        <f>'Jrnl Exp ~ Dép'!$G324</f>
        <v>0</v>
      </c>
      <c r="M821" s="151">
        <f>'Jrnl Exp ~ Dép'!E86</f>
        <v>0</v>
      </c>
      <c r="N821" s="167">
        <f>'Jrnl Exp ~ Dép'!$H86</f>
        <v>0</v>
      </c>
    </row>
    <row r="822" spans="2:14" s="1" customFormat="1" ht="30" hidden="1" customHeight="1" x14ac:dyDescent="0.15">
      <c r="B822" s="146">
        <f>IF(AND('Jrnl Exp ~ Dép'!$G325&lt;&gt;"",'Jrnl Exp ~ Dép'!$C325&lt;&gt;""),1,0)</f>
        <v>0</v>
      </c>
      <c r="C822" s="146">
        <f>'Jrnl Exp ~ Dép'!$C325</f>
        <v>0</v>
      </c>
      <c r="D822" s="168">
        <f>'Jrnl Exp ~ Dép'!$D325</f>
        <v>0</v>
      </c>
      <c r="E822" s="1510">
        <f>'Jrnl Exp ~ Dép'!$F325</f>
        <v>0</v>
      </c>
      <c r="F822" s="1510"/>
      <c r="G822" s="951" t="str">
        <f>IF('Jrnl Exp ~ Dép'!$E325="","",'Jrnl Exp ~ Dép'!$E325)</f>
        <v/>
      </c>
      <c r="H822" s="147">
        <f>'Jrnl Exp ~ Dép'!H325</f>
        <v>0</v>
      </c>
      <c r="I822" s="147" t="str">
        <f t="shared" si="24"/>
        <v>0</v>
      </c>
      <c r="J822" s="148" t="b">
        <f t="shared" si="25"/>
        <v>0</v>
      </c>
      <c r="K822" s="169"/>
      <c r="L822" s="169">
        <f>'Jrnl Exp ~ Dép'!$G325</f>
        <v>0</v>
      </c>
      <c r="M822" s="151">
        <f>'Jrnl Exp ~ Dép'!E87</f>
        <v>0</v>
      </c>
      <c r="N822" s="167">
        <f>'Jrnl Exp ~ Dép'!$H87</f>
        <v>0</v>
      </c>
    </row>
    <row r="823" spans="2:14" s="1" customFormat="1" ht="30" hidden="1" customHeight="1" x14ac:dyDescent="0.15">
      <c r="B823" s="146">
        <f>IF(AND('Jrnl Exp ~ Dép'!$G326&lt;&gt;"",'Jrnl Exp ~ Dép'!$C326&lt;&gt;""),1,0)</f>
        <v>0</v>
      </c>
      <c r="C823" s="146">
        <f>'Jrnl Exp ~ Dép'!$C326</f>
        <v>0</v>
      </c>
      <c r="D823" s="168">
        <f>'Jrnl Exp ~ Dép'!$D326</f>
        <v>0</v>
      </c>
      <c r="E823" s="1510">
        <f>'Jrnl Exp ~ Dép'!$F326</f>
        <v>0</v>
      </c>
      <c r="F823" s="1510"/>
      <c r="G823" s="951" t="str">
        <f>IF('Jrnl Exp ~ Dép'!$E326="","",'Jrnl Exp ~ Dép'!$E326)</f>
        <v/>
      </c>
      <c r="H823" s="147">
        <f>'Jrnl Exp ~ Dép'!H326</f>
        <v>0</v>
      </c>
      <c r="I823" s="147" t="str">
        <f t="shared" si="24"/>
        <v>0</v>
      </c>
      <c r="J823" s="148" t="b">
        <f t="shared" si="25"/>
        <v>0</v>
      </c>
      <c r="K823" s="169"/>
      <c r="L823" s="169">
        <f>'Jrnl Exp ~ Dép'!$G326</f>
        <v>0</v>
      </c>
      <c r="M823" s="151">
        <f>'Jrnl Exp ~ Dép'!E88</f>
        <v>0</v>
      </c>
      <c r="N823" s="167">
        <f>'Jrnl Exp ~ Dép'!$H88</f>
        <v>0</v>
      </c>
    </row>
    <row r="824" spans="2:14" s="1" customFormat="1" ht="30" hidden="1" customHeight="1" x14ac:dyDescent="0.15">
      <c r="B824" s="146">
        <f>IF(AND('Jrnl Exp ~ Dép'!$G327&lt;&gt;"",'Jrnl Exp ~ Dép'!$C327&lt;&gt;""),1,0)</f>
        <v>0</v>
      </c>
      <c r="C824" s="146">
        <f>'Jrnl Exp ~ Dép'!$C327</f>
        <v>0</v>
      </c>
      <c r="D824" s="168">
        <f>'Jrnl Exp ~ Dép'!$D327</f>
        <v>0</v>
      </c>
      <c r="E824" s="1510">
        <f>'Jrnl Exp ~ Dép'!$F327</f>
        <v>0</v>
      </c>
      <c r="F824" s="1510"/>
      <c r="G824" s="951" t="str">
        <f>IF('Jrnl Exp ~ Dép'!$E327="","",'Jrnl Exp ~ Dép'!$E327)</f>
        <v/>
      </c>
      <c r="H824" s="147">
        <f>'Jrnl Exp ~ Dép'!H327</f>
        <v>0</v>
      </c>
      <c r="I824" s="147" t="str">
        <f t="shared" si="24"/>
        <v>0</v>
      </c>
      <c r="J824" s="148" t="b">
        <f t="shared" si="25"/>
        <v>0</v>
      </c>
      <c r="K824" s="169"/>
      <c r="L824" s="169">
        <f>'Jrnl Exp ~ Dép'!$G327</f>
        <v>0</v>
      </c>
      <c r="M824" s="151">
        <f>'Jrnl Exp ~ Dép'!E89</f>
        <v>0</v>
      </c>
      <c r="N824" s="167">
        <f>'Jrnl Exp ~ Dép'!$H89</f>
        <v>0</v>
      </c>
    </row>
    <row r="825" spans="2:14" s="1" customFormat="1" ht="30" hidden="1" customHeight="1" x14ac:dyDescent="0.15">
      <c r="B825" s="146">
        <f>IF(AND('Jrnl Exp ~ Dép'!$G328&lt;&gt;"",'Jrnl Exp ~ Dép'!$C328&lt;&gt;""),1,0)</f>
        <v>0</v>
      </c>
      <c r="C825" s="146">
        <f>'Jrnl Exp ~ Dép'!$C328</f>
        <v>0</v>
      </c>
      <c r="D825" s="168">
        <f>'Jrnl Exp ~ Dép'!$D328</f>
        <v>0</v>
      </c>
      <c r="E825" s="1510">
        <f>'Jrnl Exp ~ Dép'!$F328</f>
        <v>0</v>
      </c>
      <c r="F825" s="1510"/>
      <c r="G825" s="951" t="str">
        <f>IF('Jrnl Exp ~ Dép'!$E328="","",'Jrnl Exp ~ Dép'!$E328)</f>
        <v/>
      </c>
      <c r="H825" s="147">
        <f>'Jrnl Exp ~ Dép'!H328</f>
        <v>0</v>
      </c>
      <c r="I825" s="147" t="str">
        <f t="shared" si="24"/>
        <v>0</v>
      </c>
      <c r="J825" s="148" t="b">
        <f t="shared" si="25"/>
        <v>0</v>
      </c>
      <c r="K825" s="169"/>
      <c r="L825" s="169">
        <f>'Jrnl Exp ~ Dép'!$G328</f>
        <v>0</v>
      </c>
      <c r="M825" s="151">
        <f>'Jrnl Exp ~ Dép'!E90</f>
        <v>0</v>
      </c>
      <c r="N825" s="167">
        <f>'Jrnl Exp ~ Dép'!$H90</f>
        <v>0</v>
      </c>
    </row>
    <row r="826" spans="2:14" s="1" customFormat="1" ht="30" hidden="1" customHeight="1" x14ac:dyDescent="0.15">
      <c r="B826" s="146">
        <f>IF(AND('Jrnl Exp ~ Dép'!$G329&lt;&gt;"",'Jrnl Exp ~ Dép'!$C329&lt;&gt;""),1,0)</f>
        <v>0</v>
      </c>
      <c r="C826" s="146">
        <f>'Jrnl Exp ~ Dép'!$C329</f>
        <v>0</v>
      </c>
      <c r="D826" s="168">
        <f>'Jrnl Exp ~ Dép'!$D329</f>
        <v>0</v>
      </c>
      <c r="E826" s="1510">
        <f>'Jrnl Exp ~ Dép'!$F329</f>
        <v>0</v>
      </c>
      <c r="F826" s="1510"/>
      <c r="G826" s="951" t="str">
        <f>IF('Jrnl Exp ~ Dép'!$E329="","",'Jrnl Exp ~ Dép'!$E329)</f>
        <v/>
      </c>
      <c r="H826" s="147">
        <f>'Jrnl Exp ~ Dép'!H329</f>
        <v>0</v>
      </c>
      <c r="I826" s="147" t="str">
        <f t="shared" si="24"/>
        <v>0</v>
      </c>
      <c r="J826" s="148" t="b">
        <f t="shared" si="25"/>
        <v>0</v>
      </c>
      <c r="K826" s="169"/>
      <c r="L826" s="169">
        <f>'Jrnl Exp ~ Dép'!$G329</f>
        <v>0</v>
      </c>
      <c r="M826" s="151">
        <f>'Jrnl Exp ~ Dép'!E91</f>
        <v>0</v>
      </c>
      <c r="N826" s="167">
        <f>'Jrnl Exp ~ Dép'!$H91</f>
        <v>0</v>
      </c>
    </row>
    <row r="827" spans="2:14" s="1" customFormat="1" ht="30" hidden="1" customHeight="1" x14ac:dyDescent="0.15">
      <c r="B827" s="146">
        <f>IF(AND('Jrnl Exp ~ Dép'!$G330&lt;&gt;"",'Jrnl Exp ~ Dép'!$C330&lt;&gt;""),1,0)</f>
        <v>0</v>
      </c>
      <c r="C827" s="146">
        <f>'Jrnl Exp ~ Dép'!$C330</f>
        <v>0</v>
      </c>
      <c r="D827" s="168">
        <f>'Jrnl Exp ~ Dép'!$D330</f>
        <v>0</v>
      </c>
      <c r="E827" s="1510">
        <f>'Jrnl Exp ~ Dép'!$F330</f>
        <v>0</v>
      </c>
      <c r="F827" s="1510"/>
      <c r="G827" s="951" t="str">
        <f>IF('Jrnl Exp ~ Dép'!$E330="","",'Jrnl Exp ~ Dép'!$E330)</f>
        <v/>
      </c>
      <c r="H827" s="147">
        <f>'Jrnl Exp ~ Dép'!H330</f>
        <v>0</v>
      </c>
      <c r="I827" s="147" t="str">
        <f t="shared" si="24"/>
        <v>0</v>
      </c>
      <c r="J827" s="148" t="b">
        <f t="shared" si="25"/>
        <v>0</v>
      </c>
      <c r="K827" s="169"/>
      <c r="L827" s="169">
        <f>'Jrnl Exp ~ Dép'!$G330</f>
        <v>0</v>
      </c>
      <c r="M827" s="151">
        <f>'Jrnl Exp ~ Dép'!E92</f>
        <v>0</v>
      </c>
      <c r="N827" s="167">
        <f>'Jrnl Exp ~ Dép'!$H92</f>
        <v>0</v>
      </c>
    </row>
    <row r="828" spans="2:14" s="1" customFormat="1" ht="30" hidden="1" customHeight="1" x14ac:dyDescent="0.15">
      <c r="B828" s="146">
        <f>IF(AND('Jrnl Exp ~ Dép'!$G331&lt;&gt;"",'Jrnl Exp ~ Dép'!$C331&lt;&gt;""),1,0)</f>
        <v>0</v>
      </c>
      <c r="C828" s="146">
        <f>'Jrnl Exp ~ Dép'!$C331</f>
        <v>0</v>
      </c>
      <c r="D828" s="168">
        <f>'Jrnl Exp ~ Dép'!$D331</f>
        <v>0</v>
      </c>
      <c r="E828" s="1510">
        <f>'Jrnl Exp ~ Dép'!$F331</f>
        <v>0</v>
      </c>
      <c r="F828" s="1510"/>
      <c r="G828" s="951" t="str">
        <f>IF('Jrnl Exp ~ Dép'!$E331="","",'Jrnl Exp ~ Dép'!$E331)</f>
        <v/>
      </c>
      <c r="H828" s="147">
        <f>'Jrnl Exp ~ Dép'!H331</f>
        <v>0</v>
      </c>
      <c r="I828" s="147" t="str">
        <f t="shared" si="24"/>
        <v>0</v>
      </c>
      <c r="J828" s="148" t="b">
        <f t="shared" si="25"/>
        <v>0</v>
      </c>
      <c r="K828" s="169"/>
      <c r="L828" s="169">
        <f>'Jrnl Exp ~ Dép'!$G331</f>
        <v>0</v>
      </c>
      <c r="M828" s="151">
        <f>'Jrnl Exp ~ Dép'!E93</f>
        <v>0</v>
      </c>
      <c r="N828" s="167">
        <f>'Jrnl Exp ~ Dép'!$H93</f>
        <v>0</v>
      </c>
    </row>
    <row r="829" spans="2:14" s="1" customFormat="1" ht="30" hidden="1" customHeight="1" x14ac:dyDescent="0.15">
      <c r="B829" s="146">
        <f>IF(AND('Jrnl Exp ~ Dép'!$G332&lt;&gt;"",'Jrnl Exp ~ Dép'!$C332&lt;&gt;""),1,0)</f>
        <v>0</v>
      </c>
      <c r="C829" s="146">
        <f>'Jrnl Exp ~ Dép'!$C332</f>
        <v>0</v>
      </c>
      <c r="D829" s="168">
        <f>'Jrnl Exp ~ Dép'!$D332</f>
        <v>0</v>
      </c>
      <c r="E829" s="1510">
        <f>'Jrnl Exp ~ Dép'!$F332</f>
        <v>0</v>
      </c>
      <c r="F829" s="1510"/>
      <c r="G829" s="951" t="str">
        <f>IF('Jrnl Exp ~ Dép'!$E332="","",'Jrnl Exp ~ Dép'!$E332)</f>
        <v/>
      </c>
      <c r="H829" s="147">
        <f>'Jrnl Exp ~ Dép'!H332</f>
        <v>0</v>
      </c>
      <c r="I829" s="147" t="str">
        <f t="shared" si="24"/>
        <v>0</v>
      </c>
      <c r="J829" s="148" t="b">
        <f t="shared" si="25"/>
        <v>0</v>
      </c>
      <c r="K829" s="169"/>
      <c r="L829" s="169">
        <f>'Jrnl Exp ~ Dép'!$G332</f>
        <v>0</v>
      </c>
      <c r="M829" s="151">
        <f>'Jrnl Exp ~ Dép'!E94</f>
        <v>0</v>
      </c>
      <c r="N829" s="167">
        <f>'Jrnl Exp ~ Dép'!$H94</f>
        <v>0</v>
      </c>
    </row>
    <row r="830" spans="2:14" s="1" customFormat="1" ht="30" hidden="1" customHeight="1" x14ac:dyDescent="0.15">
      <c r="B830" s="146">
        <f>IF(AND('Jrnl Exp ~ Dép'!$G333&lt;&gt;"",'Jrnl Exp ~ Dép'!$C333&lt;&gt;""),1,0)</f>
        <v>0</v>
      </c>
      <c r="C830" s="146">
        <f>'Jrnl Exp ~ Dép'!$C333</f>
        <v>0</v>
      </c>
      <c r="D830" s="168">
        <f>'Jrnl Exp ~ Dép'!$D333</f>
        <v>0</v>
      </c>
      <c r="E830" s="1510">
        <f>'Jrnl Exp ~ Dép'!$F333</f>
        <v>0</v>
      </c>
      <c r="F830" s="1510"/>
      <c r="G830" s="951" t="str">
        <f>IF('Jrnl Exp ~ Dép'!$E333="","",'Jrnl Exp ~ Dép'!$E333)</f>
        <v/>
      </c>
      <c r="H830" s="147">
        <f>'Jrnl Exp ~ Dép'!H333</f>
        <v>0</v>
      </c>
      <c r="I830" s="147" t="str">
        <f t="shared" si="24"/>
        <v>0</v>
      </c>
      <c r="J830" s="148" t="b">
        <f t="shared" si="25"/>
        <v>0</v>
      </c>
      <c r="K830" s="169"/>
      <c r="L830" s="169">
        <f>'Jrnl Exp ~ Dép'!$G333</f>
        <v>0</v>
      </c>
      <c r="M830" s="151">
        <f>'Jrnl Exp ~ Dép'!E95</f>
        <v>0</v>
      </c>
      <c r="N830" s="167">
        <f>'Jrnl Exp ~ Dép'!$H95</f>
        <v>0</v>
      </c>
    </row>
    <row r="831" spans="2:14" s="1" customFormat="1" ht="30" hidden="1" customHeight="1" x14ac:dyDescent="0.15">
      <c r="B831" s="146">
        <f>IF(AND('Jrnl Exp ~ Dép'!$G334&lt;&gt;"",'Jrnl Exp ~ Dép'!$C334&lt;&gt;""),1,0)</f>
        <v>0</v>
      </c>
      <c r="C831" s="146">
        <f>'Jrnl Exp ~ Dép'!$C334</f>
        <v>0</v>
      </c>
      <c r="D831" s="168">
        <f>'Jrnl Exp ~ Dép'!$D334</f>
        <v>0</v>
      </c>
      <c r="E831" s="1510">
        <f>'Jrnl Exp ~ Dép'!$F334</f>
        <v>0</v>
      </c>
      <c r="F831" s="1510"/>
      <c r="G831" s="951" t="str">
        <f>IF('Jrnl Exp ~ Dép'!$E334="","",'Jrnl Exp ~ Dép'!$E334)</f>
        <v/>
      </c>
      <c r="H831" s="147">
        <f>'Jrnl Exp ~ Dép'!H334</f>
        <v>0</v>
      </c>
      <c r="I831" s="147" t="str">
        <f t="shared" si="24"/>
        <v>0</v>
      </c>
      <c r="J831" s="148" t="b">
        <f t="shared" si="25"/>
        <v>0</v>
      </c>
      <c r="K831" s="169"/>
      <c r="L831" s="169">
        <f>'Jrnl Exp ~ Dép'!$G334</f>
        <v>0</v>
      </c>
      <c r="M831" s="151">
        <f>'Jrnl Exp ~ Dép'!E96</f>
        <v>0</v>
      </c>
      <c r="N831" s="167">
        <f>'Jrnl Exp ~ Dép'!$H96</f>
        <v>0</v>
      </c>
    </row>
    <row r="832" spans="2:14" s="1" customFormat="1" ht="30" hidden="1" customHeight="1" x14ac:dyDescent="0.15">
      <c r="B832" s="146">
        <f>IF(AND('Jrnl Exp ~ Dép'!$G335&lt;&gt;"",'Jrnl Exp ~ Dép'!$C335&lt;&gt;""),1,0)</f>
        <v>0</v>
      </c>
      <c r="C832" s="146">
        <f>'Jrnl Exp ~ Dép'!$C335</f>
        <v>0</v>
      </c>
      <c r="D832" s="168">
        <f>'Jrnl Exp ~ Dép'!$D335</f>
        <v>0</v>
      </c>
      <c r="E832" s="1510">
        <f>'Jrnl Exp ~ Dép'!$F335</f>
        <v>0</v>
      </c>
      <c r="F832" s="1510"/>
      <c r="G832" s="951" t="str">
        <f>IF('Jrnl Exp ~ Dép'!$E335="","",'Jrnl Exp ~ Dép'!$E335)</f>
        <v/>
      </c>
      <c r="H832" s="147">
        <f>'Jrnl Exp ~ Dép'!H335</f>
        <v>0</v>
      </c>
      <c r="I832" s="147" t="str">
        <f t="shared" si="24"/>
        <v>0</v>
      </c>
      <c r="J832" s="148" t="b">
        <f t="shared" si="25"/>
        <v>0</v>
      </c>
      <c r="K832" s="169"/>
      <c r="L832" s="169">
        <f>'Jrnl Exp ~ Dép'!$G335</f>
        <v>0</v>
      </c>
      <c r="M832" s="151">
        <f>'Jrnl Exp ~ Dép'!E97</f>
        <v>0</v>
      </c>
      <c r="N832" s="167">
        <f>'Jrnl Exp ~ Dép'!$H97</f>
        <v>0</v>
      </c>
    </row>
    <row r="833" spans="2:14" s="1" customFormat="1" ht="30" hidden="1" customHeight="1" x14ac:dyDescent="0.15">
      <c r="B833" s="146">
        <f>IF(AND('Jrnl Exp ~ Dép'!$G336&lt;&gt;"",'Jrnl Exp ~ Dép'!$C336&lt;&gt;""),1,0)</f>
        <v>0</v>
      </c>
      <c r="C833" s="146">
        <f>'Jrnl Exp ~ Dép'!$C336</f>
        <v>0</v>
      </c>
      <c r="D833" s="168">
        <f>'Jrnl Exp ~ Dép'!$D336</f>
        <v>0</v>
      </c>
      <c r="E833" s="1510">
        <f>'Jrnl Exp ~ Dép'!$F336</f>
        <v>0</v>
      </c>
      <c r="F833" s="1510"/>
      <c r="G833" s="951" t="str">
        <f>IF('Jrnl Exp ~ Dép'!$E336="","",'Jrnl Exp ~ Dép'!$E336)</f>
        <v/>
      </c>
      <c r="H833" s="147">
        <f>'Jrnl Exp ~ Dép'!H336</f>
        <v>0</v>
      </c>
      <c r="I833" s="147" t="str">
        <f t="shared" ref="I833:I896" si="26">LEFT(H833,4)</f>
        <v>0</v>
      </c>
      <c r="J833" s="148" t="b">
        <f t="shared" ref="J833:J896" si="27">IF(I833="1020",IF(G833&gt;=$E$3,IF(G833&lt;=$G$3,L833,0)))</f>
        <v>0</v>
      </c>
      <c r="K833" s="169"/>
      <c r="L833" s="169">
        <f>'Jrnl Exp ~ Dép'!$G336</f>
        <v>0</v>
      </c>
      <c r="M833" s="151">
        <f>'Jrnl Exp ~ Dép'!E98</f>
        <v>0</v>
      </c>
      <c r="N833" s="167">
        <f>'Jrnl Exp ~ Dép'!$H98</f>
        <v>0</v>
      </c>
    </row>
    <row r="834" spans="2:14" s="1" customFormat="1" ht="30" hidden="1" customHeight="1" x14ac:dyDescent="0.15">
      <c r="B834" s="146">
        <f>IF(AND('Jrnl Exp ~ Dép'!$G337&lt;&gt;"",'Jrnl Exp ~ Dép'!$C337&lt;&gt;""),1,0)</f>
        <v>0</v>
      </c>
      <c r="C834" s="146">
        <f>'Jrnl Exp ~ Dép'!$C337</f>
        <v>0</v>
      </c>
      <c r="D834" s="168">
        <f>'Jrnl Exp ~ Dép'!$D337</f>
        <v>0</v>
      </c>
      <c r="E834" s="1510">
        <f>'Jrnl Exp ~ Dép'!$F337</f>
        <v>0</v>
      </c>
      <c r="F834" s="1510"/>
      <c r="G834" s="951" t="str">
        <f>IF('Jrnl Exp ~ Dép'!$E337="","",'Jrnl Exp ~ Dép'!$E337)</f>
        <v/>
      </c>
      <c r="H834" s="147">
        <f>'Jrnl Exp ~ Dép'!H337</f>
        <v>0</v>
      </c>
      <c r="I834" s="147" t="str">
        <f t="shared" si="26"/>
        <v>0</v>
      </c>
      <c r="J834" s="148" t="b">
        <f t="shared" si="27"/>
        <v>0</v>
      </c>
      <c r="K834" s="169"/>
      <c r="L834" s="169">
        <f>'Jrnl Exp ~ Dép'!$G337</f>
        <v>0</v>
      </c>
      <c r="M834" s="151">
        <f>'Jrnl Exp ~ Dép'!E99</f>
        <v>0</v>
      </c>
      <c r="N834" s="167">
        <f>'Jrnl Exp ~ Dép'!$H99</f>
        <v>0</v>
      </c>
    </row>
    <row r="835" spans="2:14" s="1" customFormat="1" ht="30" hidden="1" customHeight="1" x14ac:dyDescent="0.15">
      <c r="B835" s="146">
        <f>IF(AND('Jrnl Exp ~ Dép'!$G338&lt;&gt;"",'Jrnl Exp ~ Dép'!$C338&lt;&gt;""),1,0)</f>
        <v>0</v>
      </c>
      <c r="C835" s="146">
        <f>'Jrnl Exp ~ Dép'!$C338</f>
        <v>0</v>
      </c>
      <c r="D835" s="168">
        <f>'Jrnl Exp ~ Dép'!$D338</f>
        <v>0</v>
      </c>
      <c r="E835" s="1510">
        <f>'Jrnl Exp ~ Dép'!$F338</f>
        <v>0</v>
      </c>
      <c r="F835" s="1510"/>
      <c r="G835" s="951" t="str">
        <f>IF('Jrnl Exp ~ Dép'!$E338="","",'Jrnl Exp ~ Dép'!$E338)</f>
        <v/>
      </c>
      <c r="H835" s="147">
        <f>'Jrnl Exp ~ Dép'!H338</f>
        <v>0</v>
      </c>
      <c r="I835" s="147" t="str">
        <f t="shared" si="26"/>
        <v>0</v>
      </c>
      <c r="J835" s="148" t="b">
        <f t="shared" si="27"/>
        <v>0</v>
      </c>
      <c r="K835" s="169"/>
      <c r="L835" s="169">
        <f>'Jrnl Exp ~ Dép'!$G338</f>
        <v>0</v>
      </c>
      <c r="M835" s="151">
        <f>'Jrnl Exp ~ Dép'!E100</f>
        <v>0</v>
      </c>
      <c r="N835" s="167">
        <f>'Jrnl Exp ~ Dép'!$H100</f>
        <v>0</v>
      </c>
    </row>
    <row r="836" spans="2:14" s="1" customFormat="1" ht="30" hidden="1" customHeight="1" x14ac:dyDescent="0.15">
      <c r="B836" s="146">
        <f>IF(AND('Jrnl Exp ~ Dép'!$G339&lt;&gt;"",'Jrnl Exp ~ Dép'!$C339&lt;&gt;""),1,0)</f>
        <v>0</v>
      </c>
      <c r="C836" s="146">
        <f>'Jrnl Exp ~ Dép'!$C339</f>
        <v>0</v>
      </c>
      <c r="D836" s="168">
        <f>'Jrnl Exp ~ Dép'!$D339</f>
        <v>0</v>
      </c>
      <c r="E836" s="1510">
        <f>'Jrnl Exp ~ Dép'!$F339</f>
        <v>0</v>
      </c>
      <c r="F836" s="1510"/>
      <c r="G836" s="951" t="str">
        <f>IF('Jrnl Exp ~ Dép'!$E339="","",'Jrnl Exp ~ Dép'!$E339)</f>
        <v/>
      </c>
      <c r="H836" s="147">
        <f>'Jrnl Exp ~ Dép'!H339</f>
        <v>0</v>
      </c>
      <c r="I836" s="147" t="str">
        <f t="shared" si="26"/>
        <v>0</v>
      </c>
      <c r="J836" s="148" t="b">
        <f t="shared" si="27"/>
        <v>0</v>
      </c>
      <c r="K836" s="169"/>
      <c r="L836" s="169">
        <f>'Jrnl Exp ~ Dép'!$G339</f>
        <v>0</v>
      </c>
      <c r="M836" s="151">
        <f>'Jrnl Exp ~ Dép'!E101</f>
        <v>0</v>
      </c>
      <c r="N836" s="167">
        <f>'Jrnl Exp ~ Dép'!$H101</f>
        <v>0</v>
      </c>
    </row>
    <row r="837" spans="2:14" s="1" customFormat="1" ht="30" hidden="1" customHeight="1" x14ac:dyDescent="0.15">
      <c r="B837" s="146">
        <f>IF(AND('Jrnl Exp ~ Dép'!$G340&lt;&gt;"",'Jrnl Exp ~ Dép'!$C340&lt;&gt;""),1,0)</f>
        <v>0</v>
      </c>
      <c r="C837" s="146">
        <f>'Jrnl Exp ~ Dép'!$C340</f>
        <v>0</v>
      </c>
      <c r="D837" s="168">
        <f>'Jrnl Exp ~ Dép'!$D340</f>
        <v>0</v>
      </c>
      <c r="E837" s="1510">
        <f>'Jrnl Exp ~ Dép'!$F340</f>
        <v>0</v>
      </c>
      <c r="F837" s="1510"/>
      <c r="G837" s="951" t="str">
        <f>IF('Jrnl Exp ~ Dép'!$E340="","",'Jrnl Exp ~ Dép'!$E340)</f>
        <v/>
      </c>
      <c r="H837" s="147">
        <f>'Jrnl Exp ~ Dép'!H340</f>
        <v>0</v>
      </c>
      <c r="I837" s="147" t="str">
        <f t="shared" si="26"/>
        <v>0</v>
      </c>
      <c r="J837" s="148" t="b">
        <f t="shared" si="27"/>
        <v>0</v>
      </c>
      <c r="K837" s="169"/>
      <c r="L837" s="169">
        <f>'Jrnl Exp ~ Dép'!$G340</f>
        <v>0</v>
      </c>
      <c r="M837" s="151">
        <f>'Jrnl Exp ~ Dép'!E102</f>
        <v>0</v>
      </c>
      <c r="N837" s="167">
        <f>'Jrnl Exp ~ Dép'!$H102</f>
        <v>0</v>
      </c>
    </row>
    <row r="838" spans="2:14" s="1" customFormat="1" ht="30" hidden="1" customHeight="1" x14ac:dyDescent="0.15">
      <c r="B838" s="146">
        <f>IF(AND('Jrnl Exp ~ Dép'!$G341&lt;&gt;"",'Jrnl Exp ~ Dép'!$C341&lt;&gt;""),1,0)</f>
        <v>0</v>
      </c>
      <c r="C838" s="146">
        <f>'Jrnl Exp ~ Dép'!$C341</f>
        <v>0</v>
      </c>
      <c r="D838" s="168">
        <f>'Jrnl Exp ~ Dép'!$D341</f>
        <v>0</v>
      </c>
      <c r="E838" s="1510">
        <f>'Jrnl Exp ~ Dép'!$F341</f>
        <v>0</v>
      </c>
      <c r="F838" s="1510"/>
      <c r="G838" s="951" t="str">
        <f>IF('Jrnl Exp ~ Dép'!$E341="","",'Jrnl Exp ~ Dép'!$E341)</f>
        <v/>
      </c>
      <c r="H838" s="147">
        <f>'Jrnl Exp ~ Dép'!H341</f>
        <v>0</v>
      </c>
      <c r="I838" s="147" t="str">
        <f t="shared" si="26"/>
        <v>0</v>
      </c>
      <c r="J838" s="148" t="b">
        <f t="shared" si="27"/>
        <v>0</v>
      </c>
      <c r="K838" s="169"/>
      <c r="L838" s="169">
        <f>'Jrnl Exp ~ Dép'!$G341</f>
        <v>0</v>
      </c>
      <c r="M838" s="151">
        <f>'Jrnl Exp ~ Dép'!E103</f>
        <v>0</v>
      </c>
      <c r="N838" s="167">
        <f>'Jrnl Exp ~ Dép'!$H103</f>
        <v>0</v>
      </c>
    </row>
    <row r="839" spans="2:14" s="1" customFormat="1" ht="30" hidden="1" customHeight="1" x14ac:dyDescent="0.15">
      <c r="B839" s="146">
        <f>IF(AND('Jrnl Exp ~ Dép'!$G342&lt;&gt;"",'Jrnl Exp ~ Dép'!$C342&lt;&gt;""),1,0)</f>
        <v>0</v>
      </c>
      <c r="C839" s="146">
        <f>'Jrnl Exp ~ Dép'!$C342</f>
        <v>0</v>
      </c>
      <c r="D839" s="168">
        <f>'Jrnl Exp ~ Dép'!$D342</f>
        <v>0</v>
      </c>
      <c r="E839" s="1510">
        <f>'Jrnl Exp ~ Dép'!$F342</f>
        <v>0</v>
      </c>
      <c r="F839" s="1510"/>
      <c r="G839" s="951" t="str">
        <f>IF('Jrnl Exp ~ Dép'!$E342="","",'Jrnl Exp ~ Dép'!$E342)</f>
        <v/>
      </c>
      <c r="H839" s="147">
        <f>'Jrnl Exp ~ Dép'!H342</f>
        <v>0</v>
      </c>
      <c r="I839" s="147" t="str">
        <f t="shared" si="26"/>
        <v>0</v>
      </c>
      <c r="J839" s="148" t="b">
        <f t="shared" si="27"/>
        <v>0</v>
      </c>
      <c r="K839" s="169"/>
      <c r="L839" s="169">
        <f>'Jrnl Exp ~ Dép'!$G342</f>
        <v>0</v>
      </c>
      <c r="M839" s="151">
        <f>'Jrnl Exp ~ Dép'!E104</f>
        <v>0</v>
      </c>
      <c r="N839" s="167">
        <f>'Jrnl Exp ~ Dép'!$H104</f>
        <v>0</v>
      </c>
    </row>
    <row r="840" spans="2:14" s="1" customFormat="1" ht="30" hidden="1" customHeight="1" x14ac:dyDescent="0.15">
      <c r="B840" s="146">
        <f>IF(AND('Jrnl Exp ~ Dép'!$G343&lt;&gt;"",'Jrnl Exp ~ Dép'!$C343&lt;&gt;""),1,0)</f>
        <v>0</v>
      </c>
      <c r="C840" s="146">
        <f>'Jrnl Exp ~ Dép'!$C343</f>
        <v>0</v>
      </c>
      <c r="D840" s="168">
        <f>'Jrnl Exp ~ Dép'!$D343</f>
        <v>0</v>
      </c>
      <c r="E840" s="1510">
        <f>'Jrnl Exp ~ Dép'!$F343</f>
        <v>0</v>
      </c>
      <c r="F840" s="1510"/>
      <c r="G840" s="951" t="str">
        <f>IF('Jrnl Exp ~ Dép'!$E343="","",'Jrnl Exp ~ Dép'!$E343)</f>
        <v/>
      </c>
      <c r="H840" s="147">
        <f>'Jrnl Exp ~ Dép'!H343</f>
        <v>0</v>
      </c>
      <c r="I840" s="147" t="str">
        <f t="shared" si="26"/>
        <v>0</v>
      </c>
      <c r="J840" s="148" t="b">
        <f t="shared" si="27"/>
        <v>0</v>
      </c>
      <c r="K840" s="169"/>
      <c r="L840" s="169">
        <f>'Jrnl Exp ~ Dép'!$G343</f>
        <v>0</v>
      </c>
      <c r="M840" s="151">
        <f>'Jrnl Exp ~ Dép'!E105</f>
        <v>0</v>
      </c>
      <c r="N840" s="167">
        <f>'Jrnl Exp ~ Dép'!$H105</f>
        <v>0</v>
      </c>
    </row>
    <row r="841" spans="2:14" s="1" customFormat="1" ht="30" hidden="1" customHeight="1" x14ac:dyDescent="0.15">
      <c r="B841" s="146">
        <f>IF(AND('Jrnl Exp ~ Dép'!$G344&lt;&gt;"",'Jrnl Exp ~ Dép'!$C344&lt;&gt;""),1,0)</f>
        <v>0</v>
      </c>
      <c r="C841" s="146">
        <f>'Jrnl Exp ~ Dép'!$C344</f>
        <v>0</v>
      </c>
      <c r="D841" s="168">
        <f>'Jrnl Exp ~ Dép'!$D344</f>
        <v>0</v>
      </c>
      <c r="E841" s="1510">
        <f>'Jrnl Exp ~ Dép'!$F344</f>
        <v>0</v>
      </c>
      <c r="F841" s="1510"/>
      <c r="G841" s="951" t="str">
        <f>IF('Jrnl Exp ~ Dép'!$E344="","",'Jrnl Exp ~ Dép'!$E344)</f>
        <v/>
      </c>
      <c r="H841" s="147">
        <f>'Jrnl Exp ~ Dép'!H344</f>
        <v>0</v>
      </c>
      <c r="I841" s="147" t="str">
        <f t="shared" si="26"/>
        <v>0</v>
      </c>
      <c r="J841" s="148" t="b">
        <f t="shared" si="27"/>
        <v>0</v>
      </c>
      <c r="K841" s="169"/>
      <c r="L841" s="169">
        <f>'Jrnl Exp ~ Dép'!$G344</f>
        <v>0</v>
      </c>
      <c r="M841" s="151">
        <f>'Jrnl Exp ~ Dép'!E106</f>
        <v>0</v>
      </c>
      <c r="N841" s="167">
        <f>'Jrnl Exp ~ Dép'!$H106</f>
        <v>0</v>
      </c>
    </row>
    <row r="842" spans="2:14" s="1" customFormat="1" ht="30" hidden="1" customHeight="1" x14ac:dyDescent="0.15">
      <c r="B842" s="146">
        <f>IF(AND('Jrnl Exp ~ Dép'!$G345&lt;&gt;"",'Jrnl Exp ~ Dép'!$C345&lt;&gt;""),1,0)</f>
        <v>0</v>
      </c>
      <c r="C842" s="146">
        <f>'Jrnl Exp ~ Dép'!$C345</f>
        <v>0</v>
      </c>
      <c r="D842" s="168">
        <f>'Jrnl Exp ~ Dép'!$D345</f>
        <v>0</v>
      </c>
      <c r="E842" s="1510">
        <f>'Jrnl Exp ~ Dép'!$F345</f>
        <v>0</v>
      </c>
      <c r="F842" s="1510"/>
      <c r="G842" s="951" t="str">
        <f>IF('Jrnl Exp ~ Dép'!$E345="","",'Jrnl Exp ~ Dép'!$E345)</f>
        <v/>
      </c>
      <c r="H842" s="147">
        <f>'Jrnl Exp ~ Dép'!H345</f>
        <v>0</v>
      </c>
      <c r="I842" s="147" t="str">
        <f t="shared" si="26"/>
        <v>0</v>
      </c>
      <c r="J842" s="148" t="b">
        <f t="shared" si="27"/>
        <v>0</v>
      </c>
      <c r="K842" s="169"/>
      <c r="L842" s="169">
        <f>'Jrnl Exp ~ Dép'!$G345</f>
        <v>0</v>
      </c>
      <c r="M842" s="151">
        <f>'Jrnl Exp ~ Dép'!E107</f>
        <v>0</v>
      </c>
      <c r="N842" s="167">
        <f>'Jrnl Exp ~ Dép'!$H107</f>
        <v>0</v>
      </c>
    </row>
    <row r="843" spans="2:14" s="1" customFormat="1" ht="30" hidden="1" customHeight="1" x14ac:dyDescent="0.15">
      <c r="B843" s="146">
        <f>IF(AND('Jrnl Exp ~ Dép'!$G346&lt;&gt;"",'Jrnl Exp ~ Dép'!$C346&lt;&gt;""),1,0)</f>
        <v>0</v>
      </c>
      <c r="C843" s="146">
        <f>'Jrnl Exp ~ Dép'!$C346</f>
        <v>0</v>
      </c>
      <c r="D843" s="168">
        <f>'Jrnl Exp ~ Dép'!$D346</f>
        <v>0</v>
      </c>
      <c r="E843" s="1510">
        <f>'Jrnl Exp ~ Dép'!$F346</f>
        <v>0</v>
      </c>
      <c r="F843" s="1510"/>
      <c r="G843" s="951" t="str">
        <f>IF('Jrnl Exp ~ Dép'!$E346="","",'Jrnl Exp ~ Dép'!$E346)</f>
        <v/>
      </c>
      <c r="H843" s="147">
        <f>'Jrnl Exp ~ Dép'!H346</f>
        <v>0</v>
      </c>
      <c r="I843" s="147" t="str">
        <f t="shared" si="26"/>
        <v>0</v>
      </c>
      <c r="J843" s="148" t="b">
        <f t="shared" si="27"/>
        <v>0</v>
      </c>
      <c r="K843" s="169"/>
      <c r="L843" s="169">
        <f>'Jrnl Exp ~ Dép'!$G346</f>
        <v>0</v>
      </c>
      <c r="M843" s="151">
        <f>'Jrnl Exp ~ Dép'!E108</f>
        <v>0</v>
      </c>
      <c r="N843" s="167">
        <f>'Jrnl Exp ~ Dép'!$H108</f>
        <v>0</v>
      </c>
    </row>
    <row r="844" spans="2:14" s="1" customFormat="1" ht="30" hidden="1" customHeight="1" x14ac:dyDescent="0.15">
      <c r="B844" s="146">
        <f>IF(AND('Jrnl Exp ~ Dép'!$G347&lt;&gt;"",'Jrnl Exp ~ Dép'!$C347&lt;&gt;""),1,0)</f>
        <v>0</v>
      </c>
      <c r="C844" s="146">
        <f>'Jrnl Exp ~ Dép'!$C347</f>
        <v>0</v>
      </c>
      <c r="D844" s="168">
        <f>'Jrnl Exp ~ Dép'!$D347</f>
        <v>0</v>
      </c>
      <c r="E844" s="1510">
        <f>'Jrnl Exp ~ Dép'!$F347</f>
        <v>0</v>
      </c>
      <c r="F844" s="1510"/>
      <c r="G844" s="951" t="str">
        <f>IF('Jrnl Exp ~ Dép'!$E347="","",'Jrnl Exp ~ Dép'!$E347)</f>
        <v/>
      </c>
      <c r="H844" s="147">
        <f>'Jrnl Exp ~ Dép'!H347</f>
        <v>0</v>
      </c>
      <c r="I844" s="147" t="str">
        <f t="shared" si="26"/>
        <v>0</v>
      </c>
      <c r="J844" s="148" t="b">
        <f t="shared" si="27"/>
        <v>0</v>
      </c>
      <c r="K844" s="169"/>
      <c r="L844" s="169">
        <f>'Jrnl Exp ~ Dép'!$G347</f>
        <v>0</v>
      </c>
      <c r="M844" s="151">
        <f>'Jrnl Exp ~ Dép'!E109</f>
        <v>0</v>
      </c>
      <c r="N844" s="167">
        <f>'Jrnl Exp ~ Dép'!$H109</f>
        <v>0</v>
      </c>
    </row>
    <row r="845" spans="2:14" s="1" customFormat="1" ht="30" hidden="1" customHeight="1" x14ac:dyDescent="0.15">
      <c r="B845" s="146">
        <f>IF(AND('Jrnl Exp ~ Dép'!$G348&lt;&gt;"",'Jrnl Exp ~ Dép'!$C348&lt;&gt;""),1,0)</f>
        <v>0</v>
      </c>
      <c r="C845" s="146">
        <f>'Jrnl Exp ~ Dép'!$C348</f>
        <v>0</v>
      </c>
      <c r="D845" s="168">
        <f>'Jrnl Exp ~ Dép'!$D348</f>
        <v>0</v>
      </c>
      <c r="E845" s="1510">
        <f>'Jrnl Exp ~ Dép'!$F348</f>
        <v>0</v>
      </c>
      <c r="F845" s="1510"/>
      <c r="G845" s="951" t="str">
        <f>IF('Jrnl Exp ~ Dép'!$E348="","",'Jrnl Exp ~ Dép'!$E348)</f>
        <v/>
      </c>
      <c r="H845" s="147">
        <f>'Jrnl Exp ~ Dép'!H348</f>
        <v>0</v>
      </c>
      <c r="I845" s="147" t="str">
        <f t="shared" si="26"/>
        <v>0</v>
      </c>
      <c r="J845" s="148" t="b">
        <f t="shared" si="27"/>
        <v>0</v>
      </c>
      <c r="K845" s="169"/>
      <c r="L845" s="169">
        <f>'Jrnl Exp ~ Dép'!$G348</f>
        <v>0</v>
      </c>
      <c r="M845" s="151">
        <f>'Jrnl Exp ~ Dép'!E110</f>
        <v>0</v>
      </c>
      <c r="N845" s="167">
        <f>'Jrnl Exp ~ Dép'!$H110</f>
        <v>0</v>
      </c>
    </row>
    <row r="846" spans="2:14" s="1" customFormat="1" ht="30" hidden="1" customHeight="1" x14ac:dyDescent="0.15">
      <c r="B846" s="146">
        <f>IF(AND('Jrnl Exp ~ Dép'!$G349&lt;&gt;"",'Jrnl Exp ~ Dép'!$C349&lt;&gt;""),1,0)</f>
        <v>0</v>
      </c>
      <c r="C846" s="146">
        <f>'Jrnl Exp ~ Dép'!$C349</f>
        <v>0</v>
      </c>
      <c r="D846" s="168">
        <f>'Jrnl Exp ~ Dép'!$D349</f>
        <v>0</v>
      </c>
      <c r="E846" s="1510">
        <f>'Jrnl Exp ~ Dép'!$F349</f>
        <v>0</v>
      </c>
      <c r="F846" s="1510"/>
      <c r="G846" s="951" t="str">
        <f>IF('Jrnl Exp ~ Dép'!$E349="","",'Jrnl Exp ~ Dép'!$E349)</f>
        <v/>
      </c>
      <c r="H846" s="147">
        <f>'Jrnl Exp ~ Dép'!H349</f>
        <v>0</v>
      </c>
      <c r="I846" s="147" t="str">
        <f t="shared" si="26"/>
        <v>0</v>
      </c>
      <c r="J846" s="148" t="b">
        <f t="shared" si="27"/>
        <v>0</v>
      </c>
      <c r="K846" s="169"/>
      <c r="L846" s="169">
        <f>'Jrnl Exp ~ Dép'!$G349</f>
        <v>0</v>
      </c>
      <c r="M846" s="151">
        <f>'Jrnl Exp ~ Dép'!E111</f>
        <v>0</v>
      </c>
      <c r="N846" s="167">
        <f>'Jrnl Exp ~ Dép'!$H111</f>
        <v>0</v>
      </c>
    </row>
    <row r="847" spans="2:14" s="1" customFormat="1" ht="30" hidden="1" customHeight="1" x14ac:dyDescent="0.15">
      <c r="B847" s="146">
        <f>IF(AND('Jrnl Exp ~ Dép'!$G350&lt;&gt;"",'Jrnl Exp ~ Dép'!$C350&lt;&gt;""),1,0)</f>
        <v>0</v>
      </c>
      <c r="C847" s="146">
        <f>'Jrnl Exp ~ Dép'!$C350</f>
        <v>0</v>
      </c>
      <c r="D847" s="168">
        <f>'Jrnl Exp ~ Dép'!$D350</f>
        <v>0</v>
      </c>
      <c r="E847" s="1510">
        <f>'Jrnl Exp ~ Dép'!$F350</f>
        <v>0</v>
      </c>
      <c r="F847" s="1510"/>
      <c r="G847" s="951" t="str">
        <f>IF('Jrnl Exp ~ Dép'!$E350="","",'Jrnl Exp ~ Dép'!$E350)</f>
        <v/>
      </c>
      <c r="H847" s="147">
        <f>'Jrnl Exp ~ Dép'!H350</f>
        <v>0</v>
      </c>
      <c r="I847" s="147" t="str">
        <f t="shared" si="26"/>
        <v>0</v>
      </c>
      <c r="J847" s="148" t="b">
        <f t="shared" si="27"/>
        <v>0</v>
      </c>
      <c r="K847" s="169"/>
      <c r="L847" s="169">
        <f>'Jrnl Exp ~ Dép'!$G350</f>
        <v>0</v>
      </c>
      <c r="M847" s="151">
        <f>'Jrnl Exp ~ Dép'!E112</f>
        <v>0</v>
      </c>
      <c r="N847" s="167">
        <f>'Jrnl Exp ~ Dép'!$H112</f>
        <v>0</v>
      </c>
    </row>
    <row r="848" spans="2:14" s="1" customFormat="1" ht="30" hidden="1" customHeight="1" x14ac:dyDescent="0.15">
      <c r="B848" s="146">
        <f>IF(AND('Jrnl Exp ~ Dép'!$G351&lt;&gt;"",'Jrnl Exp ~ Dép'!$C351&lt;&gt;""),1,0)</f>
        <v>0</v>
      </c>
      <c r="C848" s="146">
        <f>'Jrnl Exp ~ Dép'!$C351</f>
        <v>0</v>
      </c>
      <c r="D848" s="168">
        <f>'Jrnl Exp ~ Dép'!$D351</f>
        <v>0</v>
      </c>
      <c r="E848" s="1510">
        <f>'Jrnl Exp ~ Dép'!$F351</f>
        <v>0</v>
      </c>
      <c r="F848" s="1510"/>
      <c r="G848" s="951" t="str">
        <f>IF('Jrnl Exp ~ Dép'!$E351="","",'Jrnl Exp ~ Dép'!$E351)</f>
        <v/>
      </c>
      <c r="H848" s="147">
        <f>'Jrnl Exp ~ Dép'!H351</f>
        <v>0</v>
      </c>
      <c r="I848" s="147" t="str">
        <f t="shared" si="26"/>
        <v>0</v>
      </c>
      <c r="J848" s="148" t="b">
        <f t="shared" si="27"/>
        <v>0</v>
      </c>
      <c r="K848" s="169"/>
      <c r="L848" s="169">
        <f>'Jrnl Exp ~ Dép'!$G351</f>
        <v>0</v>
      </c>
      <c r="M848" s="151">
        <f>'Jrnl Exp ~ Dép'!E113</f>
        <v>0</v>
      </c>
      <c r="N848" s="167">
        <f>'Jrnl Exp ~ Dép'!$H113</f>
        <v>0</v>
      </c>
    </row>
    <row r="849" spans="2:14" s="1" customFormat="1" ht="30" hidden="1" customHeight="1" x14ac:dyDescent="0.15">
      <c r="B849" s="146">
        <f>IF(AND('Jrnl Exp ~ Dép'!$G352&lt;&gt;"",'Jrnl Exp ~ Dép'!$C352&lt;&gt;""),1,0)</f>
        <v>0</v>
      </c>
      <c r="C849" s="146">
        <f>'Jrnl Exp ~ Dép'!$C352</f>
        <v>0</v>
      </c>
      <c r="D849" s="168">
        <f>'Jrnl Exp ~ Dép'!$D352</f>
        <v>0</v>
      </c>
      <c r="E849" s="1510">
        <f>'Jrnl Exp ~ Dép'!$F352</f>
        <v>0</v>
      </c>
      <c r="F849" s="1510"/>
      <c r="G849" s="951" t="str">
        <f>IF('Jrnl Exp ~ Dép'!$E352="","",'Jrnl Exp ~ Dép'!$E352)</f>
        <v/>
      </c>
      <c r="H849" s="147">
        <f>'Jrnl Exp ~ Dép'!H352</f>
        <v>0</v>
      </c>
      <c r="I849" s="147" t="str">
        <f t="shared" si="26"/>
        <v>0</v>
      </c>
      <c r="J849" s="148" t="b">
        <f t="shared" si="27"/>
        <v>0</v>
      </c>
      <c r="K849" s="169"/>
      <c r="L849" s="169">
        <f>'Jrnl Exp ~ Dép'!$G352</f>
        <v>0</v>
      </c>
      <c r="M849" s="151">
        <f>'Jrnl Exp ~ Dép'!E114</f>
        <v>0</v>
      </c>
      <c r="N849" s="167">
        <f>'Jrnl Exp ~ Dép'!$H114</f>
        <v>0</v>
      </c>
    </row>
    <row r="850" spans="2:14" s="1" customFormat="1" ht="30" hidden="1" customHeight="1" x14ac:dyDescent="0.15">
      <c r="B850" s="146">
        <f>IF(AND('Jrnl Exp ~ Dép'!$G353&lt;&gt;"",'Jrnl Exp ~ Dép'!$C353&lt;&gt;""),1,0)</f>
        <v>0</v>
      </c>
      <c r="C850" s="146">
        <f>'Jrnl Exp ~ Dép'!$C353</f>
        <v>0</v>
      </c>
      <c r="D850" s="168">
        <f>'Jrnl Exp ~ Dép'!$D353</f>
        <v>0</v>
      </c>
      <c r="E850" s="1510">
        <f>'Jrnl Exp ~ Dép'!$F353</f>
        <v>0</v>
      </c>
      <c r="F850" s="1510"/>
      <c r="G850" s="951" t="str">
        <f>IF('Jrnl Exp ~ Dép'!$E353="","",'Jrnl Exp ~ Dép'!$E353)</f>
        <v/>
      </c>
      <c r="H850" s="147">
        <f>'Jrnl Exp ~ Dép'!H353</f>
        <v>0</v>
      </c>
      <c r="I850" s="147" t="str">
        <f t="shared" si="26"/>
        <v>0</v>
      </c>
      <c r="J850" s="148" t="b">
        <f t="shared" si="27"/>
        <v>0</v>
      </c>
      <c r="K850" s="169"/>
      <c r="L850" s="169">
        <f>'Jrnl Exp ~ Dép'!$G353</f>
        <v>0</v>
      </c>
      <c r="M850" s="151">
        <f>'Jrnl Exp ~ Dép'!E115</f>
        <v>0</v>
      </c>
      <c r="N850" s="167">
        <f>'Jrnl Exp ~ Dép'!$H115</f>
        <v>0</v>
      </c>
    </row>
    <row r="851" spans="2:14" s="1" customFormat="1" ht="30" hidden="1" customHeight="1" x14ac:dyDescent="0.15">
      <c r="B851" s="146">
        <f>IF(AND('Jrnl Exp ~ Dép'!$G354&lt;&gt;"",'Jrnl Exp ~ Dép'!$C354&lt;&gt;""),1,0)</f>
        <v>0</v>
      </c>
      <c r="C851" s="146">
        <f>'Jrnl Exp ~ Dép'!$C354</f>
        <v>0</v>
      </c>
      <c r="D851" s="168">
        <f>'Jrnl Exp ~ Dép'!$D354</f>
        <v>0</v>
      </c>
      <c r="E851" s="1510">
        <f>'Jrnl Exp ~ Dép'!$F354</f>
        <v>0</v>
      </c>
      <c r="F851" s="1510"/>
      <c r="G851" s="951" t="str">
        <f>IF('Jrnl Exp ~ Dép'!$E354="","",'Jrnl Exp ~ Dép'!$E354)</f>
        <v/>
      </c>
      <c r="H851" s="147">
        <f>'Jrnl Exp ~ Dép'!H354</f>
        <v>0</v>
      </c>
      <c r="I851" s="147" t="str">
        <f t="shared" si="26"/>
        <v>0</v>
      </c>
      <c r="J851" s="148" t="b">
        <f t="shared" si="27"/>
        <v>0</v>
      </c>
      <c r="K851" s="169"/>
      <c r="L851" s="169">
        <f>'Jrnl Exp ~ Dép'!$G354</f>
        <v>0</v>
      </c>
      <c r="M851" s="151">
        <f>'Jrnl Exp ~ Dép'!E116</f>
        <v>0</v>
      </c>
      <c r="N851" s="167">
        <f>'Jrnl Exp ~ Dép'!$H116</f>
        <v>0</v>
      </c>
    </row>
    <row r="852" spans="2:14" s="1" customFormat="1" ht="30" hidden="1" customHeight="1" x14ac:dyDescent="0.15">
      <c r="B852" s="146">
        <f>IF(AND('Jrnl Exp ~ Dép'!$G355&lt;&gt;"",'Jrnl Exp ~ Dép'!$C355&lt;&gt;""),1,0)</f>
        <v>0</v>
      </c>
      <c r="C852" s="146">
        <f>'Jrnl Exp ~ Dép'!$C355</f>
        <v>0</v>
      </c>
      <c r="D852" s="168">
        <f>'Jrnl Exp ~ Dép'!$D355</f>
        <v>0</v>
      </c>
      <c r="E852" s="1510">
        <f>'Jrnl Exp ~ Dép'!$F355</f>
        <v>0</v>
      </c>
      <c r="F852" s="1510"/>
      <c r="G852" s="951" t="str">
        <f>IF('Jrnl Exp ~ Dép'!$E355="","",'Jrnl Exp ~ Dép'!$E355)</f>
        <v/>
      </c>
      <c r="H852" s="147">
        <f>'Jrnl Exp ~ Dép'!H355</f>
        <v>0</v>
      </c>
      <c r="I852" s="147" t="str">
        <f t="shared" si="26"/>
        <v>0</v>
      </c>
      <c r="J852" s="148" t="b">
        <f t="shared" si="27"/>
        <v>0</v>
      </c>
      <c r="K852" s="169"/>
      <c r="L852" s="169">
        <f>'Jrnl Exp ~ Dép'!$G355</f>
        <v>0</v>
      </c>
      <c r="M852" s="151">
        <f>'Jrnl Exp ~ Dép'!E117</f>
        <v>0</v>
      </c>
      <c r="N852" s="167">
        <f>'Jrnl Exp ~ Dép'!$H117</f>
        <v>0</v>
      </c>
    </row>
    <row r="853" spans="2:14" s="1" customFormat="1" ht="30" hidden="1" customHeight="1" x14ac:dyDescent="0.15">
      <c r="B853" s="146">
        <f>IF(AND('Jrnl Exp ~ Dép'!$G356&lt;&gt;"",'Jrnl Exp ~ Dép'!$C356&lt;&gt;""),1,0)</f>
        <v>0</v>
      </c>
      <c r="C853" s="146">
        <f>'Jrnl Exp ~ Dép'!$C356</f>
        <v>0</v>
      </c>
      <c r="D853" s="168">
        <f>'Jrnl Exp ~ Dép'!$D356</f>
        <v>0</v>
      </c>
      <c r="E853" s="1510">
        <f>'Jrnl Exp ~ Dép'!$F356</f>
        <v>0</v>
      </c>
      <c r="F853" s="1510"/>
      <c r="G853" s="951" t="str">
        <f>IF('Jrnl Exp ~ Dép'!$E356="","",'Jrnl Exp ~ Dép'!$E356)</f>
        <v/>
      </c>
      <c r="H853" s="147">
        <f>'Jrnl Exp ~ Dép'!H356</f>
        <v>0</v>
      </c>
      <c r="I853" s="147" t="str">
        <f t="shared" si="26"/>
        <v>0</v>
      </c>
      <c r="J853" s="148" t="b">
        <f t="shared" si="27"/>
        <v>0</v>
      </c>
      <c r="K853" s="169"/>
      <c r="L853" s="169">
        <f>'Jrnl Exp ~ Dép'!$G356</f>
        <v>0</v>
      </c>
      <c r="M853" s="151">
        <f>'Jrnl Exp ~ Dép'!E118</f>
        <v>0</v>
      </c>
      <c r="N853" s="167">
        <f>'Jrnl Exp ~ Dép'!$H118</f>
        <v>0</v>
      </c>
    </row>
    <row r="854" spans="2:14" s="1" customFormat="1" ht="30" hidden="1" customHeight="1" x14ac:dyDescent="0.15">
      <c r="B854" s="146">
        <f>IF(AND('Jrnl Exp ~ Dép'!$G357&lt;&gt;"",'Jrnl Exp ~ Dép'!$C357&lt;&gt;""),1,0)</f>
        <v>0</v>
      </c>
      <c r="C854" s="146">
        <f>'Jrnl Exp ~ Dép'!$C357</f>
        <v>0</v>
      </c>
      <c r="D854" s="168">
        <f>'Jrnl Exp ~ Dép'!$D357</f>
        <v>0</v>
      </c>
      <c r="E854" s="1510">
        <f>'Jrnl Exp ~ Dép'!$F357</f>
        <v>0</v>
      </c>
      <c r="F854" s="1510"/>
      <c r="G854" s="951" t="str">
        <f>IF('Jrnl Exp ~ Dép'!$E357="","",'Jrnl Exp ~ Dép'!$E357)</f>
        <v/>
      </c>
      <c r="H854" s="147">
        <f>'Jrnl Exp ~ Dép'!H357</f>
        <v>0</v>
      </c>
      <c r="I854" s="147" t="str">
        <f t="shared" si="26"/>
        <v>0</v>
      </c>
      <c r="J854" s="148" t="b">
        <f t="shared" si="27"/>
        <v>0</v>
      </c>
      <c r="K854" s="169"/>
      <c r="L854" s="169">
        <f>'Jrnl Exp ~ Dép'!$G357</f>
        <v>0</v>
      </c>
      <c r="M854" s="151">
        <f>'Jrnl Exp ~ Dép'!E119</f>
        <v>0</v>
      </c>
      <c r="N854" s="167">
        <f>'Jrnl Exp ~ Dép'!$H119</f>
        <v>0</v>
      </c>
    </row>
    <row r="855" spans="2:14" s="1" customFormat="1" ht="30" hidden="1" customHeight="1" x14ac:dyDescent="0.15">
      <c r="B855" s="146">
        <f>IF(AND('Jrnl Exp ~ Dép'!$G358&lt;&gt;"",'Jrnl Exp ~ Dép'!$C358&lt;&gt;""),1,0)</f>
        <v>0</v>
      </c>
      <c r="C855" s="146">
        <f>'Jrnl Exp ~ Dép'!$C358</f>
        <v>0</v>
      </c>
      <c r="D855" s="168">
        <f>'Jrnl Exp ~ Dép'!$D358</f>
        <v>0</v>
      </c>
      <c r="E855" s="1510">
        <f>'Jrnl Exp ~ Dép'!$F358</f>
        <v>0</v>
      </c>
      <c r="F855" s="1510"/>
      <c r="G855" s="951" t="str">
        <f>IF('Jrnl Exp ~ Dép'!$E358="","",'Jrnl Exp ~ Dép'!$E358)</f>
        <v/>
      </c>
      <c r="H855" s="147">
        <f>'Jrnl Exp ~ Dép'!H358</f>
        <v>0</v>
      </c>
      <c r="I855" s="147" t="str">
        <f t="shared" si="26"/>
        <v>0</v>
      </c>
      <c r="J855" s="148" t="b">
        <f t="shared" si="27"/>
        <v>0</v>
      </c>
      <c r="K855" s="169"/>
      <c r="L855" s="169">
        <f>'Jrnl Exp ~ Dép'!$G358</f>
        <v>0</v>
      </c>
      <c r="M855" s="151">
        <f>'Jrnl Exp ~ Dép'!E120</f>
        <v>0</v>
      </c>
      <c r="N855" s="167">
        <f>'Jrnl Exp ~ Dép'!$H120</f>
        <v>0</v>
      </c>
    </row>
    <row r="856" spans="2:14" s="1" customFormat="1" ht="30" hidden="1" customHeight="1" x14ac:dyDescent="0.15">
      <c r="B856" s="146">
        <f>IF(AND('Jrnl Exp ~ Dép'!$G359&lt;&gt;"",'Jrnl Exp ~ Dép'!$C359&lt;&gt;""),1,0)</f>
        <v>0</v>
      </c>
      <c r="C856" s="146">
        <f>'Jrnl Exp ~ Dép'!$C359</f>
        <v>0</v>
      </c>
      <c r="D856" s="168">
        <f>'Jrnl Exp ~ Dép'!$D359</f>
        <v>0</v>
      </c>
      <c r="E856" s="1510">
        <f>'Jrnl Exp ~ Dép'!$F359</f>
        <v>0</v>
      </c>
      <c r="F856" s="1510"/>
      <c r="G856" s="951" t="str">
        <f>IF('Jrnl Exp ~ Dép'!$E359="","",'Jrnl Exp ~ Dép'!$E359)</f>
        <v/>
      </c>
      <c r="H856" s="147">
        <f>'Jrnl Exp ~ Dép'!H359</f>
        <v>0</v>
      </c>
      <c r="I856" s="147" t="str">
        <f t="shared" si="26"/>
        <v>0</v>
      </c>
      <c r="J856" s="148" t="b">
        <f t="shared" si="27"/>
        <v>0</v>
      </c>
      <c r="K856" s="169"/>
      <c r="L856" s="169">
        <f>'Jrnl Exp ~ Dép'!$G359</f>
        <v>0</v>
      </c>
      <c r="M856" s="151">
        <f>'Jrnl Exp ~ Dép'!E121</f>
        <v>0</v>
      </c>
      <c r="N856" s="167">
        <f>'Jrnl Exp ~ Dép'!$H121</f>
        <v>0</v>
      </c>
    </row>
    <row r="857" spans="2:14" s="1" customFormat="1" ht="30" hidden="1" customHeight="1" x14ac:dyDescent="0.15">
      <c r="B857" s="146">
        <f>IF(AND('Jrnl Exp ~ Dép'!$G360&lt;&gt;"",'Jrnl Exp ~ Dép'!$C360&lt;&gt;""),1,0)</f>
        <v>0</v>
      </c>
      <c r="C857" s="146">
        <f>'Jrnl Exp ~ Dép'!$C360</f>
        <v>0</v>
      </c>
      <c r="D857" s="168">
        <f>'Jrnl Exp ~ Dép'!$D360</f>
        <v>0</v>
      </c>
      <c r="E857" s="1510">
        <f>'Jrnl Exp ~ Dép'!$F360</f>
        <v>0</v>
      </c>
      <c r="F857" s="1510"/>
      <c r="G857" s="951" t="str">
        <f>IF('Jrnl Exp ~ Dép'!$E360="","",'Jrnl Exp ~ Dép'!$E360)</f>
        <v/>
      </c>
      <c r="H857" s="147">
        <f>'Jrnl Exp ~ Dép'!H360</f>
        <v>0</v>
      </c>
      <c r="I857" s="147" t="str">
        <f t="shared" si="26"/>
        <v>0</v>
      </c>
      <c r="J857" s="148" t="b">
        <f t="shared" si="27"/>
        <v>0</v>
      </c>
      <c r="K857" s="169"/>
      <c r="L857" s="169">
        <f>'Jrnl Exp ~ Dép'!$G360</f>
        <v>0</v>
      </c>
      <c r="M857" s="151">
        <f>'Jrnl Exp ~ Dép'!E122</f>
        <v>0</v>
      </c>
      <c r="N857" s="167">
        <f>'Jrnl Exp ~ Dép'!$H122</f>
        <v>0</v>
      </c>
    </row>
    <row r="858" spans="2:14" s="1" customFormat="1" ht="30" hidden="1" customHeight="1" x14ac:dyDescent="0.15">
      <c r="B858" s="146">
        <f>IF(AND('Jrnl Exp ~ Dép'!$G361&lt;&gt;"",'Jrnl Exp ~ Dép'!$C361&lt;&gt;""),1,0)</f>
        <v>0</v>
      </c>
      <c r="C858" s="146">
        <f>'Jrnl Exp ~ Dép'!$C361</f>
        <v>0</v>
      </c>
      <c r="D858" s="168">
        <f>'Jrnl Exp ~ Dép'!$D361</f>
        <v>0</v>
      </c>
      <c r="E858" s="1510">
        <f>'Jrnl Exp ~ Dép'!$F361</f>
        <v>0</v>
      </c>
      <c r="F858" s="1510"/>
      <c r="G858" s="951" t="str">
        <f>IF('Jrnl Exp ~ Dép'!$E361="","",'Jrnl Exp ~ Dép'!$E361)</f>
        <v/>
      </c>
      <c r="H858" s="147">
        <f>'Jrnl Exp ~ Dép'!H361</f>
        <v>0</v>
      </c>
      <c r="I858" s="147" t="str">
        <f t="shared" si="26"/>
        <v>0</v>
      </c>
      <c r="J858" s="148" t="b">
        <f t="shared" si="27"/>
        <v>0</v>
      </c>
      <c r="K858" s="169"/>
      <c r="L858" s="169">
        <f>'Jrnl Exp ~ Dép'!$G361</f>
        <v>0</v>
      </c>
      <c r="M858" s="151">
        <f>'Jrnl Exp ~ Dép'!E123</f>
        <v>0</v>
      </c>
      <c r="N858" s="167">
        <f>'Jrnl Exp ~ Dép'!$H123</f>
        <v>0</v>
      </c>
    </row>
    <row r="859" spans="2:14" s="1" customFormat="1" ht="30" hidden="1" customHeight="1" x14ac:dyDescent="0.15">
      <c r="B859" s="146">
        <f>IF(AND('Jrnl Exp ~ Dép'!$G362&lt;&gt;"",'Jrnl Exp ~ Dép'!$C362&lt;&gt;""),1,0)</f>
        <v>0</v>
      </c>
      <c r="C859" s="146">
        <f>'Jrnl Exp ~ Dép'!$C362</f>
        <v>0</v>
      </c>
      <c r="D859" s="168">
        <f>'Jrnl Exp ~ Dép'!$D362</f>
        <v>0</v>
      </c>
      <c r="E859" s="1510">
        <f>'Jrnl Exp ~ Dép'!$F362</f>
        <v>0</v>
      </c>
      <c r="F859" s="1510"/>
      <c r="G859" s="951" t="str">
        <f>IF('Jrnl Exp ~ Dép'!$E362="","",'Jrnl Exp ~ Dép'!$E362)</f>
        <v/>
      </c>
      <c r="H859" s="147">
        <f>'Jrnl Exp ~ Dép'!H362</f>
        <v>0</v>
      </c>
      <c r="I859" s="147" t="str">
        <f t="shared" si="26"/>
        <v>0</v>
      </c>
      <c r="J859" s="148" t="b">
        <f t="shared" si="27"/>
        <v>0</v>
      </c>
      <c r="K859" s="169"/>
      <c r="L859" s="169">
        <f>'Jrnl Exp ~ Dép'!$G362</f>
        <v>0</v>
      </c>
      <c r="M859" s="151">
        <f>'Jrnl Exp ~ Dép'!E124</f>
        <v>0</v>
      </c>
      <c r="N859" s="167">
        <f>'Jrnl Exp ~ Dép'!$H124</f>
        <v>0</v>
      </c>
    </row>
    <row r="860" spans="2:14" s="1" customFormat="1" ht="30" hidden="1" customHeight="1" x14ac:dyDescent="0.15">
      <c r="B860" s="146">
        <f>IF(AND('Jrnl Exp ~ Dép'!$G363&lt;&gt;"",'Jrnl Exp ~ Dép'!$C363&lt;&gt;""),1,0)</f>
        <v>0</v>
      </c>
      <c r="C860" s="146">
        <f>'Jrnl Exp ~ Dép'!$C363</f>
        <v>0</v>
      </c>
      <c r="D860" s="168">
        <f>'Jrnl Exp ~ Dép'!$D363</f>
        <v>0</v>
      </c>
      <c r="E860" s="1510">
        <f>'Jrnl Exp ~ Dép'!$F363</f>
        <v>0</v>
      </c>
      <c r="F860" s="1510"/>
      <c r="G860" s="951" t="str">
        <f>IF('Jrnl Exp ~ Dép'!$E363="","",'Jrnl Exp ~ Dép'!$E363)</f>
        <v/>
      </c>
      <c r="H860" s="147">
        <f>'Jrnl Exp ~ Dép'!H363</f>
        <v>0</v>
      </c>
      <c r="I860" s="147" t="str">
        <f t="shared" si="26"/>
        <v>0</v>
      </c>
      <c r="J860" s="148" t="b">
        <f t="shared" si="27"/>
        <v>0</v>
      </c>
      <c r="K860" s="169"/>
      <c r="L860" s="169">
        <f>'Jrnl Exp ~ Dép'!$G363</f>
        <v>0</v>
      </c>
      <c r="M860" s="151">
        <f>'Jrnl Exp ~ Dép'!E125</f>
        <v>0</v>
      </c>
      <c r="N860" s="167">
        <f>'Jrnl Exp ~ Dép'!$H125</f>
        <v>0</v>
      </c>
    </row>
    <row r="861" spans="2:14" s="1" customFormat="1" ht="30" hidden="1" customHeight="1" x14ac:dyDescent="0.15">
      <c r="B861" s="146">
        <f>IF(AND('Jrnl Exp ~ Dép'!$G364&lt;&gt;"",'Jrnl Exp ~ Dép'!$C364&lt;&gt;""),1,0)</f>
        <v>0</v>
      </c>
      <c r="C861" s="146">
        <f>'Jrnl Exp ~ Dép'!$C364</f>
        <v>0</v>
      </c>
      <c r="D861" s="168">
        <f>'Jrnl Exp ~ Dép'!$D364</f>
        <v>0</v>
      </c>
      <c r="E861" s="1510">
        <f>'Jrnl Exp ~ Dép'!$F364</f>
        <v>0</v>
      </c>
      <c r="F861" s="1510"/>
      <c r="G861" s="951" t="str">
        <f>IF('Jrnl Exp ~ Dép'!$E364="","",'Jrnl Exp ~ Dép'!$E364)</f>
        <v/>
      </c>
      <c r="H861" s="147">
        <f>'Jrnl Exp ~ Dép'!H364</f>
        <v>0</v>
      </c>
      <c r="I861" s="147" t="str">
        <f t="shared" si="26"/>
        <v>0</v>
      </c>
      <c r="J861" s="148" t="b">
        <f t="shared" si="27"/>
        <v>0</v>
      </c>
      <c r="K861" s="169"/>
      <c r="L861" s="169">
        <f>'Jrnl Exp ~ Dép'!$G364</f>
        <v>0</v>
      </c>
      <c r="M861" s="151">
        <f>'Jrnl Exp ~ Dép'!E126</f>
        <v>0</v>
      </c>
      <c r="N861" s="167">
        <f>'Jrnl Exp ~ Dép'!$H126</f>
        <v>0</v>
      </c>
    </row>
    <row r="862" spans="2:14" s="1" customFormat="1" ht="30" hidden="1" customHeight="1" x14ac:dyDescent="0.15">
      <c r="B862" s="146">
        <f>IF(AND('Jrnl Exp ~ Dép'!$G365&lt;&gt;"",'Jrnl Exp ~ Dép'!$C365&lt;&gt;""),1,0)</f>
        <v>0</v>
      </c>
      <c r="C862" s="146">
        <f>'Jrnl Exp ~ Dép'!$C365</f>
        <v>0</v>
      </c>
      <c r="D862" s="168">
        <f>'Jrnl Exp ~ Dép'!$D365</f>
        <v>0</v>
      </c>
      <c r="E862" s="1510">
        <f>'Jrnl Exp ~ Dép'!$F365</f>
        <v>0</v>
      </c>
      <c r="F862" s="1510"/>
      <c r="G862" s="951" t="str">
        <f>IF('Jrnl Exp ~ Dép'!$E365="","",'Jrnl Exp ~ Dép'!$E365)</f>
        <v/>
      </c>
      <c r="H862" s="147">
        <f>'Jrnl Exp ~ Dép'!H365</f>
        <v>0</v>
      </c>
      <c r="I862" s="147" t="str">
        <f t="shared" si="26"/>
        <v>0</v>
      </c>
      <c r="J862" s="148" t="b">
        <f t="shared" si="27"/>
        <v>0</v>
      </c>
      <c r="K862" s="169"/>
      <c r="L862" s="169">
        <f>'Jrnl Exp ~ Dép'!$G365</f>
        <v>0</v>
      </c>
      <c r="M862" s="151">
        <f>'Jrnl Exp ~ Dép'!E127</f>
        <v>0</v>
      </c>
      <c r="N862" s="167">
        <f>'Jrnl Exp ~ Dép'!$H127</f>
        <v>0</v>
      </c>
    </row>
    <row r="863" spans="2:14" s="1" customFormat="1" ht="30" hidden="1" customHeight="1" x14ac:dyDescent="0.15">
      <c r="B863" s="146">
        <f>IF(AND('Jrnl Exp ~ Dép'!$G366&lt;&gt;"",'Jrnl Exp ~ Dép'!$C366&lt;&gt;""),1,0)</f>
        <v>0</v>
      </c>
      <c r="C863" s="146">
        <f>'Jrnl Exp ~ Dép'!$C366</f>
        <v>0</v>
      </c>
      <c r="D863" s="168">
        <f>'Jrnl Exp ~ Dép'!$D366</f>
        <v>0</v>
      </c>
      <c r="E863" s="1510">
        <f>'Jrnl Exp ~ Dép'!$F366</f>
        <v>0</v>
      </c>
      <c r="F863" s="1510"/>
      <c r="G863" s="951" t="str">
        <f>IF('Jrnl Exp ~ Dép'!$E366="","",'Jrnl Exp ~ Dép'!$E366)</f>
        <v/>
      </c>
      <c r="H863" s="147">
        <f>'Jrnl Exp ~ Dép'!H366</f>
        <v>0</v>
      </c>
      <c r="I863" s="147" t="str">
        <f t="shared" si="26"/>
        <v>0</v>
      </c>
      <c r="J863" s="148" t="b">
        <f t="shared" si="27"/>
        <v>0</v>
      </c>
      <c r="K863" s="169"/>
      <c r="L863" s="169">
        <f>'Jrnl Exp ~ Dép'!$G366</f>
        <v>0</v>
      </c>
      <c r="M863" s="151">
        <f>'Jrnl Exp ~ Dép'!E128</f>
        <v>0</v>
      </c>
      <c r="N863" s="167">
        <f>'Jrnl Exp ~ Dép'!$H128</f>
        <v>0</v>
      </c>
    </row>
    <row r="864" spans="2:14" s="1" customFormat="1" ht="30" hidden="1" customHeight="1" x14ac:dyDescent="0.15">
      <c r="B864" s="146">
        <f>IF(AND('Jrnl Exp ~ Dép'!$G367&lt;&gt;"",'Jrnl Exp ~ Dép'!$C367&lt;&gt;""),1,0)</f>
        <v>0</v>
      </c>
      <c r="C864" s="146">
        <f>'Jrnl Exp ~ Dép'!$C367</f>
        <v>0</v>
      </c>
      <c r="D864" s="168">
        <f>'Jrnl Exp ~ Dép'!$D367</f>
        <v>0</v>
      </c>
      <c r="E864" s="1510">
        <f>'Jrnl Exp ~ Dép'!$F367</f>
        <v>0</v>
      </c>
      <c r="F864" s="1510"/>
      <c r="G864" s="951" t="str">
        <f>IF('Jrnl Exp ~ Dép'!$E367="","",'Jrnl Exp ~ Dép'!$E367)</f>
        <v/>
      </c>
      <c r="H864" s="147">
        <f>'Jrnl Exp ~ Dép'!H367</f>
        <v>0</v>
      </c>
      <c r="I864" s="147" t="str">
        <f t="shared" si="26"/>
        <v>0</v>
      </c>
      <c r="J864" s="148" t="b">
        <f t="shared" si="27"/>
        <v>0</v>
      </c>
      <c r="K864" s="169"/>
      <c r="L864" s="169">
        <f>'Jrnl Exp ~ Dép'!$G367</f>
        <v>0</v>
      </c>
      <c r="M864" s="151">
        <f>'Jrnl Exp ~ Dép'!E129</f>
        <v>0</v>
      </c>
      <c r="N864" s="167">
        <f>'Jrnl Exp ~ Dép'!$H129</f>
        <v>0</v>
      </c>
    </row>
    <row r="865" spans="2:14" s="1" customFormat="1" ht="30" hidden="1" customHeight="1" x14ac:dyDescent="0.15">
      <c r="B865" s="146">
        <f>IF(AND('Jrnl Exp ~ Dép'!$G368&lt;&gt;"",'Jrnl Exp ~ Dép'!$C368&lt;&gt;""),1,0)</f>
        <v>0</v>
      </c>
      <c r="C865" s="146">
        <f>'Jrnl Exp ~ Dép'!$C368</f>
        <v>0</v>
      </c>
      <c r="D865" s="168">
        <f>'Jrnl Exp ~ Dép'!$D368</f>
        <v>0</v>
      </c>
      <c r="E865" s="1510">
        <f>'Jrnl Exp ~ Dép'!$F368</f>
        <v>0</v>
      </c>
      <c r="F865" s="1510"/>
      <c r="G865" s="951" t="str">
        <f>IF('Jrnl Exp ~ Dép'!$E368="","",'Jrnl Exp ~ Dép'!$E368)</f>
        <v/>
      </c>
      <c r="H865" s="147">
        <f>'Jrnl Exp ~ Dép'!H368</f>
        <v>0</v>
      </c>
      <c r="I865" s="147" t="str">
        <f t="shared" si="26"/>
        <v>0</v>
      </c>
      <c r="J865" s="148" t="b">
        <f t="shared" si="27"/>
        <v>0</v>
      </c>
      <c r="K865" s="169"/>
      <c r="L865" s="169">
        <f>'Jrnl Exp ~ Dép'!$G368</f>
        <v>0</v>
      </c>
      <c r="M865" s="151">
        <f>'Jrnl Exp ~ Dép'!E130</f>
        <v>0</v>
      </c>
      <c r="N865" s="167">
        <f>'Jrnl Exp ~ Dép'!$H130</f>
        <v>0</v>
      </c>
    </row>
    <row r="866" spans="2:14" s="1" customFormat="1" ht="30" hidden="1" customHeight="1" x14ac:dyDescent="0.15">
      <c r="B866" s="146">
        <f>IF(AND('Jrnl Exp ~ Dép'!$G369&lt;&gt;"",'Jrnl Exp ~ Dép'!$C369&lt;&gt;""),1,0)</f>
        <v>0</v>
      </c>
      <c r="C866" s="146">
        <f>'Jrnl Exp ~ Dép'!$C369</f>
        <v>0</v>
      </c>
      <c r="D866" s="168">
        <f>'Jrnl Exp ~ Dép'!$D369</f>
        <v>0</v>
      </c>
      <c r="E866" s="1510">
        <f>'Jrnl Exp ~ Dép'!$F369</f>
        <v>0</v>
      </c>
      <c r="F866" s="1510"/>
      <c r="G866" s="951" t="str">
        <f>IF('Jrnl Exp ~ Dép'!$E369="","",'Jrnl Exp ~ Dép'!$E369)</f>
        <v/>
      </c>
      <c r="H866" s="147">
        <f>'Jrnl Exp ~ Dép'!H369</f>
        <v>0</v>
      </c>
      <c r="I866" s="147" t="str">
        <f t="shared" si="26"/>
        <v>0</v>
      </c>
      <c r="J866" s="148" t="b">
        <f t="shared" si="27"/>
        <v>0</v>
      </c>
      <c r="K866" s="169"/>
      <c r="L866" s="169">
        <f>'Jrnl Exp ~ Dép'!$G369</f>
        <v>0</v>
      </c>
      <c r="M866" s="151">
        <f>'Jrnl Exp ~ Dép'!E131</f>
        <v>0</v>
      </c>
      <c r="N866" s="167">
        <f>'Jrnl Exp ~ Dép'!$H131</f>
        <v>0</v>
      </c>
    </row>
    <row r="867" spans="2:14" s="1" customFormat="1" ht="30" hidden="1" customHeight="1" x14ac:dyDescent="0.15">
      <c r="B867" s="146">
        <f>IF(AND('Jrnl Exp ~ Dép'!$G370&lt;&gt;"",'Jrnl Exp ~ Dép'!$C370&lt;&gt;""),1,0)</f>
        <v>0</v>
      </c>
      <c r="C867" s="146">
        <f>'Jrnl Exp ~ Dép'!$C370</f>
        <v>0</v>
      </c>
      <c r="D867" s="168">
        <f>'Jrnl Exp ~ Dép'!$D370</f>
        <v>0</v>
      </c>
      <c r="E867" s="1510">
        <f>'Jrnl Exp ~ Dép'!$F370</f>
        <v>0</v>
      </c>
      <c r="F867" s="1510"/>
      <c r="G867" s="951" t="str">
        <f>IF('Jrnl Exp ~ Dép'!$E370="","",'Jrnl Exp ~ Dép'!$E370)</f>
        <v/>
      </c>
      <c r="H867" s="147">
        <f>'Jrnl Exp ~ Dép'!H370</f>
        <v>0</v>
      </c>
      <c r="I867" s="147" t="str">
        <f t="shared" si="26"/>
        <v>0</v>
      </c>
      <c r="J867" s="148" t="b">
        <f t="shared" si="27"/>
        <v>0</v>
      </c>
      <c r="K867" s="169"/>
      <c r="L867" s="169">
        <f>'Jrnl Exp ~ Dép'!$G370</f>
        <v>0</v>
      </c>
      <c r="M867" s="151">
        <f>'Jrnl Exp ~ Dép'!E132</f>
        <v>0</v>
      </c>
      <c r="N867" s="167">
        <f>'Jrnl Exp ~ Dép'!$H132</f>
        <v>0</v>
      </c>
    </row>
    <row r="868" spans="2:14" s="1" customFormat="1" ht="30" hidden="1" customHeight="1" x14ac:dyDescent="0.15">
      <c r="B868" s="146">
        <f>IF(AND('Jrnl Exp ~ Dép'!$G371&lt;&gt;"",'Jrnl Exp ~ Dép'!$C371&lt;&gt;""),1,0)</f>
        <v>0</v>
      </c>
      <c r="C868" s="146">
        <f>'Jrnl Exp ~ Dép'!$C371</f>
        <v>0</v>
      </c>
      <c r="D868" s="168">
        <f>'Jrnl Exp ~ Dép'!$D371</f>
        <v>0</v>
      </c>
      <c r="E868" s="1510">
        <f>'Jrnl Exp ~ Dép'!$F371</f>
        <v>0</v>
      </c>
      <c r="F868" s="1510"/>
      <c r="G868" s="951" t="str">
        <f>IF('Jrnl Exp ~ Dép'!$E371="","",'Jrnl Exp ~ Dép'!$E371)</f>
        <v/>
      </c>
      <c r="H868" s="147">
        <f>'Jrnl Exp ~ Dép'!H371</f>
        <v>0</v>
      </c>
      <c r="I868" s="147" t="str">
        <f t="shared" si="26"/>
        <v>0</v>
      </c>
      <c r="J868" s="148" t="b">
        <f t="shared" si="27"/>
        <v>0</v>
      </c>
      <c r="K868" s="169"/>
      <c r="L868" s="169">
        <f>'Jrnl Exp ~ Dép'!$G371</f>
        <v>0</v>
      </c>
      <c r="M868" s="151">
        <f>'Jrnl Exp ~ Dép'!E133</f>
        <v>0</v>
      </c>
      <c r="N868" s="167">
        <f>'Jrnl Exp ~ Dép'!$H133</f>
        <v>0</v>
      </c>
    </row>
    <row r="869" spans="2:14" s="1" customFormat="1" ht="30" hidden="1" customHeight="1" x14ac:dyDescent="0.15">
      <c r="B869" s="146">
        <f>IF(AND('Jrnl Exp ~ Dép'!$G372&lt;&gt;"",'Jrnl Exp ~ Dép'!$C372&lt;&gt;""),1,0)</f>
        <v>0</v>
      </c>
      <c r="C869" s="146">
        <f>'Jrnl Exp ~ Dép'!$C372</f>
        <v>0</v>
      </c>
      <c r="D869" s="168">
        <f>'Jrnl Exp ~ Dép'!$D372</f>
        <v>0</v>
      </c>
      <c r="E869" s="1510">
        <f>'Jrnl Exp ~ Dép'!$F372</f>
        <v>0</v>
      </c>
      <c r="F869" s="1510"/>
      <c r="G869" s="951" t="str">
        <f>IF('Jrnl Exp ~ Dép'!$E372="","",'Jrnl Exp ~ Dép'!$E372)</f>
        <v/>
      </c>
      <c r="H869" s="147">
        <f>'Jrnl Exp ~ Dép'!H372</f>
        <v>0</v>
      </c>
      <c r="I869" s="147" t="str">
        <f t="shared" si="26"/>
        <v>0</v>
      </c>
      <c r="J869" s="148" t="b">
        <f t="shared" si="27"/>
        <v>0</v>
      </c>
      <c r="K869" s="169"/>
      <c r="L869" s="169">
        <f>'Jrnl Exp ~ Dép'!$G372</f>
        <v>0</v>
      </c>
      <c r="M869" s="151">
        <f>'Jrnl Exp ~ Dép'!E134</f>
        <v>0</v>
      </c>
      <c r="N869" s="167">
        <f>'Jrnl Exp ~ Dép'!$H134</f>
        <v>0</v>
      </c>
    </row>
    <row r="870" spans="2:14" s="1" customFormat="1" ht="30" hidden="1" customHeight="1" x14ac:dyDescent="0.15">
      <c r="B870" s="146">
        <f>IF(AND('Jrnl Exp ~ Dép'!$G373&lt;&gt;"",'Jrnl Exp ~ Dép'!$C373&lt;&gt;""),1,0)</f>
        <v>0</v>
      </c>
      <c r="C870" s="146">
        <f>'Jrnl Exp ~ Dép'!$C373</f>
        <v>0</v>
      </c>
      <c r="D870" s="168">
        <f>'Jrnl Exp ~ Dép'!$D373</f>
        <v>0</v>
      </c>
      <c r="E870" s="1510">
        <f>'Jrnl Exp ~ Dép'!$F373</f>
        <v>0</v>
      </c>
      <c r="F870" s="1510"/>
      <c r="G870" s="951" t="str">
        <f>IF('Jrnl Exp ~ Dép'!$E373="","",'Jrnl Exp ~ Dép'!$E373)</f>
        <v/>
      </c>
      <c r="H870" s="147">
        <f>'Jrnl Exp ~ Dép'!H373</f>
        <v>0</v>
      </c>
      <c r="I870" s="147" t="str">
        <f t="shared" si="26"/>
        <v>0</v>
      </c>
      <c r="J870" s="148" t="b">
        <f t="shared" si="27"/>
        <v>0</v>
      </c>
      <c r="K870" s="169"/>
      <c r="L870" s="169">
        <f>'Jrnl Exp ~ Dép'!$G373</f>
        <v>0</v>
      </c>
      <c r="M870" s="151">
        <f>'Jrnl Exp ~ Dép'!E135</f>
        <v>0</v>
      </c>
      <c r="N870" s="167">
        <f>'Jrnl Exp ~ Dép'!$H135</f>
        <v>0</v>
      </c>
    </row>
    <row r="871" spans="2:14" s="1" customFormat="1" ht="30" hidden="1" customHeight="1" x14ac:dyDescent="0.15">
      <c r="B871" s="146">
        <f>IF(AND('Jrnl Exp ~ Dép'!$G374&lt;&gt;"",'Jrnl Exp ~ Dép'!$C374&lt;&gt;""),1,0)</f>
        <v>0</v>
      </c>
      <c r="C871" s="146">
        <f>'Jrnl Exp ~ Dép'!$C374</f>
        <v>0</v>
      </c>
      <c r="D871" s="168">
        <f>'Jrnl Exp ~ Dép'!$D374</f>
        <v>0</v>
      </c>
      <c r="E871" s="1510">
        <f>'Jrnl Exp ~ Dép'!$F374</f>
        <v>0</v>
      </c>
      <c r="F871" s="1510"/>
      <c r="G871" s="951" t="str">
        <f>IF('Jrnl Exp ~ Dép'!$E374="","",'Jrnl Exp ~ Dép'!$E374)</f>
        <v/>
      </c>
      <c r="H871" s="147">
        <f>'Jrnl Exp ~ Dép'!H374</f>
        <v>0</v>
      </c>
      <c r="I871" s="147" t="str">
        <f t="shared" si="26"/>
        <v>0</v>
      </c>
      <c r="J871" s="148" t="b">
        <f t="shared" si="27"/>
        <v>0</v>
      </c>
      <c r="K871" s="169"/>
      <c r="L871" s="169">
        <f>'Jrnl Exp ~ Dép'!$G374</f>
        <v>0</v>
      </c>
      <c r="M871" s="151">
        <f>'Jrnl Exp ~ Dép'!E136</f>
        <v>0</v>
      </c>
      <c r="N871" s="167">
        <f>'Jrnl Exp ~ Dép'!$H136</f>
        <v>0</v>
      </c>
    </row>
    <row r="872" spans="2:14" s="1" customFormat="1" ht="30" hidden="1" customHeight="1" x14ac:dyDescent="0.15">
      <c r="B872" s="146">
        <f>IF(AND('Jrnl Exp ~ Dép'!$G375&lt;&gt;"",'Jrnl Exp ~ Dép'!$C375&lt;&gt;""),1,0)</f>
        <v>0</v>
      </c>
      <c r="C872" s="146">
        <f>'Jrnl Exp ~ Dép'!$C375</f>
        <v>0</v>
      </c>
      <c r="D872" s="168">
        <f>'Jrnl Exp ~ Dép'!$D375</f>
        <v>0</v>
      </c>
      <c r="E872" s="1510">
        <f>'Jrnl Exp ~ Dép'!$F375</f>
        <v>0</v>
      </c>
      <c r="F872" s="1510"/>
      <c r="G872" s="951" t="str">
        <f>IF('Jrnl Exp ~ Dép'!$E375="","",'Jrnl Exp ~ Dép'!$E375)</f>
        <v/>
      </c>
      <c r="H872" s="147">
        <f>'Jrnl Exp ~ Dép'!H375</f>
        <v>0</v>
      </c>
      <c r="I872" s="147" t="str">
        <f t="shared" si="26"/>
        <v>0</v>
      </c>
      <c r="J872" s="148" t="b">
        <f t="shared" si="27"/>
        <v>0</v>
      </c>
      <c r="K872" s="169"/>
      <c r="L872" s="169">
        <f>'Jrnl Exp ~ Dép'!$G375</f>
        <v>0</v>
      </c>
      <c r="M872" s="151">
        <f>'Jrnl Exp ~ Dép'!E137</f>
        <v>0</v>
      </c>
      <c r="N872" s="167">
        <f>'Jrnl Exp ~ Dép'!$H137</f>
        <v>0</v>
      </c>
    </row>
    <row r="873" spans="2:14" s="1" customFormat="1" ht="30" hidden="1" customHeight="1" x14ac:dyDescent="0.15">
      <c r="B873" s="146">
        <f>IF(AND('Jrnl Exp ~ Dép'!$G376&lt;&gt;"",'Jrnl Exp ~ Dép'!$C376&lt;&gt;""),1,0)</f>
        <v>0</v>
      </c>
      <c r="C873" s="146">
        <f>'Jrnl Exp ~ Dép'!$C376</f>
        <v>0</v>
      </c>
      <c r="D873" s="168">
        <f>'Jrnl Exp ~ Dép'!$D376</f>
        <v>0</v>
      </c>
      <c r="E873" s="1510">
        <f>'Jrnl Exp ~ Dép'!$F376</f>
        <v>0</v>
      </c>
      <c r="F873" s="1510"/>
      <c r="G873" s="951" t="str">
        <f>IF('Jrnl Exp ~ Dép'!$E376="","",'Jrnl Exp ~ Dép'!$E376)</f>
        <v/>
      </c>
      <c r="H873" s="147">
        <f>'Jrnl Exp ~ Dép'!H376</f>
        <v>0</v>
      </c>
      <c r="I873" s="147" t="str">
        <f t="shared" si="26"/>
        <v>0</v>
      </c>
      <c r="J873" s="148" t="b">
        <f t="shared" si="27"/>
        <v>0</v>
      </c>
      <c r="K873" s="169"/>
      <c r="L873" s="169">
        <f>'Jrnl Exp ~ Dép'!$G376</f>
        <v>0</v>
      </c>
      <c r="M873" s="151">
        <f>'Jrnl Exp ~ Dép'!E138</f>
        <v>0</v>
      </c>
      <c r="N873" s="167">
        <f>'Jrnl Exp ~ Dép'!$H138</f>
        <v>0</v>
      </c>
    </row>
    <row r="874" spans="2:14" s="1" customFormat="1" ht="30" hidden="1" customHeight="1" x14ac:dyDescent="0.15">
      <c r="B874" s="146">
        <f>IF(AND('Jrnl Exp ~ Dép'!$G377&lt;&gt;"",'Jrnl Exp ~ Dép'!$C377&lt;&gt;""),1,0)</f>
        <v>0</v>
      </c>
      <c r="C874" s="146">
        <f>'Jrnl Exp ~ Dép'!$C377</f>
        <v>0</v>
      </c>
      <c r="D874" s="168">
        <f>'Jrnl Exp ~ Dép'!$D377</f>
        <v>0</v>
      </c>
      <c r="E874" s="1510">
        <f>'Jrnl Exp ~ Dép'!$F377</f>
        <v>0</v>
      </c>
      <c r="F874" s="1510"/>
      <c r="G874" s="951" t="str">
        <f>IF('Jrnl Exp ~ Dép'!$E377="","",'Jrnl Exp ~ Dép'!$E377)</f>
        <v/>
      </c>
      <c r="H874" s="147">
        <f>'Jrnl Exp ~ Dép'!H377</f>
        <v>0</v>
      </c>
      <c r="I874" s="147" t="str">
        <f t="shared" si="26"/>
        <v>0</v>
      </c>
      <c r="J874" s="148" t="b">
        <f t="shared" si="27"/>
        <v>0</v>
      </c>
      <c r="K874" s="169"/>
      <c r="L874" s="169">
        <f>'Jrnl Exp ~ Dép'!$G377</f>
        <v>0</v>
      </c>
      <c r="M874" s="151">
        <f>'Jrnl Exp ~ Dép'!E139</f>
        <v>0</v>
      </c>
      <c r="N874" s="167">
        <f>'Jrnl Exp ~ Dép'!$H139</f>
        <v>0</v>
      </c>
    </row>
    <row r="875" spans="2:14" s="1" customFormat="1" ht="30" hidden="1" customHeight="1" x14ac:dyDescent="0.15">
      <c r="B875" s="146">
        <f>IF(AND('Jrnl Exp ~ Dép'!$G378&lt;&gt;"",'Jrnl Exp ~ Dép'!$C378&lt;&gt;""),1,0)</f>
        <v>0</v>
      </c>
      <c r="C875" s="146">
        <f>'Jrnl Exp ~ Dép'!$C378</f>
        <v>0</v>
      </c>
      <c r="D875" s="168">
        <f>'Jrnl Exp ~ Dép'!$D378</f>
        <v>0</v>
      </c>
      <c r="E875" s="1510">
        <f>'Jrnl Exp ~ Dép'!$F378</f>
        <v>0</v>
      </c>
      <c r="F875" s="1510"/>
      <c r="G875" s="951" t="str">
        <f>IF('Jrnl Exp ~ Dép'!$E378="","",'Jrnl Exp ~ Dép'!$E378)</f>
        <v/>
      </c>
      <c r="H875" s="147">
        <f>'Jrnl Exp ~ Dép'!H378</f>
        <v>0</v>
      </c>
      <c r="I875" s="147" t="str">
        <f t="shared" si="26"/>
        <v>0</v>
      </c>
      <c r="J875" s="148" t="b">
        <f t="shared" si="27"/>
        <v>0</v>
      </c>
      <c r="K875" s="169"/>
      <c r="L875" s="169">
        <f>'Jrnl Exp ~ Dép'!$G378</f>
        <v>0</v>
      </c>
      <c r="M875" s="151">
        <f>'Jrnl Exp ~ Dép'!E140</f>
        <v>0</v>
      </c>
      <c r="N875" s="167">
        <f>'Jrnl Exp ~ Dép'!$H140</f>
        <v>0</v>
      </c>
    </row>
    <row r="876" spans="2:14" s="1" customFormat="1" ht="30" hidden="1" customHeight="1" x14ac:dyDescent="0.15">
      <c r="B876" s="146">
        <f>IF(AND('Jrnl Exp ~ Dép'!$G379&lt;&gt;"",'Jrnl Exp ~ Dép'!$C379&lt;&gt;""),1,0)</f>
        <v>0</v>
      </c>
      <c r="C876" s="146">
        <f>'Jrnl Exp ~ Dép'!$C379</f>
        <v>0</v>
      </c>
      <c r="D876" s="168">
        <f>'Jrnl Exp ~ Dép'!$D379</f>
        <v>0</v>
      </c>
      <c r="E876" s="1510">
        <f>'Jrnl Exp ~ Dép'!$F379</f>
        <v>0</v>
      </c>
      <c r="F876" s="1510"/>
      <c r="G876" s="951" t="str">
        <f>IF('Jrnl Exp ~ Dép'!$E379="","",'Jrnl Exp ~ Dép'!$E379)</f>
        <v/>
      </c>
      <c r="H876" s="147">
        <f>'Jrnl Exp ~ Dép'!H379</f>
        <v>0</v>
      </c>
      <c r="I876" s="147" t="str">
        <f t="shared" si="26"/>
        <v>0</v>
      </c>
      <c r="J876" s="148" t="b">
        <f t="shared" si="27"/>
        <v>0</v>
      </c>
      <c r="K876" s="169"/>
      <c r="L876" s="169">
        <f>'Jrnl Exp ~ Dép'!$G379</f>
        <v>0</v>
      </c>
      <c r="M876" s="151">
        <f>'Jrnl Exp ~ Dép'!E141</f>
        <v>0</v>
      </c>
      <c r="N876" s="167">
        <f>'Jrnl Exp ~ Dép'!$H141</f>
        <v>0</v>
      </c>
    </row>
    <row r="877" spans="2:14" s="1" customFormat="1" ht="30" hidden="1" customHeight="1" x14ac:dyDescent="0.15">
      <c r="B877" s="146">
        <f>IF(AND('Jrnl Exp ~ Dép'!$G380&lt;&gt;"",'Jrnl Exp ~ Dép'!$C380&lt;&gt;""),1,0)</f>
        <v>0</v>
      </c>
      <c r="C877" s="146">
        <f>'Jrnl Exp ~ Dép'!$C380</f>
        <v>0</v>
      </c>
      <c r="D877" s="168">
        <f>'Jrnl Exp ~ Dép'!$D380</f>
        <v>0</v>
      </c>
      <c r="E877" s="1510">
        <f>'Jrnl Exp ~ Dép'!$F380</f>
        <v>0</v>
      </c>
      <c r="F877" s="1510"/>
      <c r="G877" s="951" t="str">
        <f>IF('Jrnl Exp ~ Dép'!$E380="","",'Jrnl Exp ~ Dép'!$E380)</f>
        <v/>
      </c>
      <c r="H877" s="147">
        <f>'Jrnl Exp ~ Dép'!H380</f>
        <v>0</v>
      </c>
      <c r="I877" s="147" t="str">
        <f t="shared" si="26"/>
        <v>0</v>
      </c>
      <c r="J877" s="148" t="b">
        <f t="shared" si="27"/>
        <v>0</v>
      </c>
      <c r="K877" s="169"/>
      <c r="L877" s="169">
        <f>'Jrnl Exp ~ Dép'!$G380</f>
        <v>0</v>
      </c>
      <c r="M877" s="151">
        <f>'Jrnl Exp ~ Dép'!E142</f>
        <v>0</v>
      </c>
      <c r="N877" s="167">
        <f>'Jrnl Exp ~ Dép'!$H142</f>
        <v>0</v>
      </c>
    </row>
    <row r="878" spans="2:14" s="1" customFormat="1" ht="30" hidden="1" customHeight="1" x14ac:dyDescent="0.15">
      <c r="B878" s="146">
        <f>IF(AND('Jrnl Exp ~ Dép'!$G381&lt;&gt;"",'Jrnl Exp ~ Dép'!$C381&lt;&gt;""),1,0)</f>
        <v>0</v>
      </c>
      <c r="C878" s="146">
        <f>'Jrnl Exp ~ Dép'!$C381</f>
        <v>0</v>
      </c>
      <c r="D878" s="168">
        <f>'Jrnl Exp ~ Dép'!$D381</f>
        <v>0</v>
      </c>
      <c r="E878" s="1510">
        <f>'Jrnl Exp ~ Dép'!$F381</f>
        <v>0</v>
      </c>
      <c r="F878" s="1510"/>
      <c r="G878" s="951" t="str">
        <f>IF('Jrnl Exp ~ Dép'!$E381="","",'Jrnl Exp ~ Dép'!$E381)</f>
        <v/>
      </c>
      <c r="H878" s="147">
        <f>'Jrnl Exp ~ Dép'!H381</f>
        <v>0</v>
      </c>
      <c r="I878" s="147" t="str">
        <f t="shared" si="26"/>
        <v>0</v>
      </c>
      <c r="J878" s="148" t="b">
        <f t="shared" si="27"/>
        <v>0</v>
      </c>
      <c r="K878" s="169"/>
      <c r="L878" s="169">
        <f>'Jrnl Exp ~ Dép'!$G381</f>
        <v>0</v>
      </c>
      <c r="M878" s="151">
        <f>'Jrnl Exp ~ Dép'!E143</f>
        <v>0</v>
      </c>
      <c r="N878" s="167">
        <f>'Jrnl Exp ~ Dép'!$H143</f>
        <v>0</v>
      </c>
    </row>
    <row r="879" spans="2:14" s="1" customFormat="1" ht="30" hidden="1" customHeight="1" x14ac:dyDescent="0.15">
      <c r="B879" s="146">
        <f>IF(AND('Jrnl Exp ~ Dép'!$G382&lt;&gt;"",'Jrnl Exp ~ Dép'!$C382&lt;&gt;""),1,0)</f>
        <v>0</v>
      </c>
      <c r="C879" s="146">
        <f>'Jrnl Exp ~ Dép'!$C382</f>
        <v>0</v>
      </c>
      <c r="D879" s="168">
        <f>'Jrnl Exp ~ Dép'!$D382</f>
        <v>0</v>
      </c>
      <c r="E879" s="1510">
        <f>'Jrnl Exp ~ Dép'!$F382</f>
        <v>0</v>
      </c>
      <c r="F879" s="1510"/>
      <c r="G879" s="951" t="str">
        <f>IF('Jrnl Exp ~ Dép'!$E382="","",'Jrnl Exp ~ Dép'!$E382)</f>
        <v/>
      </c>
      <c r="H879" s="147">
        <f>'Jrnl Exp ~ Dép'!H382</f>
        <v>0</v>
      </c>
      <c r="I879" s="147" t="str">
        <f t="shared" si="26"/>
        <v>0</v>
      </c>
      <c r="J879" s="148" t="b">
        <f t="shared" si="27"/>
        <v>0</v>
      </c>
      <c r="K879" s="169"/>
      <c r="L879" s="169">
        <f>'Jrnl Exp ~ Dép'!$G382</f>
        <v>0</v>
      </c>
      <c r="M879" s="151">
        <f>'Jrnl Exp ~ Dép'!E144</f>
        <v>0</v>
      </c>
      <c r="N879" s="167">
        <f>'Jrnl Exp ~ Dép'!$H144</f>
        <v>0</v>
      </c>
    </row>
    <row r="880" spans="2:14" s="1" customFormat="1" ht="30" hidden="1" customHeight="1" x14ac:dyDescent="0.15">
      <c r="B880" s="146">
        <f>IF(AND('Jrnl Exp ~ Dép'!$G383&lt;&gt;"",'Jrnl Exp ~ Dép'!$C383&lt;&gt;""),1,0)</f>
        <v>0</v>
      </c>
      <c r="C880" s="146">
        <f>'Jrnl Exp ~ Dép'!$C383</f>
        <v>0</v>
      </c>
      <c r="D880" s="168">
        <f>'Jrnl Exp ~ Dép'!$D383</f>
        <v>0</v>
      </c>
      <c r="E880" s="1510">
        <f>'Jrnl Exp ~ Dép'!$F383</f>
        <v>0</v>
      </c>
      <c r="F880" s="1510"/>
      <c r="G880" s="951" t="str">
        <f>IF('Jrnl Exp ~ Dép'!$E383="","",'Jrnl Exp ~ Dép'!$E383)</f>
        <v/>
      </c>
      <c r="H880" s="147">
        <f>'Jrnl Exp ~ Dép'!H383</f>
        <v>0</v>
      </c>
      <c r="I880" s="147" t="str">
        <f t="shared" si="26"/>
        <v>0</v>
      </c>
      <c r="J880" s="148" t="b">
        <f t="shared" si="27"/>
        <v>0</v>
      </c>
      <c r="K880" s="169"/>
      <c r="L880" s="169">
        <f>'Jrnl Exp ~ Dép'!$G383</f>
        <v>0</v>
      </c>
      <c r="M880" s="151">
        <f>'Jrnl Exp ~ Dép'!E145</f>
        <v>0</v>
      </c>
      <c r="N880" s="167">
        <f>'Jrnl Exp ~ Dép'!$H145</f>
        <v>0</v>
      </c>
    </row>
    <row r="881" spans="2:14" s="1" customFormat="1" ht="30" hidden="1" customHeight="1" x14ac:dyDescent="0.15">
      <c r="B881" s="146">
        <f>IF(AND('Jrnl Exp ~ Dép'!$G384&lt;&gt;"",'Jrnl Exp ~ Dép'!$C384&lt;&gt;""),1,0)</f>
        <v>0</v>
      </c>
      <c r="C881" s="146">
        <f>'Jrnl Exp ~ Dép'!$C384</f>
        <v>0</v>
      </c>
      <c r="D881" s="168">
        <f>'Jrnl Exp ~ Dép'!$D384</f>
        <v>0</v>
      </c>
      <c r="E881" s="1510">
        <f>'Jrnl Exp ~ Dép'!$F384</f>
        <v>0</v>
      </c>
      <c r="F881" s="1510"/>
      <c r="G881" s="951" t="str">
        <f>IF('Jrnl Exp ~ Dép'!$E384="","",'Jrnl Exp ~ Dép'!$E384)</f>
        <v/>
      </c>
      <c r="H881" s="147">
        <f>'Jrnl Exp ~ Dép'!H384</f>
        <v>0</v>
      </c>
      <c r="I881" s="147" t="str">
        <f t="shared" si="26"/>
        <v>0</v>
      </c>
      <c r="J881" s="148" t="b">
        <f t="shared" si="27"/>
        <v>0</v>
      </c>
      <c r="K881" s="169"/>
      <c r="L881" s="169">
        <f>'Jrnl Exp ~ Dép'!$G384</f>
        <v>0</v>
      </c>
      <c r="M881" s="151">
        <f>'Jrnl Exp ~ Dép'!E146</f>
        <v>0</v>
      </c>
      <c r="N881" s="167">
        <f>'Jrnl Exp ~ Dép'!$H146</f>
        <v>0</v>
      </c>
    </row>
    <row r="882" spans="2:14" s="1" customFormat="1" ht="30" hidden="1" customHeight="1" x14ac:dyDescent="0.15">
      <c r="B882" s="146">
        <f>IF(AND('Jrnl Exp ~ Dép'!$G385&lt;&gt;"",'Jrnl Exp ~ Dép'!$C385&lt;&gt;""),1,0)</f>
        <v>0</v>
      </c>
      <c r="C882" s="146">
        <f>'Jrnl Exp ~ Dép'!$C385</f>
        <v>0</v>
      </c>
      <c r="D882" s="168">
        <f>'Jrnl Exp ~ Dép'!$D385</f>
        <v>0</v>
      </c>
      <c r="E882" s="1510">
        <f>'Jrnl Exp ~ Dép'!$F385</f>
        <v>0</v>
      </c>
      <c r="F882" s="1510"/>
      <c r="G882" s="951" t="str">
        <f>IF('Jrnl Exp ~ Dép'!$E385="","",'Jrnl Exp ~ Dép'!$E385)</f>
        <v/>
      </c>
      <c r="H882" s="147">
        <f>'Jrnl Exp ~ Dép'!H385</f>
        <v>0</v>
      </c>
      <c r="I882" s="147" t="str">
        <f t="shared" si="26"/>
        <v>0</v>
      </c>
      <c r="J882" s="148" t="b">
        <f t="shared" si="27"/>
        <v>0</v>
      </c>
      <c r="K882" s="169"/>
      <c r="L882" s="169">
        <f>'Jrnl Exp ~ Dép'!$G385</f>
        <v>0</v>
      </c>
      <c r="M882" s="151">
        <f>'Jrnl Exp ~ Dép'!E147</f>
        <v>0</v>
      </c>
      <c r="N882" s="167">
        <f>'Jrnl Exp ~ Dép'!$H147</f>
        <v>0</v>
      </c>
    </row>
    <row r="883" spans="2:14" s="1" customFormat="1" ht="30" hidden="1" customHeight="1" x14ac:dyDescent="0.15">
      <c r="B883" s="146">
        <f>IF(AND('Jrnl Exp ~ Dép'!$G386&lt;&gt;"",'Jrnl Exp ~ Dép'!$C386&lt;&gt;""),1,0)</f>
        <v>0</v>
      </c>
      <c r="C883" s="146">
        <f>'Jrnl Exp ~ Dép'!$C386</f>
        <v>0</v>
      </c>
      <c r="D883" s="168">
        <f>'Jrnl Exp ~ Dép'!$D386</f>
        <v>0</v>
      </c>
      <c r="E883" s="1510">
        <f>'Jrnl Exp ~ Dép'!$F386</f>
        <v>0</v>
      </c>
      <c r="F883" s="1510"/>
      <c r="G883" s="951" t="str">
        <f>IF('Jrnl Exp ~ Dép'!$E386="","",'Jrnl Exp ~ Dép'!$E386)</f>
        <v/>
      </c>
      <c r="H883" s="147">
        <f>'Jrnl Exp ~ Dép'!H386</f>
        <v>0</v>
      </c>
      <c r="I883" s="147" t="str">
        <f t="shared" si="26"/>
        <v>0</v>
      </c>
      <c r="J883" s="148" t="b">
        <f t="shared" si="27"/>
        <v>0</v>
      </c>
      <c r="K883" s="169"/>
      <c r="L883" s="169">
        <f>'Jrnl Exp ~ Dép'!$G386</f>
        <v>0</v>
      </c>
      <c r="M883" s="151">
        <f>'Jrnl Exp ~ Dép'!E148</f>
        <v>0</v>
      </c>
      <c r="N883" s="167">
        <f>'Jrnl Exp ~ Dép'!$H148</f>
        <v>0</v>
      </c>
    </row>
    <row r="884" spans="2:14" s="1" customFormat="1" ht="30" hidden="1" customHeight="1" x14ac:dyDescent="0.15">
      <c r="B884" s="146">
        <f>IF(AND('Jrnl Exp ~ Dép'!$G387&lt;&gt;"",'Jrnl Exp ~ Dép'!$C387&lt;&gt;""),1,0)</f>
        <v>0</v>
      </c>
      <c r="C884" s="146">
        <f>'Jrnl Exp ~ Dép'!$C387</f>
        <v>0</v>
      </c>
      <c r="D884" s="168">
        <f>'Jrnl Exp ~ Dép'!$D387</f>
        <v>0</v>
      </c>
      <c r="E884" s="1510">
        <f>'Jrnl Exp ~ Dép'!$F387</f>
        <v>0</v>
      </c>
      <c r="F884" s="1510"/>
      <c r="G884" s="951" t="str">
        <f>IF('Jrnl Exp ~ Dép'!$E387="","",'Jrnl Exp ~ Dép'!$E387)</f>
        <v/>
      </c>
      <c r="H884" s="147">
        <f>'Jrnl Exp ~ Dép'!H387</f>
        <v>0</v>
      </c>
      <c r="I884" s="147" t="str">
        <f t="shared" si="26"/>
        <v>0</v>
      </c>
      <c r="J884" s="148" t="b">
        <f t="shared" si="27"/>
        <v>0</v>
      </c>
      <c r="K884" s="169"/>
      <c r="L884" s="169">
        <f>'Jrnl Exp ~ Dép'!$G387</f>
        <v>0</v>
      </c>
      <c r="M884" s="151">
        <f>'Jrnl Exp ~ Dép'!E149</f>
        <v>0</v>
      </c>
      <c r="N884" s="167">
        <f>'Jrnl Exp ~ Dép'!$H149</f>
        <v>0</v>
      </c>
    </row>
    <row r="885" spans="2:14" s="1" customFormat="1" ht="30" hidden="1" customHeight="1" x14ac:dyDescent="0.15">
      <c r="B885" s="146">
        <f>IF(AND('Jrnl Exp ~ Dép'!$G388&lt;&gt;"",'Jrnl Exp ~ Dép'!$C388&lt;&gt;""),1,0)</f>
        <v>0</v>
      </c>
      <c r="C885" s="146">
        <f>'Jrnl Exp ~ Dép'!$C388</f>
        <v>0</v>
      </c>
      <c r="D885" s="168">
        <f>'Jrnl Exp ~ Dép'!$D388</f>
        <v>0</v>
      </c>
      <c r="E885" s="1510">
        <f>'Jrnl Exp ~ Dép'!$F388</f>
        <v>0</v>
      </c>
      <c r="F885" s="1510"/>
      <c r="G885" s="951" t="str">
        <f>IF('Jrnl Exp ~ Dép'!$E388="","",'Jrnl Exp ~ Dép'!$E388)</f>
        <v/>
      </c>
      <c r="H885" s="147">
        <f>'Jrnl Exp ~ Dép'!H388</f>
        <v>0</v>
      </c>
      <c r="I885" s="147" t="str">
        <f t="shared" si="26"/>
        <v>0</v>
      </c>
      <c r="J885" s="148" t="b">
        <f t="shared" si="27"/>
        <v>0</v>
      </c>
      <c r="K885" s="169"/>
      <c r="L885" s="169">
        <f>'Jrnl Exp ~ Dép'!$G388</f>
        <v>0</v>
      </c>
      <c r="M885" s="151">
        <f>'Jrnl Exp ~ Dép'!E150</f>
        <v>0</v>
      </c>
      <c r="N885" s="167">
        <f>'Jrnl Exp ~ Dép'!$H150</f>
        <v>0</v>
      </c>
    </row>
    <row r="886" spans="2:14" s="1" customFormat="1" ht="30" hidden="1" customHeight="1" x14ac:dyDescent="0.15">
      <c r="B886" s="146">
        <f>IF(AND('Jrnl Exp ~ Dép'!$G389&lt;&gt;"",'Jrnl Exp ~ Dép'!$C389&lt;&gt;""),1,0)</f>
        <v>0</v>
      </c>
      <c r="C886" s="146">
        <f>'Jrnl Exp ~ Dép'!$C389</f>
        <v>0</v>
      </c>
      <c r="D886" s="168">
        <f>'Jrnl Exp ~ Dép'!$D389</f>
        <v>0</v>
      </c>
      <c r="E886" s="1510">
        <f>'Jrnl Exp ~ Dép'!$F389</f>
        <v>0</v>
      </c>
      <c r="F886" s="1510"/>
      <c r="G886" s="951" t="str">
        <f>IF('Jrnl Exp ~ Dép'!$E389="","",'Jrnl Exp ~ Dép'!$E389)</f>
        <v/>
      </c>
      <c r="H886" s="147">
        <f>'Jrnl Exp ~ Dép'!H389</f>
        <v>0</v>
      </c>
      <c r="I886" s="147" t="str">
        <f t="shared" si="26"/>
        <v>0</v>
      </c>
      <c r="J886" s="148" t="b">
        <f t="shared" si="27"/>
        <v>0</v>
      </c>
      <c r="K886" s="169"/>
      <c r="L886" s="169">
        <f>'Jrnl Exp ~ Dép'!$G389</f>
        <v>0</v>
      </c>
      <c r="M886" s="151">
        <f>'Jrnl Exp ~ Dép'!E151</f>
        <v>0</v>
      </c>
      <c r="N886" s="167">
        <f>'Jrnl Exp ~ Dép'!$H151</f>
        <v>0</v>
      </c>
    </row>
    <row r="887" spans="2:14" s="1" customFormat="1" ht="30" hidden="1" customHeight="1" x14ac:dyDescent="0.15">
      <c r="B887" s="146">
        <f>IF(AND('Jrnl Exp ~ Dép'!$G390&lt;&gt;"",'Jrnl Exp ~ Dép'!$C390&lt;&gt;""),1,0)</f>
        <v>0</v>
      </c>
      <c r="C887" s="146">
        <f>'Jrnl Exp ~ Dép'!$C390</f>
        <v>0</v>
      </c>
      <c r="D887" s="168">
        <f>'Jrnl Exp ~ Dép'!$D390</f>
        <v>0</v>
      </c>
      <c r="E887" s="1510">
        <f>'Jrnl Exp ~ Dép'!$F390</f>
        <v>0</v>
      </c>
      <c r="F887" s="1510"/>
      <c r="G887" s="951" t="str">
        <f>IF('Jrnl Exp ~ Dép'!$E390="","",'Jrnl Exp ~ Dép'!$E390)</f>
        <v/>
      </c>
      <c r="H887" s="147">
        <f>'Jrnl Exp ~ Dép'!H390</f>
        <v>0</v>
      </c>
      <c r="I887" s="147" t="str">
        <f t="shared" si="26"/>
        <v>0</v>
      </c>
      <c r="J887" s="148" t="b">
        <f t="shared" si="27"/>
        <v>0</v>
      </c>
      <c r="K887" s="169"/>
      <c r="L887" s="169">
        <f>'Jrnl Exp ~ Dép'!$G390</f>
        <v>0</v>
      </c>
      <c r="M887" s="151">
        <f>'Jrnl Exp ~ Dép'!E152</f>
        <v>0</v>
      </c>
      <c r="N887" s="167">
        <f>'Jrnl Exp ~ Dép'!$H152</f>
        <v>0</v>
      </c>
    </row>
    <row r="888" spans="2:14" s="1" customFormat="1" ht="30" hidden="1" customHeight="1" x14ac:dyDescent="0.15">
      <c r="B888" s="146">
        <f>IF(AND('Jrnl Exp ~ Dép'!$G391&lt;&gt;"",'Jrnl Exp ~ Dép'!$C391&lt;&gt;""),1,0)</f>
        <v>0</v>
      </c>
      <c r="C888" s="146">
        <f>'Jrnl Exp ~ Dép'!$C391</f>
        <v>0</v>
      </c>
      <c r="D888" s="168">
        <f>'Jrnl Exp ~ Dép'!$D391</f>
        <v>0</v>
      </c>
      <c r="E888" s="1510">
        <f>'Jrnl Exp ~ Dép'!$F391</f>
        <v>0</v>
      </c>
      <c r="F888" s="1510"/>
      <c r="G888" s="951" t="str">
        <f>IF('Jrnl Exp ~ Dép'!$E391="","",'Jrnl Exp ~ Dép'!$E391)</f>
        <v/>
      </c>
      <c r="H888" s="147">
        <f>'Jrnl Exp ~ Dép'!H391</f>
        <v>0</v>
      </c>
      <c r="I888" s="147" t="str">
        <f t="shared" si="26"/>
        <v>0</v>
      </c>
      <c r="J888" s="148" t="b">
        <f t="shared" si="27"/>
        <v>0</v>
      </c>
      <c r="K888" s="169"/>
      <c r="L888" s="169">
        <f>'Jrnl Exp ~ Dép'!$G391</f>
        <v>0</v>
      </c>
      <c r="M888" s="151">
        <f>'Jrnl Exp ~ Dép'!E153</f>
        <v>0</v>
      </c>
      <c r="N888" s="167">
        <f>'Jrnl Exp ~ Dép'!$H153</f>
        <v>0</v>
      </c>
    </row>
    <row r="889" spans="2:14" s="1" customFormat="1" ht="30" hidden="1" customHeight="1" x14ac:dyDescent="0.15">
      <c r="B889" s="146">
        <f>IF(AND('Jrnl Exp ~ Dép'!$G392&lt;&gt;"",'Jrnl Exp ~ Dép'!$C392&lt;&gt;""),1,0)</f>
        <v>0</v>
      </c>
      <c r="C889" s="146">
        <f>'Jrnl Exp ~ Dép'!$C392</f>
        <v>0</v>
      </c>
      <c r="D889" s="168">
        <f>'Jrnl Exp ~ Dép'!$D392</f>
        <v>0</v>
      </c>
      <c r="E889" s="1510">
        <f>'Jrnl Exp ~ Dép'!$F392</f>
        <v>0</v>
      </c>
      <c r="F889" s="1510"/>
      <c r="G889" s="951" t="str">
        <f>IF('Jrnl Exp ~ Dép'!$E392="","",'Jrnl Exp ~ Dép'!$E392)</f>
        <v/>
      </c>
      <c r="H889" s="147">
        <f>'Jrnl Exp ~ Dép'!H392</f>
        <v>0</v>
      </c>
      <c r="I889" s="147" t="str">
        <f t="shared" si="26"/>
        <v>0</v>
      </c>
      <c r="J889" s="148" t="b">
        <f t="shared" si="27"/>
        <v>0</v>
      </c>
      <c r="K889" s="169"/>
      <c r="L889" s="169">
        <f>'Jrnl Exp ~ Dép'!$G392</f>
        <v>0</v>
      </c>
      <c r="M889" s="151">
        <f>'Jrnl Exp ~ Dép'!E154</f>
        <v>0</v>
      </c>
      <c r="N889" s="167">
        <f>'Jrnl Exp ~ Dép'!$H154</f>
        <v>0</v>
      </c>
    </row>
    <row r="890" spans="2:14" s="1" customFormat="1" ht="30" hidden="1" customHeight="1" x14ac:dyDescent="0.15">
      <c r="B890" s="146">
        <f>IF(AND('Jrnl Exp ~ Dép'!$G393&lt;&gt;"",'Jrnl Exp ~ Dép'!$C393&lt;&gt;""),1,0)</f>
        <v>0</v>
      </c>
      <c r="C890" s="146">
        <f>'Jrnl Exp ~ Dép'!$C393</f>
        <v>0</v>
      </c>
      <c r="D890" s="168">
        <f>'Jrnl Exp ~ Dép'!$D393</f>
        <v>0</v>
      </c>
      <c r="E890" s="1510">
        <f>'Jrnl Exp ~ Dép'!$F393</f>
        <v>0</v>
      </c>
      <c r="F890" s="1510"/>
      <c r="G890" s="951" t="str">
        <f>IF('Jrnl Exp ~ Dép'!$E393="","",'Jrnl Exp ~ Dép'!$E393)</f>
        <v/>
      </c>
      <c r="H890" s="147">
        <f>'Jrnl Exp ~ Dép'!H393</f>
        <v>0</v>
      </c>
      <c r="I890" s="147" t="str">
        <f t="shared" si="26"/>
        <v>0</v>
      </c>
      <c r="J890" s="148" t="b">
        <f t="shared" si="27"/>
        <v>0</v>
      </c>
      <c r="K890" s="169"/>
      <c r="L890" s="169">
        <f>'Jrnl Exp ~ Dép'!$G393</f>
        <v>0</v>
      </c>
      <c r="M890" s="151">
        <f>'Jrnl Exp ~ Dép'!E155</f>
        <v>0</v>
      </c>
      <c r="N890" s="167">
        <f>'Jrnl Exp ~ Dép'!$H155</f>
        <v>0</v>
      </c>
    </row>
    <row r="891" spans="2:14" s="1" customFormat="1" ht="30" hidden="1" customHeight="1" x14ac:dyDescent="0.15">
      <c r="B891" s="146">
        <f>IF(AND('Jrnl Exp ~ Dép'!$G394&lt;&gt;"",'Jrnl Exp ~ Dép'!$C394&lt;&gt;""),1,0)</f>
        <v>0</v>
      </c>
      <c r="C891" s="146">
        <f>'Jrnl Exp ~ Dép'!$C394</f>
        <v>0</v>
      </c>
      <c r="D891" s="168">
        <f>'Jrnl Exp ~ Dép'!$D394</f>
        <v>0</v>
      </c>
      <c r="E891" s="1510">
        <f>'Jrnl Exp ~ Dép'!$F394</f>
        <v>0</v>
      </c>
      <c r="F891" s="1510"/>
      <c r="G891" s="951" t="str">
        <f>IF('Jrnl Exp ~ Dép'!$E394="","",'Jrnl Exp ~ Dép'!$E394)</f>
        <v/>
      </c>
      <c r="H891" s="147">
        <f>'Jrnl Exp ~ Dép'!H394</f>
        <v>0</v>
      </c>
      <c r="I891" s="147" t="str">
        <f t="shared" si="26"/>
        <v>0</v>
      </c>
      <c r="J891" s="148" t="b">
        <f t="shared" si="27"/>
        <v>0</v>
      </c>
      <c r="K891" s="169"/>
      <c r="L891" s="169">
        <f>'Jrnl Exp ~ Dép'!$G394</f>
        <v>0</v>
      </c>
      <c r="M891" s="151">
        <f>'Jrnl Exp ~ Dép'!E156</f>
        <v>0</v>
      </c>
      <c r="N891" s="167">
        <f>'Jrnl Exp ~ Dép'!$H156</f>
        <v>0</v>
      </c>
    </row>
    <row r="892" spans="2:14" s="1" customFormat="1" ht="30" hidden="1" customHeight="1" x14ac:dyDescent="0.15">
      <c r="B892" s="146">
        <f>IF(AND('Jrnl Exp ~ Dép'!$G395&lt;&gt;"",'Jrnl Exp ~ Dép'!$C395&lt;&gt;""),1,0)</f>
        <v>0</v>
      </c>
      <c r="C892" s="146">
        <f>'Jrnl Exp ~ Dép'!$C395</f>
        <v>0</v>
      </c>
      <c r="D892" s="168">
        <f>'Jrnl Exp ~ Dép'!$D395</f>
        <v>0</v>
      </c>
      <c r="E892" s="1510">
        <f>'Jrnl Exp ~ Dép'!$F395</f>
        <v>0</v>
      </c>
      <c r="F892" s="1510"/>
      <c r="G892" s="951" t="str">
        <f>IF('Jrnl Exp ~ Dép'!$E395="","",'Jrnl Exp ~ Dép'!$E395)</f>
        <v/>
      </c>
      <c r="H892" s="147">
        <f>'Jrnl Exp ~ Dép'!H395</f>
        <v>0</v>
      </c>
      <c r="I892" s="147" t="str">
        <f t="shared" si="26"/>
        <v>0</v>
      </c>
      <c r="J892" s="148" t="b">
        <f t="shared" si="27"/>
        <v>0</v>
      </c>
      <c r="K892" s="169"/>
      <c r="L892" s="169">
        <f>'Jrnl Exp ~ Dép'!$G395</f>
        <v>0</v>
      </c>
      <c r="M892" s="151">
        <f>'Jrnl Exp ~ Dép'!E157</f>
        <v>0</v>
      </c>
      <c r="N892" s="167">
        <f>'Jrnl Exp ~ Dép'!$H157</f>
        <v>0</v>
      </c>
    </row>
    <row r="893" spans="2:14" s="1" customFormat="1" ht="30" hidden="1" customHeight="1" x14ac:dyDescent="0.15">
      <c r="B893" s="146">
        <f>IF(AND('Jrnl Exp ~ Dép'!$G396&lt;&gt;"",'Jrnl Exp ~ Dép'!$C396&lt;&gt;""),1,0)</f>
        <v>0</v>
      </c>
      <c r="C893" s="146">
        <f>'Jrnl Exp ~ Dép'!$C396</f>
        <v>0</v>
      </c>
      <c r="D893" s="168">
        <f>'Jrnl Exp ~ Dép'!$D396</f>
        <v>0</v>
      </c>
      <c r="E893" s="1510">
        <f>'Jrnl Exp ~ Dép'!$F396</f>
        <v>0</v>
      </c>
      <c r="F893" s="1510"/>
      <c r="G893" s="951" t="str">
        <f>IF('Jrnl Exp ~ Dép'!$E396="","",'Jrnl Exp ~ Dép'!$E396)</f>
        <v/>
      </c>
      <c r="H893" s="147">
        <f>'Jrnl Exp ~ Dép'!H396</f>
        <v>0</v>
      </c>
      <c r="I893" s="147" t="str">
        <f t="shared" si="26"/>
        <v>0</v>
      </c>
      <c r="J893" s="148" t="b">
        <f t="shared" si="27"/>
        <v>0</v>
      </c>
      <c r="K893" s="169"/>
      <c r="L893" s="169">
        <f>'Jrnl Exp ~ Dép'!$G396</f>
        <v>0</v>
      </c>
      <c r="M893" s="151">
        <f>'Jrnl Exp ~ Dép'!E158</f>
        <v>0</v>
      </c>
      <c r="N893" s="167">
        <f>'Jrnl Exp ~ Dép'!$H158</f>
        <v>0</v>
      </c>
    </row>
    <row r="894" spans="2:14" s="1" customFormat="1" ht="30" hidden="1" customHeight="1" x14ac:dyDescent="0.15">
      <c r="B894" s="146">
        <f>IF(AND('Jrnl Exp ~ Dép'!$G397&lt;&gt;"",'Jrnl Exp ~ Dép'!$C397&lt;&gt;""),1,0)</f>
        <v>0</v>
      </c>
      <c r="C894" s="146">
        <f>'Jrnl Exp ~ Dép'!$C397</f>
        <v>0</v>
      </c>
      <c r="D894" s="168">
        <f>'Jrnl Exp ~ Dép'!$D397</f>
        <v>0</v>
      </c>
      <c r="E894" s="1510">
        <f>'Jrnl Exp ~ Dép'!$F397</f>
        <v>0</v>
      </c>
      <c r="F894" s="1510"/>
      <c r="G894" s="951" t="str">
        <f>IF('Jrnl Exp ~ Dép'!$E397="","",'Jrnl Exp ~ Dép'!$E397)</f>
        <v/>
      </c>
      <c r="H894" s="147">
        <f>'Jrnl Exp ~ Dép'!H397</f>
        <v>0</v>
      </c>
      <c r="I894" s="147" t="str">
        <f t="shared" si="26"/>
        <v>0</v>
      </c>
      <c r="J894" s="148" t="b">
        <f t="shared" si="27"/>
        <v>0</v>
      </c>
      <c r="K894" s="169"/>
      <c r="L894" s="169">
        <f>'Jrnl Exp ~ Dép'!$G397</f>
        <v>0</v>
      </c>
      <c r="M894" s="151">
        <f>'Jrnl Exp ~ Dép'!E159</f>
        <v>0</v>
      </c>
      <c r="N894" s="167">
        <f>'Jrnl Exp ~ Dép'!$H159</f>
        <v>0</v>
      </c>
    </row>
    <row r="895" spans="2:14" s="1" customFormat="1" ht="30" hidden="1" customHeight="1" x14ac:dyDescent="0.15">
      <c r="B895" s="146">
        <f>IF(AND('Jrnl Exp ~ Dép'!$G398&lt;&gt;"",'Jrnl Exp ~ Dép'!$C398&lt;&gt;""),1,0)</f>
        <v>0</v>
      </c>
      <c r="C895" s="146">
        <f>'Jrnl Exp ~ Dép'!$C398</f>
        <v>0</v>
      </c>
      <c r="D895" s="168">
        <f>'Jrnl Exp ~ Dép'!$D398</f>
        <v>0</v>
      </c>
      <c r="E895" s="1510">
        <f>'Jrnl Exp ~ Dép'!$F398</f>
        <v>0</v>
      </c>
      <c r="F895" s="1510"/>
      <c r="G895" s="951" t="str">
        <f>IF('Jrnl Exp ~ Dép'!$E398="","",'Jrnl Exp ~ Dép'!$E398)</f>
        <v/>
      </c>
      <c r="H895" s="147">
        <f>'Jrnl Exp ~ Dép'!H398</f>
        <v>0</v>
      </c>
      <c r="I895" s="147" t="str">
        <f t="shared" si="26"/>
        <v>0</v>
      </c>
      <c r="J895" s="148" t="b">
        <f t="shared" si="27"/>
        <v>0</v>
      </c>
      <c r="K895" s="169"/>
      <c r="L895" s="169">
        <f>'Jrnl Exp ~ Dép'!$G398</f>
        <v>0</v>
      </c>
      <c r="M895" s="151">
        <f>'Jrnl Exp ~ Dép'!E160</f>
        <v>0</v>
      </c>
      <c r="N895" s="167">
        <f>'Jrnl Exp ~ Dép'!$H160</f>
        <v>0</v>
      </c>
    </row>
    <row r="896" spans="2:14" s="1" customFormat="1" ht="30" hidden="1" customHeight="1" x14ac:dyDescent="0.15">
      <c r="B896" s="146">
        <f>IF(AND('Jrnl Exp ~ Dép'!$G399&lt;&gt;"",'Jrnl Exp ~ Dép'!$C399&lt;&gt;""),1,0)</f>
        <v>0</v>
      </c>
      <c r="C896" s="146">
        <f>'Jrnl Exp ~ Dép'!$C399</f>
        <v>0</v>
      </c>
      <c r="D896" s="168">
        <f>'Jrnl Exp ~ Dép'!$D399</f>
        <v>0</v>
      </c>
      <c r="E896" s="1510">
        <f>'Jrnl Exp ~ Dép'!$F399</f>
        <v>0</v>
      </c>
      <c r="F896" s="1510"/>
      <c r="G896" s="951" t="str">
        <f>IF('Jrnl Exp ~ Dép'!$E399="","",'Jrnl Exp ~ Dép'!$E399)</f>
        <v/>
      </c>
      <c r="H896" s="147">
        <f>'Jrnl Exp ~ Dép'!H399</f>
        <v>0</v>
      </c>
      <c r="I896" s="147" t="str">
        <f t="shared" si="26"/>
        <v>0</v>
      </c>
      <c r="J896" s="148" t="b">
        <f t="shared" si="27"/>
        <v>0</v>
      </c>
      <c r="K896" s="169"/>
      <c r="L896" s="169">
        <f>'Jrnl Exp ~ Dép'!$G399</f>
        <v>0</v>
      </c>
      <c r="M896" s="151">
        <f>'Jrnl Exp ~ Dép'!E161</f>
        <v>0</v>
      </c>
      <c r="N896" s="167">
        <f>'Jrnl Exp ~ Dép'!$H161</f>
        <v>0</v>
      </c>
    </row>
    <row r="897" spans="2:15" s="1" customFormat="1" ht="30" hidden="1" customHeight="1" x14ac:dyDescent="0.15">
      <c r="B897" s="146">
        <f>IF(AND('Jrnl Exp ~ Dép'!$G400&lt;&gt;"",'Jrnl Exp ~ Dép'!$C400&lt;&gt;""),1,0)</f>
        <v>0</v>
      </c>
      <c r="C897" s="146">
        <f>'Jrnl Exp ~ Dép'!$C400</f>
        <v>0</v>
      </c>
      <c r="D897" s="168">
        <f>'Jrnl Exp ~ Dép'!$D400</f>
        <v>0</v>
      </c>
      <c r="E897" s="1510">
        <f>'Jrnl Exp ~ Dép'!$F400</f>
        <v>0</v>
      </c>
      <c r="F897" s="1510"/>
      <c r="G897" s="951" t="str">
        <f>IF('Jrnl Exp ~ Dép'!$E400="","",'Jrnl Exp ~ Dép'!$E400)</f>
        <v/>
      </c>
      <c r="H897" s="147">
        <f>'Jrnl Exp ~ Dép'!H400</f>
        <v>0</v>
      </c>
      <c r="I897" s="147" t="str">
        <f t="shared" ref="I897:I960" si="28">LEFT(H897,4)</f>
        <v>0</v>
      </c>
      <c r="J897" s="148" t="b">
        <f t="shared" ref="J897:J960" si="29">IF(I897="1020",IF(G897&gt;=$E$3,IF(G897&lt;=$G$3,L897,0)))</f>
        <v>0</v>
      </c>
      <c r="K897" s="169"/>
      <c r="L897" s="169">
        <f>'Jrnl Exp ~ Dép'!$G400</f>
        <v>0</v>
      </c>
      <c r="M897" s="151">
        <f>'Jrnl Exp ~ Dép'!E162</f>
        <v>0</v>
      </c>
      <c r="N897" s="167">
        <f>'Jrnl Exp ~ Dép'!$H162</f>
        <v>0</v>
      </c>
    </row>
    <row r="898" spans="2:15" s="1" customFormat="1" ht="30" hidden="1" customHeight="1" x14ac:dyDescent="0.15">
      <c r="B898" s="146">
        <f>IF(AND('Jrnl Exp ~ Dép'!$G401&lt;&gt;"",'Jrnl Exp ~ Dép'!$C401&lt;&gt;""),1,0)</f>
        <v>0</v>
      </c>
      <c r="C898" s="146">
        <f>'Jrnl Exp ~ Dép'!$C401</f>
        <v>0</v>
      </c>
      <c r="D898" s="168">
        <f>'Jrnl Exp ~ Dép'!$D401</f>
        <v>0</v>
      </c>
      <c r="E898" s="1510">
        <f>'Jrnl Exp ~ Dép'!$F401</f>
        <v>0</v>
      </c>
      <c r="F898" s="1510"/>
      <c r="G898" s="951" t="str">
        <f>IF('Jrnl Exp ~ Dép'!$E401="","",'Jrnl Exp ~ Dép'!$E401)</f>
        <v/>
      </c>
      <c r="H898" s="147">
        <f>'Jrnl Exp ~ Dép'!H401</f>
        <v>0</v>
      </c>
      <c r="I898" s="147" t="str">
        <f t="shared" si="28"/>
        <v>0</v>
      </c>
      <c r="J898" s="148" t="b">
        <f t="shared" si="29"/>
        <v>0</v>
      </c>
      <c r="K898" s="169"/>
      <c r="L898" s="169">
        <f>'Jrnl Exp ~ Dép'!$G401</f>
        <v>0</v>
      </c>
      <c r="M898" s="151">
        <f>'Jrnl Exp ~ Dép'!E163</f>
        <v>0</v>
      </c>
      <c r="N898" s="167">
        <f>'Jrnl Exp ~ Dép'!$H163</f>
        <v>0</v>
      </c>
    </row>
    <row r="899" spans="2:15" s="1" customFormat="1" ht="30" hidden="1" customHeight="1" x14ac:dyDescent="0.15">
      <c r="B899" s="146">
        <f>IF(AND('Jrnl Exp ~ Dép'!$G402&lt;&gt;"",'Jrnl Exp ~ Dép'!$C402&lt;&gt;""),1,0)</f>
        <v>0</v>
      </c>
      <c r="C899" s="146">
        <f>'Jrnl Exp ~ Dép'!$C402</f>
        <v>0</v>
      </c>
      <c r="D899" s="168">
        <f>'Jrnl Exp ~ Dép'!$D402</f>
        <v>0</v>
      </c>
      <c r="E899" s="1510">
        <f>'Jrnl Exp ~ Dép'!$F402</f>
        <v>0</v>
      </c>
      <c r="F899" s="1510"/>
      <c r="G899" s="951" t="str">
        <f>IF('Jrnl Exp ~ Dép'!$E402="","",'Jrnl Exp ~ Dép'!$E402)</f>
        <v/>
      </c>
      <c r="H899" s="147">
        <f>'Jrnl Exp ~ Dép'!H402</f>
        <v>0</v>
      </c>
      <c r="I899" s="147" t="str">
        <f t="shared" si="28"/>
        <v>0</v>
      </c>
      <c r="J899" s="148" t="b">
        <f t="shared" si="29"/>
        <v>0</v>
      </c>
      <c r="K899" s="169"/>
      <c r="L899" s="169">
        <f>'Jrnl Exp ~ Dép'!$G402</f>
        <v>0</v>
      </c>
      <c r="M899" s="151">
        <f>'Jrnl Exp ~ Dép'!E164</f>
        <v>0</v>
      </c>
      <c r="N899" s="167">
        <f>'Jrnl Exp ~ Dép'!$H164</f>
        <v>0</v>
      </c>
    </row>
    <row r="900" spans="2:15" s="1" customFormat="1" ht="30" hidden="1" customHeight="1" x14ac:dyDescent="0.15">
      <c r="B900" s="146">
        <f>IF(AND('Jrnl Exp ~ Dép'!$G403&lt;&gt;"",'Jrnl Exp ~ Dép'!$C403&lt;&gt;""),1,0)</f>
        <v>0</v>
      </c>
      <c r="C900" s="146">
        <f>'Jrnl Exp ~ Dép'!$C403</f>
        <v>0</v>
      </c>
      <c r="D900" s="168">
        <f>'Jrnl Exp ~ Dép'!$D403</f>
        <v>0</v>
      </c>
      <c r="E900" s="1510">
        <f>'Jrnl Exp ~ Dép'!$F403</f>
        <v>0</v>
      </c>
      <c r="F900" s="1510"/>
      <c r="G900" s="951" t="str">
        <f>IF('Jrnl Exp ~ Dép'!$E403="","",'Jrnl Exp ~ Dép'!$E403)</f>
        <v/>
      </c>
      <c r="H900" s="147">
        <f>'Jrnl Exp ~ Dép'!H403</f>
        <v>0</v>
      </c>
      <c r="I900" s="147" t="str">
        <f t="shared" si="28"/>
        <v>0</v>
      </c>
      <c r="J900" s="148" t="b">
        <f t="shared" si="29"/>
        <v>0</v>
      </c>
      <c r="K900" s="169"/>
      <c r="L900" s="169">
        <f>'Jrnl Exp ~ Dép'!$G403</f>
        <v>0</v>
      </c>
      <c r="M900" s="151">
        <f>'Jrnl Exp ~ Dép'!E165</f>
        <v>0</v>
      </c>
      <c r="N900" s="167">
        <f>'Jrnl Exp ~ Dép'!$H165</f>
        <v>0</v>
      </c>
    </row>
    <row r="901" spans="2:15" s="1" customFormat="1" ht="30" hidden="1" customHeight="1" x14ac:dyDescent="0.15">
      <c r="B901" s="146">
        <f>IF(AND('Jrnl Exp ~ Dép'!$G404&lt;&gt;"",'Jrnl Exp ~ Dép'!$C404&lt;&gt;""),1,0)</f>
        <v>0</v>
      </c>
      <c r="C901" s="146">
        <f>'Jrnl Exp ~ Dép'!$C404</f>
        <v>0</v>
      </c>
      <c r="D901" s="168">
        <f>'Jrnl Exp ~ Dép'!$D404</f>
        <v>0</v>
      </c>
      <c r="E901" s="1510">
        <f>'Jrnl Exp ~ Dép'!$F404</f>
        <v>0</v>
      </c>
      <c r="F901" s="1510"/>
      <c r="G901" s="951" t="str">
        <f>IF('Jrnl Exp ~ Dép'!$E404="","",'Jrnl Exp ~ Dép'!$E404)</f>
        <v/>
      </c>
      <c r="H901" s="147">
        <f>'Jrnl Exp ~ Dép'!H404</f>
        <v>0</v>
      </c>
      <c r="I901" s="147" t="str">
        <f t="shared" si="28"/>
        <v>0</v>
      </c>
      <c r="J901" s="148" t="b">
        <f t="shared" si="29"/>
        <v>0</v>
      </c>
      <c r="K901" s="169"/>
      <c r="L901" s="169">
        <f>'Jrnl Exp ~ Dép'!$G404</f>
        <v>0</v>
      </c>
      <c r="M901" s="151">
        <f>'Jrnl Exp ~ Dép'!E166</f>
        <v>0</v>
      </c>
      <c r="N901" s="167">
        <f>'Jrnl Exp ~ Dép'!$H166</f>
        <v>0</v>
      </c>
    </row>
    <row r="902" spans="2:15" s="1" customFormat="1" ht="30" hidden="1" customHeight="1" x14ac:dyDescent="0.15">
      <c r="B902" s="146">
        <f>IF(AND('Jrnl Exp ~ Dép'!$G405&lt;&gt;"",'Jrnl Exp ~ Dép'!$C405&lt;&gt;""),1,0)</f>
        <v>0</v>
      </c>
      <c r="C902" s="146">
        <f>'Jrnl Exp ~ Dép'!$C405</f>
        <v>0</v>
      </c>
      <c r="D902" s="168">
        <f>'Jrnl Exp ~ Dép'!$D405</f>
        <v>0</v>
      </c>
      <c r="E902" s="1510">
        <f>'Jrnl Exp ~ Dép'!$F405</f>
        <v>0</v>
      </c>
      <c r="F902" s="1510"/>
      <c r="G902" s="951" t="str">
        <f>IF('Jrnl Exp ~ Dép'!$E405="","",'Jrnl Exp ~ Dép'!$E405)</f>
        <v/>
      </c>
      <c r="H902" s="147">
        <f>'Jrnl Exp ~ Dép'!H405</f>
        <v>0</v>
      </c>
      <c r="I902" s="147" t="str">
        <f t="shared" si="28"/>
        <v>0</v>
      </c>
      <c r="J902" s="148" t="b">
        <f t="shared" si="29"/>
        <v>0</v>
      </c>
      <c r="K902" s="169"/>
      <c r="L902" s="169">
        <f>'Jrnl Exp ~ Dép'!$G405</f>
        <v>0</v>
      </c>
      <c r="M902" s="151">
        <f>'Jrnl Exp ~ Dép'!E167</f>
        <v>0</v>
      </c>
      <c r="N902" s="167">
        <f>'Jrnl Exp ~ Dép'!$H167</f>
        <v>0</v>
      </c>
    </row>
    <row r="903" spans="2:15" s="1" customFormat="1" ht="30" hidden="1" customHeight="1" x14ac:dyDescent="0.15">
      <c r="B903" s="146">
        <f>IF(AND('Jrnl Exp ~ Dép'!$G406&lt;&gt;"",'Jrnl Exp ~ Dép'!$C406&lt;&gt;""),1,0)</f>
        <v>0</v>
      </c>
      <c r="C903" s="146">
        <f>'Jrnl Exp ~ Dép'!$C406</f>
        <v>0</v>
      </c>
      <c r="D903" s="168">
        <f>'Jrnl Exp ~ Dép'!$D406</f>
        <v>0</v>
      </c>
      <c r="E903" s="1510">
        <f>'Jrnl Exp ~ Dép'!$F406</f>
        <v>0</v>
      </c>
      <c r="F903" s="1510"/>
      <c r="G903" s="951" t="str">
        <f>IF('Jrnl Exp ~ Dép'!$E406="","",'Jrnl Exp ~ Dép'!$E406)</f>
        <v/>
      </c>
      <c r="H903" s="147">
        <f>'Jrnl Exp ~ Dép'!H406</f>
        <v>0</v>
      </c>
      <c r="I903" s="147" t="str">
        <f t="shared" si="28"/>
        <v>0</v>
      </c>
      <c r="J903" s="148" t="b">
        <f t="shared" si="29"/>
        <v>0</v>
      </c>
      <c r="K903" s="169"/>
      <c r="L903" s="169">
        <f>'Jrnl Exp ~ Dép'!$G406</f>
        <v>0</v>
      </c>
      <c r="M903" s="151">
        <f>'Jrnl Exp ~ Dép'!E168</f>
        <v>0</v>
      </c>
      <c r="N903" s="167">
        <f>'Jrnl Exp ~ Dép'!$H168</f>
        <v>0</v>
      </c>
    </row>
    <row r="904" spans="2:15" s="1" customFormat="1" ht="30" hidden="1" customHeight="1" x14ac:dyDescent="0.15">
      <c r="B904" s="146">
        <f>IF(AND('Jrnl Exp ~ Dép'!$G407&lt;&gt;"",'Jrnl Exp ~ Dép'!$C407&lt;&gt;""),1,0)</f>
        <v>0</v>
      </c>
      <c r="C904" s="146">
        <f>'Jrnl Exp ~ Dép'!$C407</f>
        <v>0</v>
      </c>
      <c r="D904" s="168">
        <f>'Jrnl Exp ~ Dép'!$D407</f>
        <v>0</v>
      </c>
      <c r="E904" s="1510">
        <f>'Jrnl Exp ~ Dép'!$F407</f>
        <v>0</v>
      </c>
      <c r="F904" s="1510"/>
      <c r="G904" s="951" t="str">
        <f>IF('Jrnl Exp ~ Dép'!$E407="","",'Jrnl Exp ~ Dép'!$E407)</f>
        <v/>
      </c>
      <c r="H904" s="147">
        <f>'Jrnl Exp ~ Dép'!H407</f>
        <v>0</v>
      </c>
      <c r="I904" s="147" t="str">
        <f t="shared" si="28"/>
        <v>0</v>
      </c>
      <c r="J904" s="148" t="b">
        <f t="shared" si="29"/>
        <v>0</v>
      </c>
      <c r="K904" s="169"/>
      <c r="L904" s="169">
        <f>'Jrnl Exp ~ Dép'!$G407</f>
        <v>0</v>
      </c>
      <c r="M904" s="151">
        <f>'Jrnl Exp ~ Dép'!E169</f>
        <v>0</v>
      </c>
      <c r="N904" s="167">
        <f>'Jrnl Exp ~ Dép'!$H169</f>
        <v>0</v>
      </c>
    </row>
    <row r="905" spans="2:15" s="1" customFormat="1" ht="30" hidden="1" customHeight="1" x14ac:dyDescent="0.15">
      <c r="B905" s="146">
        <f>IF(AND('Jrnl Exp ~ Dép'!$G408&lt;&gt;"",'Jrnl Exp ~ Dép'!$C408&lt;&gt;""),1,0)</f>
        <v>0</v>
      </c>
      <c r="C905" s="146">
        <f>'Jrnl Exp ~ Dép'!$C408</f>
        <v>0</v>
      </c>
      <c r="D905" s="168">
        <f>'Jrnl Exp ~ Dép'!$D408</f>
        <v>0</v>
      </c>
      <c r="E905" s="1510">
        <f>'Jrnl Exp ~ Dép'!$F408</f>
        <v>0</v>
      </c>
      <c r="F905" s="1510"/>
      <c r="G905" s="951" t="str">
        <f>IF('Jrnl Exp ~ Dép'!$E408="","",'Jrnl Exp ~ Dép'!$E408)</f>
        <v/>
      </c>
      <c r="H905" s="147">
        <f>'Jrnl Exp ~ Dép'!H408</f>
        <v>0</v>
      </c>
      <c r="I905" s="147" t="str">
        <f t="shared" si="28"/>
        <v>0</v>
      </c>
      <c r="J905" s="148" t="b">
        <f t="shared" si="29"/>
        <v>0</v>
      </c>
      <c r="K905" s="169"/>
      <c r="L905" s="169">
        <f>'Jrnl Exp ~ Dép'!$G408</f>
        <v>0</v>
      </c>
      <c r="M905" s="151">
        <f>'Jrnl Exp ~ Dép'!E170</f>
        <v>0</v>
      </c>
      <c r="N905" s="167">
        <f>'Jrnl Exp ~ Dép'!$H170</f>
        <v>0</v>
      </c>
    </row>
    <row r="906" spans="2:15" s="1" customFormat="1" ht="30" hidden="1" customHeight="1" x14ac:dyDescent="0.15">
      <c r="B906" s="146">
        <f>IF(AND('Jrnl Exp ~ Dép'!$G409&lt;&gt;"",'Jrnl Exp ~ Dép'!$C409&lt;&gt;""),1,0)</f>
        <v>0</v>
      </c>
      <c r="C906" s="146">
        <f>'Jrnl Exp ~ Dép'!$C409</f>
        <v>0</v>
      </c>
      <c r="D906" s="168">
        <f>'Jrnl Exp ~ Dép'!$D409</f>
        <v>0</v>
      </c>
      <c r="E906" s="1510">
        <f>'Jrnl Exp ~ Dép'!$F409</f>
        <v>0</v>
      </c>
      <c r="F906" s="1510"/>
      <c r="G906" s="951" t="str">
        <f>IF('Jrnl Exp ~ Dép'!$E409="","",'Jrnl Exp ~ Dép'!$E409)</f>
        <v/>
      </c>
      <c r="H906" s="147">
        <f>'Jrnl Exp ~ Dép'!H409</f>
        <v>0</v>
      </c>
      <c r="I906" s="147" t="str">
        <f t="shared" si="28"/>
        <v>0</v>
      </c>
      <c r="J906" s="148" t="b">
        <f t="shared" si="29"/>
        <v>0</v>
      </c>
      <c r="K906" s="169"/>
      <c r="L906" s="169">
        <f>'Jrnl Exp ~ Dép'!$G409</f>
        <v>0</v>
      </c>
      <c r="M906" s="151">
        <f>'Jrnl Exp ~ Dép'!E171</f>
        <v>0</v>
      </c>
      <c r="N906" s="167">
        <f>'Jrnl Exp ~ Dép'!$H171</f>
        <v>0</v>
      </c>
    </row>
    <row r="907" spans="2:15" s="1" customFormat="1" ht="30" hidden="1" customHeight="1" x14ac:dyDescent="0.15">
      <c r="B907" s="146">
        <f>IF(AND('Jrnl Exp ~ Dép'!$G410&lt;&gt;"",'Jrnl Exp ~ Dép'!$C410&lt;&gt;""),1,0)</f>
        <v>0</v>
      </c>
      <c r="C907" s="146">
        <f>'Jrnl Exp ~ Dép'!$C410</f>
        <v>0</v>
      </c>
      <c r="D907" s="168">
        <f>'Jrnl Exp ~ Dép'!$D410</f>
        <v>0</v>
      </c>
      <c r="E907" s="1510">
        <f>'Jrnl Exp ~ Dép'!$F410</f>
        <v>0</v>
      </c>
      <c r="F907" s="1510"/>
      <c r="G907" s="951" t="str">
        <f>IF('Jrnl Exp ~ Dép'!$E410="","",'Jrnl Exp ~ Dép'!$E410)</f>
        <v/>
      </c>
      <c r="H907" s="147">
        <f>'Jrnl Exp ~ Dép'!H410</f>
        <v>0</v>
      </c>
      <c r="I907" s="147" t="str">
        <f t="shared" si="28"/>
        <v>0</v>
      </c>
      <c r="J907" s="148" t="b">
        <f t="shared" si="29"/>
        <v>0</v>
      </c>
      <c r="K907" s="169"/>
      <c r="L907" s="169">
        <f>'Jrnl Exp ~ Dép'!$G410</f>
        <v>0</v>
      </c>
      <c r="M907" s="151">
        <f>'Jrnl Exp ~ Dép'!E172</f>
        <v>0</v>
      </c>
      <c r="N907" s="167">
        <f>'Jrnl Exp ~ Dép'!$H172</f>
        <v>0</v>
      </c>
    </row>
    <row r="908" spans="2:15" s="1" customFormat="1" ht="30" hidden="1" customHeight="1" x14ac:dyDescent="0.15">
      <c r="B908" s="146">
        <f>IF(AND('Jrnl Exp ~ Dép'!$G411&lt;&gt;"",'Jrnl Exp ~ Dép'!$C411&lt;&gt;""),1,0)</f>
        <v>0</v>
      </c>
      <c r="C908" s="146">
        <f>'Jrnl Exp ~ Dép'!$C411</f>
        <v>0</v>
      </c>
      <c r="D908" s="168">
        <f>'Jrnl Exp ~ Dép'!$D411</f>
        <v>0</v>
      </c>
      <c r="E908" s="1510">
        <f>'Jrnl Exp ~ Dép'!$F411</f>
        <v>0</v>
      </c>
      <c r="F908" s="1510"/>
      <c r="G908" s="951" t="str">
        <f>IF('Jrnl Exp ~ Dép'!$E411="","",'Jrnl Exp ~ Dép'!$E411)</f>
        <v/>
      </c>
      <c r="H908" s="147">
        <f>'Jrnl Exp ~ Dép'!H411</f>
        <v>0</v>
      </c>
      <c r="I908" s="147" t="str">
        <f t="shared" si="28"/>
        <v>0</v>
      </c>
      <c r="J908" s="148" t="b">
        <f t="shared" si="29"/>
        <v>0</v>
      </c>
      <c r="K908" s="169"/>
      <c r="L908" s="169">
        <f>'Jrnl Exp ~ Dép'!$G411</f>
        <v>0</v>
      </c>
      <c r="M908" s="151">
        <f>'Jrnl Exp ~ Dép'!E173</f>
        <v>0</v>
      </c>
      <c r="N908" s="167">
        <f>'Jrnl Exp ~ Dép'!$H173</f>
        <v>0</v>
      </c>
    </row>
    <row r="909" spans="2:15" s="1" customFormat="1" ht="30" hidden="1" customHeight="1" x14ac:dyDescent="0.15">
      <c r="B909" s="146">
        <f>IF(AND('Jrnl Exp ~ Dép'!$G412&lt;&gt;"",'Jrnl Exp ~ Dép'!$C412&lt;&gt;""),1,0)</f>
        <v>0</v>
      </c>
      <c r="C909" s="146">
        <f>'Jrnl Exp ~ Dép'!$C412</f>
        <v>0</v>
      </c>
      <c r="D909" s="168">
        <f>'Jrnl Exp ~ Dép'!$D412</f>
        <v>0</v>
      </c>
      <c r="E909" s="1510">
        <f>'Jrnl Exp ~ Dép'!$F412</f>
        <v>0</v>
      </c>
      <c r="F909" s="1510"/>
      <c r="G909" s="951" t="str">
        <f>IF('Jrnl Exp ~ Dép'!$E412="","",'Jrnl Exp ~ Dép'!$E412)</f>
        <v/>
      </c>
      <c r="H909" s="147">
        <f>'Jrnl Exp ~ Dép'!H412</f>
        <v>0</v>
      </c>
      <c r="I909" s="147" t="str">
        <f t="shared" si="28"/>
        <v>0</v>
      </c>
      <c r="J909" s="148" t="b">
        <f t="shared" si="29"/>
        <v>0</v>
      </c>
      <c r="K909" s="169"/>
      <c r="L909" s="169">
        <f>'Jrnl Exp ~ Dép'!$G412</f>
        <v>0</v>
      </c>
      <c r="M909" s="151">
        <f>'Jrnl Exp ~ Dép'!E174</f>
        <v>0</v>
      </c>
      <c r="N909" s="167">
        <f>'Jrnl Exp ~ Dép'!$H174</f>
        <v>0</v>
      </c>
    </row>
    <row r="910" spans="2:15" s="1" customFormat="1" ht="30" hidden="1" customHeight="1" x14ac:dyDescent="0.15">
      <c r="B910" s="146">
        <f>IF(AND('Jrnl Exp ~ Dép'!$G413&lt;&gt;"",'Jrnl Exp ~ Dép'!$C413&lt;&gt;""),1,0)</f>
        <v>0</v>
      </c>
      <c r="C910" s="146">
        <f>'Jrnl Exp ~ Dép'!$C413</f>
        <v>0</v>
      </c>
      <c r="D910" s="168">
        <f>'Jrnl Exp ~ Dép'!$D413</f>
        <v>0</v>
      </c>
      <c r="E910" s="1510">
        <f>'Jrnl Exp ~ Dép'!$F413</f>
        <v>0</v>
      </c>
      <c r="F910" s="1510"/>
      <c r="G910" s="951" t="str">
        <f>IF('Jrnl Exp ~ Dép'!$E413="","",'Jrnl Exp ~ Dép'!$E413)</f>
        <v/>
      </c>
      <c r="H910" s="147">
        <f>'Jrnl Exp ~ Dép'!H413</f>
        <v>0</v>
      </c>
      <c r="I910" s="147" t="str">
        <f t="shared" si="28"/>
        <v>0</v>
      </c>
      <c r="J910" s="148" t="b">
        <f t="shared" si="29"/>
        <v>0</v>
      </c>
      <c r="K910" s="169"/>
      <c r="L910" s="169">
        <f>'Jrnl Exp ~ Dép'!$G413</f>
        <v>0</v>
      </c>
      <c r="M910" s="151">
        <f>'Jrnl Exp ~ Dép'!E175</f>
        <v>0</v>
      </c>
      <c r="N910" s="167">
        <f>'Jrnl Exp ~ Dép'!$H175</f>
        <v>0</v>
      </c>
    </row>
    <row r="911" spans="2:15" s="1" customFormat="1" ht="30" hidden="1" customHeight="1" x14ac:dyDescent="0.15">
      <c r="B911" s="146">
        <f>IF(AND('Jrnl Exp ~ Dép'!$G414&lt;&gt;"",'Jrnl Exp ~ Dép'!$C414&lt;&gt;""),1,0)</f>
        <v>0</v>
      </c>
      <c r="C911" s="146">
        <f>'Jrnl Exp ~ Dép'!$C414</f>
        <v>0</v>
      </c>
      <c r="D911" s="168">
        <f>'Jrnl Exp ~ Dép'!$D414</f>
        <v>0</v>
      </c>
      <c r="E911" s="1510">
        <f>'Jrnl Exp ~ Dép'!$F414</f>
        <v>0</v>
      </c>
      <c r="F911" s="1510"/>
      <c r="G911" s="951" t="str">
        <f>IF('Jrnl Exp ~ Dép'!$E414="","",'Jrnl Exp ~ Dép'!$E414)</f>
        <v/>
      </c>
      <c r="H911" s="147">
        <f>'Jrnl Exp ~ Dép'!H414</f>
        <v>0</v>
      </c>
      <c r="I911" s="147" t="str">
        <f t="shared" si="28"/>
        <v>0</v>
      </c>
      <c r="J911" s="148" t="b">
        <f t="shared" si="29"/>
        <v>0</v>
      </c>
      <c r="K911" s="169"/>
      <c r="L911" s="169">
        <f>'Jrnl Exp ~ Dép'!$G414</f>
        <v>0</v>
      </c>
      <c r="M911" s="151">
        <f>'Jrnl Exp ~ Dép'!E176</f>
        <v>0</v>
      </c>
      <c r="N911" s="167">
        <f>'Jrnl Exp ~ Dép'!$H176</f>
        <v>0</v>
      </c>
    </row>
    <row r="912" spans="2:15" s="1" customFormat="1" ht="30" hidden="1" customHeight="1" x14ac:dyDescent="0.15">
      <c r="B912" s="146">
        <f>IF(AND('Jrnl Exp ~ Dép'!$G415&lt;&gt;"",'Jrnl Exp ~ Dép'!$C415&lt;&gt;""),1,0)</f>
        <v>0</v>
      </c>
      <c r="C912" s="146">
        <f>'Jrnl Exp ~ Dép'!$C415</f>
        <v>0</v>
      </c>
      <c r="D912" s="168">
        <f>'Jrnl Exp ~ Dép'!$D415</f>
        <v>0</v>
      </c>
      <c r="E912" s="1510">
        <f>'Jrnl Exp ~ Dép'!$F415</f>
        <v>0</v>
      </c>
      <c r="F912" s="1510"/>
      <c r="G912" s="951" t="str">
        <f>IF('Jrnl Exp ~ Dép'!$E415="","",'Jrnl Exp ~ Dép'!$E415)</f>
        <v/>
      </c>
      <c r="H912" s="147">
        <f>'Jrnl Exp ~ Dép'!H415</f>
        <v>0</v>
      </c>
      <c r="I912" s="147" t="str">
        <f t="shared" si="28"/>
        <v>0</v>
      </c>
      <c r="J912" s="148" t="b">
        <f t="shared" si="29"/>
        <v>0</v>
      </c>
      <c r="K912" s="169"/>
      <c r="L912" s="169">
        <f>'Jrnl Exp ~ Dép'!$G415</f>
        <v>0</v>
      </c>
      <c r="M912" s="151">
        <f>'Jrnl Exp ~ Dép'!E177</f>
        <v>0</v>
      </c>
      <c r="N912" s="167">
        <f>'Jrnl Exp ~ Dép'!$H177</f>
        <v>0</v>
      </c>
      <c r="O912" s="170"/>
    </row>
    <row r="913" spans="2:15" s="1" customFormat="1" ht="30" hidden="1" customHeight="1" x14ac:dyDescent="0.15">
      <c r="B913" s="146">
        <f>IF(AND('Jrnl Exp ~ Dép'!$G416&lt;&gt;"",'Jrnl Exp ~ Dép'!$C416&lt;&gt;""),1,0)</f>
        <v>0</v>
      </c>
      <c r="C913" s="146">
        <f>'Jrnl Exp ~ Dép'!$C416</f>
        <v>0</v>
      </c>
      <c r="D913" s="168">
        <f>'Jrnl Exp ~ Dép'!$D416</f>
        <v>0</v>
      </c>
      <c r="E913" s="1510">
        <f>'Jrnl Exp ~ Dép'!$F416</f>
        <v>0</v>
      </c>
      <c r="F913" s="1510"/>
      <c r="G913" s="951" t="str">
        <f>IF('Jrnl Exp ~ Dép'!$E416="","",'Jrnl Exp ~ Dép'!$E416)</f>
        <v/>
      </c>
      <c r="H913" s="147">
        <f>'Jrnl Exp ~ Dép'!H416</f>
        <v>0</v>
      </c>
      <c r="I913" s="147" t="str">
        <f t="shared" si="28"/>
        <v>0</v>
      </c>
      <c r="J913" s="148" t="b">
        <f t="shared" si="29"/>
        <v>0</v>
      </c>
      <c r="K913" s="169"/>
      <c r="L913" s="169">
        <f>'Jrnl Exp ~ Dép'!$G416</f>
        <v>0</v>
      </c>
      <c r="M913" s="151">
        <f>'Jrnl Exp ~ Dép'!E178</f>
        <v>0</v>
      </c>
      <c r="N913" s="167">
        <f>'Jrnl Exp ~ Dép'!$H178</f>
        <v>0</v>
      </c>
      <c r="O913" s="170"/>
    </row>
    <row r="914" spans="2:15" s="1" customFormat="1" ht="30" hidden="1" customHeight="1" x14ac:dyDescent="0.15">
      <c r="B914" s="146">
        <f>IF(AND('Jrnl Exp ~ Dép'!$G417&lt;&gt;"",'Jrnl Exp ~ Dép'!$C417&lt;&gt;""),1,0)</f>
        <v>0</v>
      </c>
      <c r="C914" s="146">
        <f>'Jrnl Exp ~ Dép'!$C417</f>
        <v>0</v>
      </c>
      <c r="D914" s="168">
        <f>'Jrnl Exp ~ Dép'!$D417</f>
        <v>0</v>
      </c>
      <c r="E914" s="1510">
        <f>'Jrnl Exp ~ Dép'!$F417</f>
        <v>0</v>
      </c>
      <c r="F914" s="1510"/>
      <c r="G914" s="951" t="str">
        <f>IF('Jrnl Exp ~ Dép'!$E417="","",'Jrnl Exp ~ Dép'!$E417)</f>
        <v/>
      </c>
      <c r="H914" s="147">
        <f>'Jrnl Exp ~ Dép'!H417</f>
        <v>0</v>
      </c>
      <c r="I914" s="147" t="str">
        <f t="shared" si="28"/>
        <v>0</v>
      </c>
      <c r="J914" s="148" t="b">
        <f t="shared" si="29"/>
        <v>0</v>
      </c>
      <c r="K914" s="169"/>
      <c r="L914" s="169">
        <f>'Jrnl Exp ~ Dép'!$G417</f>
        <v>0</v>
      </c>
      <c r="M914" s="151">
        <f>'Jrnl Exp ~ Dép'!E179</f>
        <v>0</v>
      </c>
      <c r="N914" s="167">
        <f>'Jrnl Exp ~ Dép'!$H179</f>
        <v>0</v>
      </c>
      <c r="O914" s="170"/>
    </row>
    <row r="915" spans="2:15" s="1" customFormat="1" ht="30" hidden="1" customHeight="1" x14ac:dyDescent="0.15">
      <c r="B915" s="146">
        <f>IF(AND('Jrnl Exp ~ Dép'!$G418&lt;&gt;"",'Jrnl Exp ~ Dép'!$C418&lt;&gt;""),1,0)</f>
        <v>0</v>
      </c>
      <c r="C915" s="146">
        <f>'Jrnl Exp ~ Dép'!$C418</f>
        <v>0</v>
      </c>
      <c r="D915" s="168">
        <f>'Jrnl Exp ~ Dép'!$D418</f>
        <v>0</v>
      </c>
      <c r="E915" s="1510">
        <f>'Jrnl Exp ~ Dép'!$F418</f>
        <v>0</v>
      </c>
      <c r="F915" s="1510"/>
      <c r="G915" s="951" t="str">
        <f>IF('Jrnl Exp ~ Dép'!$E418="","",'Jrnl Exp ~ Dép'!$E418)</f>
        <v/>
      </c>
      <c r="H915" s="147">
        <f>'Jrnl Exp ~ Dép'!H418</f>
        <v>0</v>
      </c>
      <c r="I915" s="147" t="str">
        <f t="shared" si="28"/>
        <v>0</v>
      </c>
      <c r="J915" s="148" t="b">
        <f t="shared" si="29"/>
        <v>0</v>
      </c>
      <c r="K915" s="169"/>
      <c r="L915" s="169">
        <f>'Jrnl Exp ~ Dép'!$G418</f>
        <v>0</v>
      </c>
      <c r="M915" s="151">
        <f>'Jrnl Exp ~ Dép'!E180</f>
        <v>0</v>
      </c>
      <c r="N915" s="167">
        <f>'Jrnl Exp ~ Dép'!$H180</f>
        <v>0</v>
      </c>
      <c r="O915" s="170"/>
    </row>
    <row r="916" spans="2:15" s="1" customFormat="1" ht="30" hidden="1" customHeight="1" x14ac:dyDescent="0.15">
      <c r="B916" s="146">
        <f>IF(AND('Jrnl Exp ~ Dép'!$G419&lt;&gt;"",'Jrnl Exp ~ Dép'!$C419&lt;&gt;""),1,0)</f>
        <v>0</v>
      </c>
      <c r="C916" s="146">
        <f>'Jrnl Exp ~ Dép'!$C419</f>
        <v>0</v>
      </c>
      <c r="D916" s="168">
        <f>'Jrnl Exp ~ Dép'!$D419</f>
        <v>0</v>
      </c>
      <c r="E916" s="1510">
        <f>'Jrnl Exp ~ Dép'!$F419</f>
        <v>0</v>
      </c>
      <c r="F916" s="1510"/>
      <c r="G916" s="951" t="str">
        <f>IF('Jrnl Exp ~ Dép'!$E419="","",'Jrnl Exp ~ Dép'!$E419)</f>
        <v/>
      </c>
      <c r="H916" s="147">
        <f>'Jrnl Exp ~ Dép'!H419</f>
        <v>0</v>
      </c>
      <c r="I916" s="147" t="str">
        <f t="shared" si="28"/>
        <v>0</v>
      </c>
      <c r="J916" s="148" t="b">
        <f t="shared" si="29"/>
        <v>0</v>
      </c>
      <c r="K916" s="169"/>
      <c r="L916" s="169">
        <f>'Jrnl Exp ~ Dép'!$G419</f>
        <v>0</v>
      </c>
      <c r="M916" s="151">
        <f>'Jrnl Exp ~ Dép'!E181</f>
        <v>0</v>
      </c>
      <c r="N916" s="167">
        <f>'Jrnl Exp ~ Dép'!$H181</f>
        <v>0</v>
      </c>
      <c r="O916" s="170"/>
    </row>
    <row r="917" spans="2:15" s="1" customFormat="1" ht="30" hidden="1" customHeight="1" x14ac:dyDescent="0.15">
      <c r="B917" s="146">
        <f>IF(AND('Jrnl Exp ~ Dép'!$G420&lt;&gt;"",'Jrnl Exp ~ Dép'!$C420&lt;&gt;""),1,0)</f>
        <v>0</v>
      </c>
      <c r="C917" s="146">
        <f>'Jrnl Exp ~ Dép'!$C420</f>
        <v>0</v>
      </c>
      <c r="D917" s="168">
        <f>'Jrnl Exp ~ Dép'!$D420</f>
        <v>0</v>
      </c>
      <c r="E917" s="1510">
        <f>'Jrnl Exp ~ Dép'!$F420</f>
        <v>0</v>
      </c>
      <c r="F917" s="1510"/>
      <c r="G917" s="951" t="str">
        <f>IF('Jrnl Exp ~ Dép'!$E420="","",'Jrnl Exp ~ Dép'!$E420)</f>
        <v/>
      </c>
      <c r="H917" s="147">
        <f>'Jrnl Exp ~ Dép'!H420</f>
        <v>0</v>
      </c>
      <c r="I917" s="147" t="str">
        <f t="shared" si="28"/>
        <v>0</v>
      </c>
      <c r="J917" s="148" t="b">
        <f t="shared" si="29"/>
        <v>0</v>
      </c>
      <c r="K917" s="169"/>
      <c r="L917" s="169">
        <f>'Jrnl Exp ~ Dép'!$G420</f>
        <v>0</v>
      </c>
      <c r="M917" s="151">
        <f>'Jrnl Exp ~ Dép'!E182</f>
        <v>0</v>
      </c>
      <c r="N917" s="167">
        <f>'Jrnl Exp ~ Dép'!$H182</f>
        <v>0</v>
      </c>
      <c r="O917" s="170"/>
    </row>
    <row r="918" spans="2:15" s="1" customFormat="1" ht="30" hidden="1" customHeight="1" x14ac:dyDescent="0.15">
      <c r="B918" s="146">
        <f>IF(AND('Jrnl Exp ~ Dép'!$G421&lt;&gt;"",'Jrnl Exp ~ Dép'!$C421&lt;&gt;""),1,0)</f>
        <v>0</v>
      </c>
      <c r="C918" s="146">
        <f>'Jrnl Exp ~ Dép'!$C421</f>
        <v>0</v>
      </c>
      <c r="D918" s="168">
        <f>'Jrnl Exp ~ Dép'!$D421</f>
        <v>0</v>
      </c>
      <c r="E918" s="1510">
        <f>'Jrnl Exp ~ Dép'!$F421</f>
        <v>0</v>
      </c>
      <c r="F918" s="1510"/>
      <c r="G918" s="951" t="str">
        <f>IF('Jrnl Exp ~ Dép'!$E421="","",'Jrnl Exp ~ Dép'!$E421)</f>
        <v/>
      </c>
      <c r="H918" s="147">
        <f>'Jrnl Exp ~ Dép'!H421</f>
        <v>0</v>
      </c>
      <c r="I918" s="147" t="str">
        <f t="shared" si="28"/>
        <v>0</v>
      </c>
      <c r="J918" s="148" t="b">
        <f t="shared" si="29"/>
        <v>0</v>
      </c>
      <c r="K918" s="169"/>
      <c r="L918" s="169">
        <f>'Jrnl Exp ~ Dép'!$G421</f>
        <v>0</v>
      </c>
      <c r="M918" s="151">
        <f>'Jrnl Exp ~ Dép'!E183</f>
        <v>0</v>
      </c>
      <c r="N918" s="167">
        <f>'Jrnl Exp ~ Dép'!$H183</f>
        <v>0</v>
      </c>
      <c r="O918" s="170"/>
    </row>
    <row r="919" spans="2:15" s="1" customFormat="1" ht="30" hidden="1" customHeight="1" x14ac:dyDescent="0.15">
      <c r="B919" s="146">
        <f>IF(AND('Jrnl Exp ~ Dép'!$G422&lt;&gt;"",'Jrnl Exp ~ Dép'!$C422&lt;&gt;""),1,0)</f>
        <v>0</v>
      </c>
      <c r="C919" s="146">
        <f>'Jrnl Exp ~ Dép'!$C422</f>
        <v>0</v>
      </c>
      <c r="D919" s="168">
        <f>'Jrnl Exp ~ Dép'!$D422</f>
        <v>0</v>
      </c>
      <c r="E919" s="1510">
        <f>'Jrnl Exp ~ Dép'!$F422</f>
        <v>0</v>
      </c>
      <c r="F919" s="1510"/>
      <c r="G919" s="951" t="str">
        <f>IF('Jrnl Exp ~ Dép'!$E422="","",'Jrnl Exp ~ Dép'!$E422)</f>
        <v/>
      </c>
      <c r="H919" s="147">
        <f>'Jrnl Exp ~ Dép'!H422</f>
        <v>0</v>
      </c>
      <c r="I919" s="147" t="str">
        <f t="shared" si="28"/>
        <v>0</v>
      </c>
      <c r="J919" s="148" t="b">
        <f t="shared" si="29"/>
        <v>0</v>
      </c>
      <c r="K919" s="169"/>
      <c r="L919" s="169">
        <f>'Jrnl Exp ~ Dép'!$G422</f>
        <v>0</v>
      </c>
      <c r="M919" s="151">
        <f>'Jrnl Exp ~ Dép'!E184</f>
        <v>0</v>
      </c>
      <c r="N919" s="167">
        <f>'Jrnl Exp ~ Dép'!$H184</f>
        <v>0</v>
      </c>
      <c r="O919" s="170"/>
    </row>
    <row r="920" spans="2:15" s="1" customFormat="1" ht="30" hidden="1" customHeight="1" x14ac:dyDescent="0.15">
      <c r="B920" s="146">
        <f>IF(AND('Jrnl Exp ~ Dép'!$G423&lt;&gt;"",'Jrnl Exp ~ Dép'!$C423&lt;&gt;""),1,0)</f>
        <v>0</v>
      </c>
      <c r="C920" s="146">
        <f>'Jrnl Exp ~ Dép'!$C423</f>
        <v>0</v>
      </c>
      <c r="D920" s="168">
        <f>'Jrnl Exp ~ Dép'!$D423</f>
        <v>0</v>
      </c>
      <c r="E920" s="1510">
        <f>'Jrnl Exp ~ Dép'!$F423</f>
        <v>0</v>
      </c>
      <c r="F920" s="1510"/>
      <c r="G920" s="951" t="str">
        <f>IF('Jrnl Exp ~ Dép'!$E423="","",'Jrnl Exp ~ Dép'!$E423)</f>
        <v/>
      </c>
      <c r="H920" s="147">
        <f>'Jrnl Exp ~ Dép'!H423</f>
        <v>0</v>
      </c>
      <c r="I920" s="147" t="str">
        <f t="shared" si="28"/>
        <v>0</v>
      </c>
      <c r="J920" s="148" t="b">
        <f t="shared" si="29"/>
        <v>0</v>
      </c>
      <c r="K920" s="169"/>
      <c r="L920" s="169">
        <f>'Jrnl Exp ~ Dép'!$G423</f>
        <v>0</v>
      </c>
      <c r="M920" s="151">
        <f>'Jrnl Exp ~ Dép'!E185</f>
        <v>0</v>
      </c>
      <c r="N920" s="167">
        <f>'Jrnl Exp ~ Dép'!$H185</f>
        <v>0</v>
      </c>
      <c r="O920" s="170"/>
    </row>
    <row r="921" spans="2:15" s="1" customFormat="1" ht="30" hidden="1" customHeight="1" x14ac:dyDescent="0.15">
      <c r="B921" s="146">
        <f>IF(AND('Jrnl Exp ~ Dép'!$G424&lt;&gt;"",'Jrnl Exp ~ Dép'!$C424&lt;&gt;""),1,0)</f>
        <v>0</v>
      </c>
      <c r="C921" s="146">
        <f>'Jrnl Exp ~ Dép'!$C424</f>
        <v>0</v>
      </c>
      <c r="D921" s="168">
        <f>'Jrnl Exp ~ Dép'!$D424</f>
        <v>0</v>
      </c>
      <c r="E921" s="1510">
        <f>'Jrnl Exp ~ Dép'!$F424</f>
        <v>0</v>
      </c>
      <c r="F921" s="1510"/>
      <c r="G921" s="951" t="str">
        <f>IF('Jrnl Exp ~ Dép'!$E424="","",'Jrnl Exp ~ Dép'!$E424)</f>
        <v/>
      </c>
      <c r="H921" s="147">
        <f>'Jrnl Exp ~ Dép'!H424</f>
        <v>0</v>
      </c>
      <c r="I921" s="147" t="str">
        <f t="shared" si="28"/>
        <v>0</v>
      </c>
      <c r="J921" s="148" t="b">
        <f t="shared" si="29"/>
        <v>0</v>
      </c>
      <c r="K921" s="169"/>
      <c r="L921" s="169">
        <f>'Jrnl Exp ~ Dép'!$G424</f>
        <v>0</v>
      </c>
      <c r="M921" s="151">
        <f>'Jrnl Exp ~ Dép'!E186</f>
        <v>0</v>
      </c>
      <c r="N921" s="167">
        <f>'Jrnl Exp ~ Dép'!$H186</f>
        <v>0</v>
      </c>
      <c r="O921" s="170"/>
    </row>
    <row r="922" spans="2:15" s="1" customFormat="1" ht="30" hidden="1" customHeight="1" x14ac:dyDescent="0.15">
      <c r="B922" s="146">
        <f>IF(AND('Jrnl Exp ~ Dép'!$G425&lt;&gt;"",'Jrnl Exp ~ Dép'!$C425&lt;&gt;""),1,0)</f>
        <v>0</v>
      </c>
      <c r="C922" s="146">
        <f>'Jrnl Exp ~ Dép'!$C425</f>
        <v>0</v>
      </c>
      <c r="D922" s="168">
        <f>'Jrnl Exp ~ Dép'!$D425</f>
        <v>0</v>
      </c>
      <c r="E922" s="1510">
        <f>'Jrnl Exp ~ Dép'!$F425</f>
        <v>0</v>
      </c>
      <c r="F922" s="1510"/>
      <c r="G922" s="951" t="str">
        <f>IF('Jrnl Exp ~ Dép'!$E425="","",'Jrnl Exp ~ Dép'!$E425)</f>
        <v/>
      </c>
      <c r="H922" s="147">
        <f>'Jrnl Exp ~ Dép'!H425</f>
        <v>0</v>
      </c>
      <c r="I922" s="147" t="str">
        <f t="shared" si="28"/>
        <v>0</v>
      </c>
      <c r="J922" s="148" t="b">
        <f t="shared" si="29"/>
        <v>0</v>
      </c>
      <c r="K922" s="169"/>
      <c r="L922" s="169">
        <f>'Jrnl Exp ~ Dép'!$G425</f>
        <v>0</v>
      </c>
      <c r="M922" s="151">
        <f>'Jrnl Exp ~ Dép'!E187</f>
        <v>0</v>
      </c>
      <c r="N922" s="167">
        <f>'Jrnl Exp ~ Dép'!$H187</f>
        <v>0</v>
      </c>
    </row>
    <row r="923" spans="2:15" s="1" customFormat="1" ht="30" hidden="1" customHeight="1" x14ac:dyDescent="0.15">
      <c r="B923" s="146">
        <f>IF(AND('Jrnl Exp ~ Dép'!$G426&lt;&gt;"",'Jrnl Exp ~ Dép'!$C426&lt;&gt;""),1,0)</f>
        <v>0</v>
      </c>
      <c r="C923" s="146">
        <f>'Jrnl Exp ~ Dép'!$C426</f>
        <v>0</v>
      </c>
      <c r="D923" s="168">
        <f>'Jrnl Exp ~ Dép'!$D426</f>
        <v>0</v>
      </c>
      <c r="E923" s="1510">
        <f>'Jrnl Exp ~ Dép'!$F426</f>
        <v>0</v>
      </c>
      <c r="F923" s="1510"/>
      <c r="G923" s="951" t="str">
        <f>IF('Jrnl Exp ~ Dép'!$E426="","",'Jrnl Exp ~ Dép'!$E426)</f>
        <v/>
      </c>
      <c r="H923" s="147">
        <f>'Jrnl Exp ~ Dép'!H426</f>
        <v>0</v>
      </c>
      <c r="I923" s="147" t="str">
        <f t="shared" si="28"/>
        <v>0</v>
      </c>
      <c r="J923" s="148" t="b">
        <f t="shared" si="29"/>
        <v>0</v>
      </c>
      <c r="K923" s="169"/>
      <c r="L923" s="169">
        <f>'Jrnl Exp ~ Dép'!$G426</f>
        <v>0</v>
      </c>
      <c r="M923" s="151">
        <f>'Jrnl Exp ~ Dép'!E188</f>
        <v>0</v>
      </c>
      <c r="N923" s="167">
        <f>'Jrnl Exp ~ Dép'!$H188</f>
        <v>0</v>
      </c>
    </row>
    <row r="924" spans="2:15" s="1" customFormat="1" ht="30" hidden="1" customHeight="1" x14ac:dyDescent="0.15">
      <c r="B924" s="146">
        <f>IF(AND('Jrnl Exp ~ Dép'!$G427&lt;&gt;"",'Jrnl Exp ~ Dép'!$C427&lt;&gt;""),1,0)</f>
        <v>0</v>
      </c>
      <c r="C924" s="146">
        <f>'Jrnl Exp ~ Dép'!$C427</f>
        <v>0</v>
      </c>
      <c r="D924" s="168">
        <f>'Jrnl Exp ~ Dép'!$D427</f>
        <v>0</v>
      </c>
      <c r="E924" s="1510">
        <f>'Jrnl Exp ~ Dép'!$F427</f>
        <v>0</v>
      </c>
      <c r="F924" s="1510"/>
      <c r="G924" s="951" t="str">
        <f>IF('Jrnl Exp ~ Dép'!$E427="","",'Jrnl Exp ~ Dép'!$E427)</f>
        <v/>
      </c>
      <c r="H924" s="147">
        <f>'Jrnl Exp ~ Dép'!H427</f>
        <v>0</v>
      </c>
      <c r="I924" s="147" t="str">
        <f t="shared" si="28"/>
        <v>0</v>
      </c>
      <c r="J924" s="148" t="b">
        <f t="shared" si="29"/>
        <v>0</v>
      </c>
      <c r="K924" s="169"/>
      <c r="L924" s="169">
        <f>'Jrnl Exp ~ Dép'!$G427</f>
        <v>0</v>
      </c>
      <c r="M924" s="151">
        <f>'Jrnl Exp ~ Dép'!E189</f>
        <v>0</v>
      </c>
      <c r="N924" s="167">
        <f>'Jrnl Exp ~ Dép'!$H189</f>
        <v>0</v>
      </c>
    </row>
    <row r="925" spans="2:15" s="1" customFormat="1" ht="30" hidden="1" customHeight="1" x14ac:dyDescent="0.15">
      <c r="B925" s="146">
        <f>IF(AND('Jrnl Exp ~ Dép'!$G428&lt;&gt;"",'Jrnl Exp ~ Dép'!$C428&lt;&gt;""),1,0)</f>
        <v>0</v>
      </c>
      <c r="C925" s="146">
        <f>'Jrnl Exp ~ Dép'!$C428</f>
        <v>0</v>
      </c>
      <c r="D925" s="168">
        <f>'Jrnl Exp ~ Dép'!$D428</f>
        <v>0</v>
      </c>
      <c r="E925" s="1510">
        <f>'Jrnl Exp ~ Dép'!$F428</f>
        <v>0</v>
      </c>
      <c r="F925" s="1510"/>
      <c r="G925" s="951" t="str">
        <f>IF('Jrnl Exp ~ Dép'!$E428="","",'Jrnl Exp ~ Dép'!$E428)</f>
        <v/>
      </c>
      <c r="H925" s="147">
        <f>'Jrnl Exp ~ Dép'!H428</f>
        <v>0</v>
      </c>
      <c r="I925" s="147" t="str">
        <f t="shared" si="28"/>
        <v>0</v>
      </c>
      <c r="J925" s="148" t="b">
        <f t="shared" si="29"/>
        <v>0</v>
      </c>
      <c r="K925" s="169"/>
      <c r="L925" s="169">
        <f>'Jrnl Exp ~ Dép'!$G428</f>
        <v>0</v>
      </c>
      <c r="M925" s="151">
        <f>'Jrnl Exp ~ Dép'!E190</f>
        <v>0</v>
      </c>
      <c r="N925" s="167">
        <f>'Jrnl Exp ~ Dép'!$H190</f>
        <v>0</v>
      </c>
    </row>
    <row r="926" spans="2:15" s="1" customFormat="1" ht="30" hidden="1" customHeight="1" x14ac:dyDescent="0.15">
      <c r="B926" s="146">
        <f>IF(AND('Jrnl Exp ~ Dép'!$G429&lt;&gt;"",'Jrnl Exp ~ Dép'!$C429&lt;&gt;""),1,0)</f>
        <v>0</v>
      </c>
      <c r="C926" s="146">
        <f>'Jrnl Exp ~ Dép'!$C429</f>
        <v>0</v>
      </c>
      <c r="D926" s="168">
        <f>'Jrnl Exp ~ Dép'!$D429</f>
        <v>0</v>
      </c>
      <c r="E926" s="1510">
        <f>'Jrnl Exp ~ Dép'!$F429</f>
        <v>0</v>
      </c>
      <c r="F926" s="1510"/>
      <c r="G926" s="951" t="str">
        <f>IF('Jrnl Exp ~ Dép'!$E429="","",'Jrnl Exp ~ Dép'!$E429)</f>
        <v/>
      </c>
      <c r="H926" s="147">
        <f>'Jrnl Exp ~ Dép'!H429</f>
        <v>0</v>
      </c>
      <c r="I926" s="147" t="str">
        <f t="shared" si="28"/>
        <v>0</v>
      </c>
      <c r="J926" s="148" t="b">
        <f t="shared" si="29"/>
        <v>0</v>
      </c>
      <c r="K926" s="169"/>
      <c r="L926" s="169">
        <f>'Jrnl Exp ~ Dép'!$G429</f>
        <v>0</v>
      </c>
      <c r="M926" s="151">
        <f>'Jrnl Exp ~ Dép'!E191</f>
        <v>0</v>
      </c>
      <c r="N926" s="167">
        <f>'Jrnl Exp ~ Dép'!$H191</f>
        <v>0</v>
      </c>
    </row>
    <row r="927" spans="2:15" s="1" customFormat="1" ht="30" hidden="1" customHeight="1" x14ac:dyDescent="0.15">
      <c r="B927" s="146">
        <f>IF(AND('Jrnl Exp ~ Dép'!$G430&lt;&gt;"",'Jrnl Exp ~ Dép'!$C430&lt;&gt;""),1,0)</f>
        <v>0</v>
      </c>
      <c r="C927" s="146">
        <f>'Jrnl Exp ~ Dép'!$C430</f>
        <v>0</v>
      </c>
      <c r="D927" s="168">
        <f>'Jrnl Exp ~ Dép'!$D430</f>
        <v>0</v>
      </c>
      <c r="E927" s="1510">
        <f>'Jrnl Exp ~ Dép'!$F430</f>
        <v>0</v>
      </c>
      <c r="F927" s="1510"/>
      <c r="G927" s="951" t="str">
        <f>IF('Jrnl Exp ~ Dép'!$E430="","",'Jrnl Exp ~ Dép'!$E430)</f>
        <v/>
      </c>
      <c r="H927" s="147">
        <f>'Jrnl Exp ~ Dép'!H430</f>
        <v>0</v>
      </c>
      <c r="I927" s="147" t="str">
        <f t="shared" si="28"/>
        <v>0</v>
      </c>
      <c r="J927" s="148" t="b">
        <f t="shared" si="29"/>
        <v>0</v>
      </c>
      <c r="K927" s="169"/>
      <c r="L927" s="169">
        <f>'Jrnl Exp ~ Dép'!$G430</f>
        <v>0</v>
      </c>
      <c r="M927" s="151">
        <f>'Jrnl Exp ~ Dép'!E192</f>
        <v>0</v>
      </c>
      <c r="N927" s="167">
        <f>'Jrnl Exp ~ Dép'!$H192</f>
        <v>0</v>
      </c>
    </row>
    <row r="928" spans="2:15" s="1" customFormat="1" ht="30" hidden="1" customHeight="1" x14ac:dyDescent="0.15">
      <c r="B928" s="146">
        <f>IF(AND('Jrnl Exp ~ Dép'!$G431&lt;&gt;"",'Jrnl Exp ~ Dép'!$C431&lt;&gt;""),1,0)</f>
        <v>0</v>
      </c>
      <c r="C928" s="146">
        <f>'Jrnl Exp ~ Dép'!$C431</f>
        <v>0</v>
      </c>
      <c r="D928" s="168">
        <f>'Jrnl Exp ~ Dép'!$D431</f>
        <v>0</v>
      </c>
      <c r="E928" s="1510">
        <f>'Jrnl Exp ~ Dép'!$F431</f>
        <v>0</v>
      </c>
      <c r="F928" s="1510"/>
      <c r="G928" s="951" t="str">
        <f>IF('Jrnl Exp ~ Dép'!$E431="","",'Jrnl Exp ~ Dép'!$E431)</f>
        <v/>
      </c>
      <c r="H928" s="147">
        <f>'Jrnl Exp ~ Dép'!H431</f>
        <v>0</v>
      </c>
      <c r="I928" s="147" t="str">
        <f t="shared" si="28"/>
        <v>0</v>
      </c>
      <c r="J928" s="148" t="b">
        <f t="shared" si="29"/>
        <v>0</v>
      </c>
      <c r="K928" s="169"/>
      <c r="L928" s="169">
        <f>'Jrnl Exp ~ Dép'!$G431</f>
        <v>0</v>
      </c>
      <c r="M928" s="151">
        <f>'Jrnl Exp ~ Dép'!E193</f>
        <v>0</v>
      </c>
      <c r="N928" s="167">
        <f>'Jrnl Exp ~ Dép'!$H193</f>
        <v>0</v>
      </c>
    </row>
    <row r="929" spans="2:14" s="1" customFormat="1" ht="30" hidden="1" customHeight="1" x14ac:dyDescent="0.15">
      <c r="B929" s="146">
        <f>IF(AND('Jrnl Exp ~ Dép'!$G432&lt;&gt;"",'Jrnl Exp ~ Dép'!$C432&lt;&gt;""),1,0)</f>
        <v>0</v>
      </c>
      <c r="C929" s="146">
        <f>'Jrnl Exp ~ Dép'!$C432</f>
        <v>0</v>
      </c>
      <c r="D929" s="168">
        <f>'Jrnl Exp ~ Dép'!$D432</f>
        <v>0</v>
      </c>
      <c r="E929" s="1510">
        <f>'Jrnl Exp ~ Dép'!$F432</f>
        <v>0</v>
      </c>
      <c r="F929" s="1510"/>
      <c r="G929" s="951" t="str">
        <f>IF('Jrnl Exp ~ Dép'!$E432="","",'Jrnl Exp ~ Dép'!$E432)</f>
        <v/>
      </c>
      <c r="H929" s="147">
        <f>'Jrnl Exp ~ Dép'!H432</f>
        <v>0</v>
      </c>
      <c r="I929" s="147" t="str">
        <f t="shared" si="28"/>
        <v>0</v>
      </c>
      <c r="J929" s="148" t="b">
        <f t="shared" si="29"/>
        <v>0</v>
      </c>
      <c r="K929" s="169"/>
      <c r="L929" s="169">
        <f>'Jrnl Exp ~ Dép'!$G432</f>
        <v>0</v>
      </c>
      <c r="M929" s="151">
        <f>'Jrnl Exp ~ Dép'!E194</f>
        <v>0</v>
      </c>
      <c r="N929" s="167">
        <f>'Jrnl Exp ~ Dép'!$H194</f>
        <v>0</v>
      </c>
    </row>
    <row r="930" spans="2:14" s="1" customFormat="1" ht="30" hidden="1" customHeight="1" x14ac:dyDescent="0.15">
      <c r="B930" s="146">
        <f>IF(AND('Jrnl Exp ~ Dép'!$G433&lt;&gt;"",'Jrnl Exp ~ Dép'!$C433&lt;&gt;""),1,0)</f>
        <v>0</v>
      </c>
      <c r="C930" s="146">
        <f>'Jrnl Exp ~ Dép'!$C433</f>
        <v>0</v>
      </c>
      <c r="D930" s="168">
        <f>'Jrnl Exp ~ Dép'!$D433</f>
        <v>0</v>
      </c>
      <c r="E930" s="1510">
        <f>'Jrnl Exp ~ Dép'!$F433</f>
        <v>0</v>
      </c>
      <c r="F930" s="1510"/>
      <c r="G930" s="951" t="str">
        <f>IF('Jrnl Exp ~ Dép'!$E433="","",'Jrnl Exp ~ Dép'!$E433)</f>
        <v/>
      </c>
      <c r="H930" s="147">
        <f>'Jrnl Exp ~ Dép'!H433</f>
        <v>0</v>
      </c>
      <c r="I930" s="147" t="str">
        <f t="shared" si="28"/>
        <v>0</v>
      </c>
      <c r="J930" s="148" t="b">
        <f t="shared" si="29"/>
        <v>0</v>
      </c>
      <c r="K930" s="169"/>
      <c r="L930" s="169">
        <f>'Jrnl Exp ~ Dép'!$G433</f>
        <v>0</v>
      </c>
      <c r="M930" s="151">
        <f>'Jrnl Exp ~ Dép'!E195</f>
        <v>0</v>
      </c>
      <c r="N930" s="167">
        <f>'Jrnl Exp ~ Dép'!$H195</f>
        <v>0</v>
      </c>
    </row>
    <row r="931" spans="2:14" s="1" customFormat="1" ht="30" hidden="1" customHeight="1" x14ac:dyDescent="0.15">
      <c r="B931" s="146">
        <f>IF(AND('Jrnl Exp ~ Dép'!$G434&lt;&gt;"",'Jrnl Exp ~ Dép'!$C434&lt;&gt;""),1,0)</f>
        <v>0</v>
      </c>
      <c r="C931" s="146">
        <f>'Jrnl Exp ~ Dép'!$C434</f>
        <v>0</v>
      </c>
      <c r="D931" s="168">
        <f>'Jrnl Exp ~ Dép'!$D434</f>
        <v>0</v>
      </c>
      <c r="E931" s="1510">
        <f>'Jrnl Exp ~ Dép'!$F434</f>
        <v>0</v>
      </c>
      <c r="F931" s="1510"/>
      <c r="G931" s="951" t="str">
        <f>IF('Jrnl Exp ~ Dép'!$E434="","",'Jrnl Exp ~ Dép'!$E434)</f>
        <v/>
      </c>
      <c r="H931" s="147">
        <f>'Jrnl Exp ~ Dép'!H434</f>
        <v>0</v>
      </c>
      <c r="I931" s="147" t="str">
        <f t="shared" si="28"/>
        <v>0</v>
      </c>
      <c r="J931" s="148" t="b">
        <f t="shared" si="29"/>
        <v>0</v>
      </c>
      <c r="K931" s="169"/>
      <c r="L931" s="169">
        <f>'Jrnl Exp ~ Dép'!$G434</f>
        <v>0</v>
      </c>
      <c r="M931" s="151">
        <f>'Jrnl Exp ~ Dép'!E196</f>
        <v>0</v>
      </c>
      <c r="N931" s="167">
        <f>'Jrnl Exp ~ Dép'!$H196</f>
        <v>0</v>
      </c>
    </row>
    <row r="932" spans="2:14" s="1" customFormat="1" ht="30" hidden="1" customHeight="1" x14ac:dyDescent="0.15">
      <c r="B932" s="146">
        <f>IF(AND('Jrnl Exp ~ Dép'!$G435&lt;&gt;"",'Jrnl Exp ~ Dép'!$C435&lt;&gt;""),1,0)</f>
        <v>0</v>
      </c>
      <c r="C932" s="146">
        <f>'Jrnl Exp ~ Dép'!$C435</f>
        <v>0</v>
      </c>
      <c r="D932" s="168">
        <f>'Jrnl Exp ~ Dép'!$D435</f>
        <v>0</v>
      </c>
      <c r="E932" s="1510">
        <f>'Jrnl Exp ~ Dép'!$F435</f>
        <v>0</v>
      </c>
      <c r="F932" s="1510"/>
      <c r="G932" s="951" t="str">
        <f>IF('Jrnl Exp ~ Dép'!$E435="","",'Jrnl Exp ~ Dép'!$E435)</f>
        <v/>
      </c>
      <c r="H932" s="147">
        <f>'Jrnl Exp ~ Dép'!H435</f>
        <v>0</v>
      </c>
      <c r="I932" s="147" t="str">
        <f t="shared" si="28"/>
        <v>0</v>
      </c>
      <c r="J932" s="148" t="b">
        <f t="shared" si="29"/>
        <v>0</v>
      </c>
      <c r="K932" s="169"/>
      <c r="L932" s="169">
        <f>'Jrnl Exp ~ Dép'!$G435</f>
        <v>0</v>
      </c>
      <c r="M932" s="151">
        <f>'Jrnl Exp ~ Dép'!E197</f>
        <v>0</v>
      </c>
      <c r="N932" s="167">
        <f>'Jrnl Exp ~ Dép'!$H197</f>
        <v>0</v>
      </c>
    </row>
    <row r="933" spans="2:14" s="1" customFormat="1" ht="30" hidden="1" customHeight="1" x14ac:dyDescent="0.15">
      <c r="B933" s="146">
        <f>IF(AND('Jrnl Exp ~ Dép'!$G436&lt;&gt;"",'Jrnl Exp ~ Dép'!$C436&lt;&gt;""),1,0)</f>
        <v>0</v>
      </c>
      <c r="C933" s="146">
        <f>'Jrnl Exp ~ Dép'!$C436</f>
        <v>0</v>
      </c>
      <c r="D933" s="168">
        <f>'Jrnl Exp ~ Dép'!$D436</f>
        <v>0</v>
      </c>
      <c r="E933" s="1510">
        <f>'Jrnl Exp ~ Dép'!$F436</f>
        <v>0</v>
      </c>
      <c r="F933" s="1510"/>
      <c r="G933" s="951" t="str">
        <f>IF('Jrnl Exp ~ Dép'!$E436="","",'Jrnl Exp ~ Dép'!$E436)</f>
        <v/>
      </c>
      <c r="H933" s="147">
        <f>'Jrnl Exp ~ Dép'!H436</f>
        <v>0</v>
      </c>
      <c r="I933" s="147" t="str">
        <f t="shared" si="28"/>
        <v>0</v>
      </c>
      <c r="J933" s="148" t="b">
        <f t="shared" si="29"/>
        <v>0</v>
      </c>
      <c r="K933" s="169"/>
      <c r="L933" s="169">
        <f>'Jrnl Exp ~ Dép'!$G436</f>
        <v>0</v>
      </c>
      <c r="M933" s="151">
        <f>'Jrnl Exp ~ Dép'!E198</f>
        <v>0</v>
      </c>
      <c r="N933" s="167">
        <f>'Jrnl Exp ~ Dép'!$H198</f>
        <v>0</v>
      </c>
    </row>
    <row r="934" spans="2:14" s="1" customFormat="1" ht="30" hidden="1" customHeight="1" x14ac:dyDescent="0.15">
      <c r="B934" s="146">
        <f>IF(AND('Jrnl Exp ~ Dép'!$G437&lt;&gt;"",'Jrnl Exp ~ Dép'!$C437&lt;&gt;""),1,0)</f>
        <v>0</v>
      </c>
      <c r="C934" s="146">
        <f>'Jrnl Exp ~ Dép'!$C437</f>
        <v>0</v>
      </c>
      <c r="D934" s="168">
        <f>'Jrnl Exp ~ Dép'!$D437</f>
        <v>0</v>
      </c>
      <c r="E934" s="1510">
        <f>'Jrnl Exp ~ Dép'!$F437</f>
        <v>0</v>
      </c>
      <c r="F934" s="1510"/>
      <c r="G934" s="951" t="str">
        <f>IF('Jrnl Exp ~ Dép'!$E437="","",'Jrnl Exp ~ Dép'!$E437)</f>
        <v/>
      </c>
      <c r="H934" s="147">
        <f>'Jrnl Exp ~ Dép'!H437</f>
        <v>0</v>
      </c>
      <c r="I934" s="147" t="str">
        <f t="shared" si="28"/>
        <v>0</v>
      </c>
      <c r="J934" s="148" t="b">
        <f t="shared" si="29"/>
        <v>0</v>
      </c>
      <c r="K934" s="169"/>
      <c r="L934" s="169">
        <f>'Jrnl Exp ~ Dép'!$G437</f>
        <v>0</v>
      </c>
      <c r="M934" s="151">
        <f>'Jrnl Exp ~ Dép'!E199</f>
        <v>0</v>
      </c>
      <c r="N934" s="167">
        <f>'Jrnl Exp ~ Dép'!$H199</f>
        <v>0</v>
      </c>
    </row>
    <row r="935" spans="2:14" s="1" customFormat="1" ht="30" hidden="1" customHeight="1" x14ac:dyDescent="0.15">
      <c r="B935" s="146">
        <f>IF(AND('Jrnl Exp ~ Dép'!$G438&lt;&gt;"",'Jrnl Exp ~ Dép'!$C438&lt;&gt;""),1,0)</f>
        <v>0</v>
      </c>
      <c r="C935" s="146">
        <f>'Jrnl Exp ~ Dép'!$C438</f>
        <v>0</v>
      </c>
      <c r="D935" s="168">
        <f>'Jrnl Exp ~ Dép'!$D438</f>
        <v>0</v>
      </c>
      <c r="E935" s="1510">
        <f>'Jrnl Exp ~ Dép'!$F438</f>
        <v>0</v>
      </c>
      <c r="F935" s="1510"/>
      <c r="G935" s="951" t="str">
        <f>IF('Jrnl Exp ~ Dép'!$E438="","",'Jrnl Exp ~ Dép'!$E438)</f>
        <v/>
      </c>
      <c r="H935" s="147">
        <f>'Jrnl Exp ~ Dép'!H438</f>
        <v>0</v>
      </c>
      <c r="I935" s="147" t="str">
        <f t="shared" si="28"/>
        <v>0</v>
      </c>
      <c r="J935" s="148" t="b">
        <f t="shared" si="29"/>
        <v>0</v>
      </c>
      <c r="K935" s="169"/>
      <c r="L935" s="169">
        <f>'Jrnl Exp ~ Dép'!$G438</f>
        <v>0</v>
      </c>
      <c r="M935" s="151">
        <f>'Jrnl Exp ~ Dép'!E200</f>
        <v>0</v>
      </c>
      <c r="N935" s="167">
        <f>'Jrnl Exp ~ Dép'!$H200</f>
        <v>0</v>
      </c>
    </row>
    <row r="936" spans="2:14" s="1" customFormat="1" ht="30" hidden="1" customHeight="1" x14ac:dyDescent="0.15">
      <c r="B936" s="146">
        <f>IF(AND('Jrnl Exp ~ Dép'!$G439&lt;&gt;"",'Jrnl Exp ~ Dép'!$C439&lt;&gt;""),1,0)</f>
        <v>0</v>
      </c>
      <c r="C936" s="146">
        <f>'Jrnl Exp ~ Dép'!$C439</f>
        <v>0</v>
      </c>
      <c r="D936" s="168">
        <f>'Jrnl Exp ~ Dép'!$D439</f>
        <v>0</v>
      </c>
      <c r="E936" s="1510">
        <f>'Jrnl Exp ~ Dép'!$F439</f>
        <v>0</v>
      </c>
      <c r="F936" s="1510"/>
      <c r="G936" s="951" t="str">
        <f>IF('Jrnl Exp ~ Dép'!$E439="","",'Jrnl Exp ~ Dép'!$E439)</f>
        <v/>
      </c>
      <c r="H936" s="147">
        <f>'Jrnl Exp ~ Dép'!H439</f>
        <v>0</v>
      </c>
      <c r="I936" s="147" t="str">
        <f t="shared" si="28"/>
        <v>0</v>
      </c>
      <c r="J936" s="148" t="b">
        <f t="shared" si="29"/>
        <v>0</v>
      </c>
      <c r="K936" s="169"/>
      <c r="L936" s="169">
        <f>'Jrnl Exp ~ Dép'!$G439</f>
        <v>0</v>
      </c>
      <c r="M936" s="151">
        <f>'Jrnl Exp ~ Dép'!E201</f>
        <v>0</v>
      </c>
      <c r="N936" s="167">
        <f>'Jrnl Exp ~ Dép'!$H201</f>
        <v>0</v>
      </c>
    </row>
    <row r="937" spans="2:14" s="1" customFormat="1" ht="30" hidden="1" customHeight="1" x14ac:dyDescent="0.15">
      <c r="B937" s="146">
        <f>IF(AND('Jrnl Exp ~ Dép'!$G440&lt;&gt;"",'Jrnl Exp ~ Dép'!$C440&lt;&gt;""),1,0)</f>
        <v>0</v>
      </c>
      <c r="C937" s="146">
        <f>'Jrnl Exp ~ Dép'!$C440</f>
        <v>0</v>
      </c>
      <c r="D937" s="168">
        <f>'Jrnl Exp ~ Dép'!$D440</f>
        <v>0</v>
      </c>
      <c r="E937" s="1510">
        <f>'Jrnl Exp ~ Dép'!$F440</f>
        <v>0</v>
      </c>
      <c r="F937" s="1510"/>
      <c r="G937" s="951" t="str">
        <f>IF('Jrnl Exp ~ Dép'!$E440="","",'Jrnl Exp ~ Dép'!$E440)</f>
        <v/>
      </c>
      <c r="H937" s="147">
        <f>'Jrnl Exp ~ Dép'!H440</f>
        <v>0</v>
      </c>
      <c r="I937" s="147" t="str">
        <f t="shared" si="28"/>
        <v>0</v>
      </c>
      <c r="J937" s="148" t="b">
        <f t="shared" si="29"/>
        <v>0</v>
      </c>
      <c r="K937" s="169"/>
      <c r="L937" s="169">
        <f>'Jrnl Exp ~ Dép'!$G440</f>
        <v>0</v>
      </c>
      <c r="M937" s="151">
        <f>'Jrnl Exp ~ Dép'!E202</f>
        <v>0</v>
      </c>
      <c r="N937" s="167">
        <f>'Jrnl Exp ~ Dép'!$H202</f>
        <v>0</v>
      </c>
    </row>
    <row r="938" spans="2:14" s="1" customFormat="1" ht="30" hidden="1" customHeight="1" x14ac:dyDescent="0.15">
      <c r="B938" s="146">
        <f>IF(AND('Jrnl Exp ~ Dép'!$G441&lt;&gt;"",'Jrnl Exp ~ Dép'!$C441&lt;&gt;""),1,0)</f>
        <v>0</v>
      </c>
      <c r="C938" s="146">
        <f>'Jrnl Exp ~ Dép'!$C441</f>
        <v>0</v>
      </c>
      <c r="D938" s="168">
        <f>'Jrnl Exp ~ Dép'!$D441</f>
        <v>0</v>
      </c>
      <c r="E938" s="1510">
        <f>'Jrnl Exp ~ Dép'!$F441</f>
        <v>0</v>
      </c>
      <c r="F938" s="1510"/>
      <c r="G938" s="951" t="str">
        <f>IF('Jrnl Exp ~ Dép'!$E441="","",'Jrnl Exp ~ Dép'!$E441)</f>
        <v/>
      </c>
      <c r="H938" s="147">
        <f>'Jrnl Exp ~ Dép'!H441</f>
        <v>0</v>
      </c>
      <c r="I938" s="147" t="str">
        <f t="shared" si="28"/>
        <v>0</v>
      </c>
      <c r="J938" s="148" t="b">
        <f t="shared" si="29"/>
        <v>0</v>
      </c>
      <c r="K938" s="169"/>
      <c r="L938" s="169">
        <f>'Jrnl Exp ~ Dép'!$G441</f>
        <v>0</v>
      </c>
      <c r="M938" s="151">
        <f>'Jrnl Exp ~ Dép'!E203</f>
        <v>0</v>
      </c>
      <c r="N938" s="167">
        <f>'Jrnl Exp ~ Dép'!$H203</f>
        <v>0</v>
      </c>
    </row>
    <row r="939" spans="2:14" s="1" customFormat="1" ht="30" hidden="1" customHeight="1" x14ac:dyDescent="0.15">
      <c r="B939" s="146">
        <f>IF(AND('Jrnl Exp ~ Dép'!$G442&lt;&gt;"",'Jrnl Exp ~ Dép'!$C442&lt;&gt;""),1,0)</f>
        <v>0</v>
      </c>
      <c r="C939" s="146">
        <f>'Jrnl Exp ~ Dép'!$C442</f>
        <v>0</v>
      </c>
      <c r="D939" s="168">
        <f>'Jrnl Exp ~ Dép'!$D442</f>
        <v>0</v>
      </c>
      <c r="E939" s="1510">
        <f>'Jrnl Exp ~ Dép'!$F442</f>
        <v>0</v>
      </c>
      <c r="F939" s="1510"/>
      <c r="G939" s="951" t="str">
        <f>IF('Jrnl Exp ~ Dép'!$E442="","",'Jrnl Exp ~ Dép'!$E442)</f>
        <v/>
      </c>
      <c r="H939" s="147">
        <f>'Jrnl Exp ~ Dép'!H442</f>
        <v>0</v>
      </c>
      <c r="I939" s="147" t="str">
        <f t="shared" si="28"/>
        <v>0</v>
      </c>
      <c r="J939" s="148" t="b">
        <f t="shared" si="29"/>
        <v>0</v>
      </c>
      <c r="K939" s="169"/>
      <c r="L939" s="169">
        <f>'Jrnl Exp ~ Dép'!$G442</f>
        <v>0</v>
      </c>
      <c r="M939" s="151">
        <f>'Jrnl Exp ~ Dép'!E204</f>
        <v>0</v>
      </c>
      <c r="N939" s="167">
        <f>'Jrnl Exp ~ Dép'!$H204</f>
        <v>0</v>
      </c>
    </row>
    <row r="940" spans="2:14" s="1" customFormat="1" ht="30" hidden="1" customHeight="1" x14ac:dyDescent="0.15">
      <c r="B940" s="146">
        <f>IF(AND('Jrnl Exp ~ Dép'!$G443&lt;&gt;"",'Jrnl Exp ~ Dép'!$C443&lt;&gt;""),1,0)</f>
        <v>0</v>
      </c>
      <c r="C940" s="146">
        <f>'Jrnl Exp ~ Dép'!$C443</f>
        <v>0</v>
      </c>
      <c r="D940" s="168">
        <f>'Jrnl Exp ~ Dép'!$D443</f>
        <v>0</v>
      </c>
      <c r="E940" s="1510">
        <f>'Jrnl Exp ~ Dép'!$F443</f>
        <v>0</v>
      </c>
      <c r="F940" s="1510"/>
      <c r="G940" s="951" t="str">
        <f>IF('Jrnl Exp ~ Dép'!$E443="","",'Jrnl Exp ~ Dép'!$E443)</f>
        <v/>
      </c>
      <c r="H940" s="147">
        <f>'Jrnl Exp ~ Dép'!H443</f>
        <v>0</v>
      </c>
      <c r="I940" s="147" t="str">
        <f t="shared" si="28"/>
        <v>0</v>
      </c>
      <c r="J940" s="148" t="b">
        <f t="shared" si="29"/>
        <v>0</v>
      </c>
      <c r="K940" s="169"/>
      <c r="L940" s="169">
        <f>'Jrnl Exp ~ Dép'!$G443</f>
        <v>0</v>
      </c>
      <c r="M940" s="151">
        <f>'Jrnl Exp ~ Dép'!E205</f>
        <v>0</v>
      </c>
      <c r="N940" s="167">
        <f>'Jrnl Exp ~ Dép'!$H205</f>
        <v>0</v>
      </c>
    </row>
    <row r="941" spans="2:14" s="1" customFormat="1" ht="30" hidden="1" customHeight="1" x14ac:dyDescent="0.15">
      <c r="B941" s="146">
        <f>IF(AND('Jrnl Exp ~ Dép'!$G444&lt;&gt;"",'Jrnl Exp ~ Dép'!$C444&lt;&gt;""),1,0)</f>
        <v>0</v>
      </c>
      <c r="C941" s="146">
        <f>'Jrnl Exp ~ Dép'!$C444</f>
        <v>0</v>
      </c>
      <c r="D941" s="168">
        <f>'Jrnl Exp ~ Dép'!$D444</f>
        <v>0</v>
      </c>
      <c r="E941" s="1510">
        <f>'Jrnl Exp ~ Dép'!$F444</f>
        <v>0</v>
      </c>
      <c r="F941" s="1510"/>
      <c r="G941" s="951" t="str">
        <f>IF('Jrnl Exp ~ Dép'!$E444="","",'Jrnl Exp ~ Dép'!$E444)</f>
        <v/>
      </c>
      <c r="H941" s="147">
        <f>'Jrnl Exp ~ Dép'!H444</f>
        <v>0</v>
      </c>
      <c r="I941" s="147" t="str">
        <f t="shared" si="28"/>
        <v>0</v>
      </c>
      <c r="J941" s="148" t="b">
        <f t="shared" si="29"/>
        <v>0</v>
      </c>
      <c r="K941" s="169"/>
      <c r="L941" s="169">
        <f>'Jrnl Exp ~ Dép'!$G444</f>
        <v>0</v>
      </c>
      <c r="M941" s="151">
        <f>'Jrnl Exp ~ Dép'!E206</f>
        <v>0</v>
      </c>
      <c r="N941" s="167">
        <f>'Jrnl Exp ~ Dép'!$H206</f>
        <v>0</v>
      </c>
    </row>
    <row r="942" spans="2:14" s="1" customFormat="1" ht="30" hidden="1" customHeight="1" x14ac:dyDescent="0.15">
      <c r="B942" s="146">
        <f>IF(AND('Jrnl Exp ~ Dép'!$G445&lt;&gt;"",'Jrnl Exp ~ Dép'!$C445&lt;&gt;""),1,0)</f>
        <v>0</v>
      </c>
      <c r="C942" s="146">
        <f>'Jrnl Exp ~ Dép'!$C445</f>
        <v>0</v>
      </c>
      <c r="D942" s="168">
        <f>'Jrnl Exp ~ Dép'!$D445</f>
        <v>0</v>
      </c>
      <c r="E942" s="1510">
        <f>'Jrnl Exp ~ Dép'!$F445</f>
        <v>0</v>
      </c>
      <c r="F942" s="1510"/>
      <c r="G942" s="951" t="str">
        <f>IF('Jrnl Exp ~ Dép'!$E445="","",'Jrnl Exp ~ Dép'!$E445)</f>
        <v/>
      </c>
      <c r="H942" s="147">
        <f>'Jrnl Exp ~ Dép'!H445</f>
        <v>0</v>
      </c>
      <c r="I942" s="147" t="str">
        <f t="shared" si="28"/>
        <v>0</v>
      </c>
      <c r="J942" s="148" t="b">
        <f t="shared" si="29"/>
        <v>0</v>
      </c>
      <c r="K942" s="169"/>
      <c r="L942" s="169">
        <f>'Jrnl Exp ~ Dép'!$G445</f>
        <v>0</v>
      </c>
      <c r="M942" s="151">
        <f>'Jrnl Exp ~ Dép'!E207</f>
        <v>0</v>
      </c>
      <c r="N942" s="167">
        <f>'Jrnl Exp ~ Dép'!$H207</f>
        <v>0</v>
      </c>
    </row>
    <row r="943" spans="2:14" s="1" customFormat="1" ht="30" hidden="1" customHeight="1" x14ac:dyDescent="0.15">
      <c r="B943" s="146">
        <f>IF(AND('Jrnl Exp ~ Dép'!$G446&lt;&gt;"",'Jrnl Exp ~ Dép'!$C446&lt;&gt;""),1,0)</f>
        <v>0</v>
      </c>
      <c r="C943" s="146">
        <f>'Jrnl Exp ~ Dép'!$C446</f>
        <v>0</v>
      </c>
      <c r="D943" s="168">
        <f>'Jrnl Exp ~ Dép'!$D446</f>
        <v>0</v>
      </c>
      <c r="E943" s="1510">
        <f>'Jrnl Exp ~ Dép'!$F446</f>
        <v>0</v>
      </c>
      <c r="F943" s="1510"/>
      <c r="G943" s="951" t="str">
        <f>IF('Jrnl Exp ~ Dép'!$E446="","",'Jrnl Exp ~ Dép'!$E446)</f>
        <v/>
      </c>
      <c r="H943" s="147">
        <f>'Jrnl Exp ~ Dép'!H446</f>
        <v>0</v>
      </c>
      <c r="I943" s="147" t="str">
        <f t="shared" si="28"/>
        <v>0</v>
      </c>
      <c r="J943" s="148" t="b">
        <f t="shared" si="29"/>
        <v>0</v>
      </c>
      <c r="K943" s="169"/>
      <c r="L943" s="169">
        <f>'Jrnl Exp ~ Dép'!$G446</f>
        <v>0</v>
      </c>
      <c r="M943" s="151">
        <f>'Jrnl Exp ~ Dép'!E208</f>
        <v>0</v>
      </c>
      <c r="N943" s="167">
        <f>'Jrnl Exp ~ Dép'!$H208</f>
        <v>0</v>
      </c>
    </row>
    <row r="944" spans="2:14" s="1" customFormat="1" ht="30" hidden="1" customHeight="1" x14ac:dyDescent="0.15">
      <c r="B944" s="146">
        <f>IF(AND('Jrnl Exp ~ Dép'!$G447&lt;&gt;"",'Jrnl Exp ~ Dép'!$C447&lt;&gt;""),1,0)</f>
        <v>0</v>
      </c>
      <c r="C944" s="146">
        <f>'Jrnl Exp ~ Dép'!$C447</f>
        <v>0</v>
      </c>
      <c r="D944" s="168">
        <f>'Jrnl Exp ~ Dép'!$D447</f>
        <v>0</v>
      </c>
      <c r="E944" s="1510">
        <f>'Jrnl Exp ~ Dép'!$F447</f>
        <v>0</v>
      </c>
      <c r="F944" s="1510"/>
      <c r="G944" s="951" t="str">
        <f>IF('Jrnl Exp ~ Dép'!$E447="","",'Jrnl Exp ~ Dép'!$E447)</f>
        <v/>
      </c>
      <c r="H944" s="147">
        <f>'Jrnl Exp ~ Dép'!H447</f>
        <v>0</v>
      </c>
      <c r="I944" s="147" t="str">
        <f t="shared" si="28"/>
        <v>0</v>
      </c>
      <c r="J944" s="148" t="b">
        <f t="shared" si="29"/>
        <v>0</v>
      </c>
      <c r="K944" s="169"/>
      <c r="L944" s="169">
        <f>'Jrnl Exp ~ Dép'!$G447</f>
        <v>0</v>
      </c>
      <c r="M944" s="151">
        <f>'Jrnl Exp ~ Dép'!E209</f>
        <v>0</v>
      </c>
      <c r="N944" s="167">
        <f>'Jrnl Exp ~ Dép'!$H209</f>
        <v>0</v>
      </c>
    </row>
    <row r="945" spans="2:14" s="1" customFormat="1" ht="30" hidden="1" customHeight="1" x14ac:dyDescent="0.15">
      <c r="B945" s="146">
        <f>IF(AND('Jrnl Exp ~ Dép'!$G448&lt;&gt;"",'Jrnl Exp ~ Dép'!$C448&lt;&gt;""),1,0)</f>
        <v>0</v>
      </c>
      <c r="C945" s="146">
        <f>'Jrnl Exp ~ Dép'!$C448</f>
        <v>0</v>
      </c>
      <c r="D945" s="168">
        <f>'Jrnl Exp ~ Dép'!$D448</f>
        <v>0</v>
      </c>
      <c r="E945" s="1510">
        <f>'Jrnl Exp ~ Dép'!$F448</f>
        <v>0</v>
      </c>
      <c r="F945" s="1510"/>
      <c r="G945" s="951" t="str">
        <f>IF('Jrnl Exp ~ Dép'!$E448="","",'Jrnl Exp ~ Dép'!$E448)</f>
        <v/>
      </c>
      <c r="H945" s="147">
        <f>'Jrnl Exp ~ Dép'!H448</f>
        <v>0</v>
      </c>
      <c r="I945" s="147" t="str">
        <f t="shared" si="28"/>
        <v>0</v>
      </c>
      <c r="J945" s="148" t="b">
        <f t="shared" si="29"/>
        <v>0</v>
      </c>
      <c r="K945" s="169"/>
      <c r="L945" s="169">
        <f>'Jrnl Exp ~ Dép'!$G448</f>
        <v>0</v>
      </c>
      <c r="M945" s="151">
        <f>'Jrnl Exp ~ Dép'!E210</f>
        <v>0</v>
      </c>
      <c r="N945" s="167">
        <f>'Jrnl Exp ~ Dép'!$H210</f>
        <v>0</v>
      </c>
    </row>
    <row r="946" spans="2:14" s="1" customFormat="1" ht="30" hidden="1" customHeight="1" x14ac:dyDescent="0.15">
      <c r="B946" s="146">
        <f>IF(AND('Jrnl Exp ~ Dép'!$G449&lt;&gt;"",'Jrnl Exp ~ Dép'!$C449&lt;&gt;""),1,0)</f>
        <v>0</v>
      </c>
      <c r="C946" s="146">
        <f>'Jrnl Exp ~ Dép'!$C449</f>
        <v>0</v>
      </c>
      <c r="D946" s="168">
        <f>'Jrnl Exp ~ Dép'!$D449</f>
        <v>0</v>
      </c>
      <c r="E946" s="1510">
        <f>'Jrnl Exp ~ Dép'!$F449</f>
        <v>0</v>
      </c>
      <c r="F946" s="1510"/>
      <c r="G946" s="951" t="str">
        <f>IF('Jrnl Exp ~ Dép'!$E449="","",'Jrnl Exp ~ Dép'!$E449)</f>
        <v/>
      </c>
      <c r="H946" s="147">
        <f>'Jrnl Exp ~ Dép'!H449</f>
        <v>0</v>
      </c>
      <c r="I946" s="147" t="str">
        <f t="shared" si="28"/>
        <v>0</v>
      </c>
      <c r="J946" s="148" t="b">
        <f t="shared" si="29"/>
        <v>0</v>
      </c>
      <c r="K946" s="169"/>
      <c r="L946" s="169">
        <f>'Jrnl Exp ~ Dép'!$G449</f>
        <v>0</v>
      </c>
      <c r="M946" s="151">
        <f>'Jrnl Exp ~ Dép'!E211</f>
        <v>0</v>
      </c>
      <c r="N946" s="167">
        <f>'Jrnl Exp ~ Dép'!$H211</f>
        <v>0</v>
      </c>
    </row>
    <row r="947" spans="2:14" s="1" customFormat="1" ht="30" hidden="1" customHeight="1" x14ac:dyDescent="0.15">
      <c r="B947" s="146">
        <f>IF(AND('Jrnl Exp ~ Dép'!$G450&lt;&gt;"",'Jrnl Exp ~ Dép'!$C450&lt;&gt;""),1,0)</f>
        <v>0</v>
      </c>
      <c r="C947" s="146">
        <f>'Jrnl Exp ~ Dép'!$C450</f>
        <v>0</v>
      </c>
      <c r="D947" s="168">
        <f>'Jrnl Exp ~ Dép'!$D450</f>
        <v>0</v>
      </c>
      <c r="E947" s="1510">
        <f>'Jrnl Exp ~ Dép'!$F450</f>
        <v>0</v>
      </c>
      <c r="F947" s="1510"/>
      <c r="G947" s="951" t="str">
        <f>IF('Jrnl Exp ~ Dép'!$E450="","",'Jrnl Exp ~ Dép'!$E450)</f>
        <v/>
      </c>
      <c r="H947" s="147">
        <f>'Jrnl Exp ~ Dép'!H450</f>
        <v>0</v>
      </c>
      <c r="I947" s="147" t="str">
        <f t="shared" si="28"/>
        <v>0</v>
      </c>
      <c r="J947" s="148" t="b">
        <f t="shared" si="29"/>
        <v>0</v>
      </c>
      <c r="K947" s="169"/>
      <c r="L947" s="169">
        <f>'Jrnl Exp ~ Dép'!$G450</f>
        <v>0</v>
      </c>
      <c r="M947" s="151">
        <f>'Jrnl Exp ~ Dép'!E212</f>
        <v>0</v>
      </c>
      <c r="N947" s="167">
        <f>'Jrnl Exp ~ Dép'!$H212</f>
        <v>0</v>
      </c>
    </row>
    <row r="948" spans="2:14" s="1" customFormat="1" ht="30" hidden="1" customHeight="1" x14ac:dyDescent="0.15">
      <c r="B948" s="146">
        <f>IF(AND('Jrnl Exp ~ Dép'!$G451&lt;&gt;"",'Jrnl Exp ~ Dép'!$C451&lt;&gt;""),1,0)</f>
        <v>0</v>
      </c>
      <c r="C948" s="146">
        <f>'Jrnl Exp ~ Dép'!$C451</f>
        <v>0</v>
      </c>
      <c r="D948" s="168">
        <f>'Jrnl Exp ~ Dép'!$D451</f>
        <v>0</v>
      </c>
      <c r="E948" s="1510">
        <f>'Jrnl Exp ~ Dép'!$F451</f>
        <v>0</v>
      </c>
      <c r="F948" s="1510"/>
      <c r="G948" s="951" t="str">
        <f>IF('Jrnl Exp ~ Dép'!$E451="","",'Jrnl Exp ~ Dép'!$E451)</f>
        <v/>
      </c>
      <c r="H948" s="147">
        <f>'Jrnl Exp ~ Dép'!H451</f>
        <v>0</v>
      </c>
      <c r="I948" s="147" t="str">
        <f t="shared" si="28"/>
        <v>0</v>
      </c>
      <c r="J948" s="148" t="b">
        <f t="shared" si="29"/>
        <v>0</v>
      </c>
      <c r="K948" s="169"/>
      <c r="L948" s="169">
        <f>'Jrnl Exp ~ Dép'!$G451</f>
        <v>0</v>
      </c>
      <c r="M948" s="151">
        <f>'Jrnl Exp ~ Dép'!E213</f>
        <v>0</v>
      </c>
      <c r="N948" s="167">
        <f>'Jrnl Exp ~ Dép'!$H213</f>
        <v>0</v>
      </c>
    </row>
    <row r="949" spans="2:14" s="1" customFormat="1" ht="30" hidden="1" customHeight="1" x14ac:dyDescent="0.15">
      <c r="B949" s="146">
        <f>IF(AND('Jrnl Exp ~ Dép'!$G452&lt;&gt;"",'Jrnl Exp ~ Dép'!$C452&lt;&gt;""),1,0)</f>
        <v>0</v>
      </c>
      <c r="C949" s="146">
        <f>'Jrnl Exp ~ Dép'!$C452</f>
        <v>0</v>
      </c>
      <c r="D949" s="168">
        <f>'Jrnl Exp ~ Dép'!$D452</f>
        <v>0</v>
      </c>
      <c r="E949" s="1510">
        <f>'Jrnl Exp ~ Dép'!$F452</f>
        <v>0</v>
      </c>
      <c r="F949" s="1510"/>
      <c r="G949" s="951" t="str">
        <f>IF('Jrnl Exp ~ Dép'!$E452="","",'Jrnl Exp ~ Dép'!$E452)</f>
        <v/>
      </c>
      <c r="H949" s="147">
        <f>'Jrnl Exp ~ Dép'!H452</f>
        <v>0</v>
      </c>
      <c r="I949" s="147" t="str">
        <f t="shared" si="28"/>
        <v>0</v>
      </c>
      <c r="J949" s="148" t="b">
        <f t="shared" si="29"/>
        <v>0</v>
      </c>
      <c r="K949" s="169"/>
      <c r="L949" s="169">
        <f>'Jrnl Exp ~ Dép'!$G452</f>
        <v>0</v>
      </c>
      <c r="M949" s="151">
        <f>'Jrnl Exp ~ Dép'!E214</f>
        <v>0</v>
      </c>
      <c r="N949" s="167">
        <f>'Jrnl Exp ~ Dép'!$H214</f>
        <v>0</v>
      </c>
    </row>
    <row r="950" spans="2:14" s="1" customFormat="1" ht="30" hidden="1" customHeight="1" x14ac:dyDescent="0.15">
      <c r="B950" s="146">
        <f>IF(AND('Jrnl Exp ~ Dép'!$G453&lt;&gt;"",'Jrnl Exp ~ Dép'!$C453&lt;&gt;""),1,0)</f>
        <v>0</v>
      </c>
      <c r="C950" s="146">
        <f>'Jrnl Exp ~ Dép'!$C453</f>
        <v>0</v>
      </c>
      <c r="D950" s="168">
        <f>'Jrnl Exp ~ Dép'!$D453</f>
        <v>0</v>
      </c>
      <c r="E950" s="1510">
        <f>'Jrnl Exp ~ Dép'!$F453</f>
        <v>0</v>
      </c>
      <c r="F950" s="1510"/>
      <c r="G950" s="951" t="str">
        <f>IF('Jrnl Exp ~ Dép'!$E453="","",'Jrnl Exp ~ Dép'!$E453)</f>
        <v/>
      </c>
      <c r="H950" s="147">
        <f>'Jrnl Exp ~ Dép'!H453</f>
        <v>0</v>
      </c>
      <c r="I950" s="147" t="str">
        <f t="shared" si="28"/>
        <v>0</v>
      </c>
      <c r="J950" s="148" t="b">
        <f t="shared" si="29"/>
        <v>0</v>
      </c>
      <c r="K950" s="169"/>
      <c r="L950" s="169">
        <f>'Jrnl Exp ~ Dép'!$G453</f>
        <v>0</v>
      </c>
      <c r="M950" s="151">
        <f>'Jrnl Exp ~ Dép'!E215</f>
        <v>0</v>
      </c>
      <c r="N950" s="167">
        <f>'Jrnl Exp ~ Dép'!$H215</f>
        <v>0</v>
      </c>
    </row>
    <row r="951" spans="2:14" s="1" customFormat="1" ht="30" hidden="1" customHeight="1" x14ac:dyDescent="0.15">
      <c r="B951" s="146">
        <f>IF(AND('Jrnl Exp ~ Dép'!$G454&lt;&gt;"",'Jrnl Exp ~ Dép'!$C454&lt;&gt;""),1,0)</f>
        <v>0</v>
      </c>
      <c r="C951" s="146">
        <f>'Jrnl Exp ~ Dép'!$C454</f>
        <v>0</v>
      </c>
      <c r="D951" s="168">
        <f>'Jrnl Exp ~ Dép'!$D454</f>
        <v>0</v>
      </c>
      <c r="E951" s="1510">
        <f>'Jrnl Exp ~ Dép'!$F454</f>
        <v>0</v>
      </c>
      <c r="F951" s="1510"/>
      <c r="G951" s="951" t="str">
        <f>IF('Jrnl Exp ~ Dép'!$E454="","",'Jrnl Exp ~ Dép'!$E454)</f>
        <v/>
      </c>
      <c r="H951" s="147">
        <f>'Jrnl Exp ~ Dép'!H454</f>
        <v>0</v>
      </c>
      <c r="I951" s="147" t="str">
        <f t="shared" si="28"/>
        <v>0</v>
      </c>
      <c r="J951" s="148" t="b">
        <f t="shared" si="29"/>
        <v>0</v>
      </c>
      <c r="K951" s="169"/>
      <c r="L951" s="169">
        <f>'Jrnl Exp ~ Dép'!$G454</f>
        <v>0</v>
      </c>
      <c r="M951" s="151">
        <f>'Jrnl Exp ~ Dép'!E216</f>
        <v>0</v>
      </c>
      <c r="N951" s="167">
        <f>'Jrnl Exp ~ Dép'!$H216</f>
        <v>0</v>
      </c>
    </row>
    <row r="952" spans="2:14" s="1" customFormat="1" ht="30" hidden="1" customHeight="1" x14ac:dyDescent="0.15">
      <c r="B952" s="146">
        <f>IF(AND('Jrnl Exp ~ Dép'!$G455&lt;&gt;"",'Jrnl Exp ~ Dép'!$C455&lt;&gt;""),1,0)</f>
        <v>0</v>
      </c>
      <c r="C952" s="146">
        <f>'Jrnl Exp ~ Dép'!$C455</f>
        <v>0</v>
      </c>
      <c r="D952" s="168">
        <f>'Jrnl Exp ~ Dép'!$D455</f>
        <v>0</v>
      </c>
      <c r="E952" s="1510">
        <f>'Jrnl Exp ~ Dép'!$F455</f>
        <v>0</v>
      </c>
      <c r="F952" s="1510"/>
      <c r="G952" s="951" t="str">
        <f>IF('Jrnl Exp ~ Dép'!$E455="","",'Jrnl Exp ~ Dép'!$E455)</f>
        <v/>
      </c>
      <c r="H952" s="147">
        <f>'Jrnl Exp ~ Dép'!H455</f>
        <v>0</v>
      </c>
      <c r="I952" s="147" t="str">
        <f t="shared" si="28"/>
        <v>0</v>
      </c>
      <c r="J952" s="148" t="b">
        <f t="shared" si="29"/>
        <v>0</v>
      </c>
      <c r="K952" s="169"/>
      <c r="L952" s="169">
        <f>'Jrnl Exp ~ Dép'!$G455</f>
        <v>0</v>
      </c>
      <c r="M952" s="151">
        <f>'Jrnl Exp ~ Dép'!E217</f>
        <v>0</v>
      </c>
      <c r="N952" s="167">
        <f>'Jrnl Exp ~ Dép'!$H217</f>
        <v>0</v>
      </c>
    </row>
    <row r="953" spans="2:14" s="1" customFormat="1" ht="30" hidden="1" customHeight="1" x14ac:dyDescent="0.15">
      <c r="B953" s="146">
        <f>IF(AND('Jrnl Exp ~ Dép'!$G456&lt;&gt;"",'Jrnl Exp ~ Dép'!$C456&lt;&gt;""),1,0)</f>
        <v>0</v>
      </c>
      <c r="C953" s="146">
        <f>'Jrnl Exp ~ Dép'!$C456</f>
        <v>0</v>
      </c>
      <c r="D953" s="168">
        <f>'Jrnl Exp ~ Dép'!$D456</f>
        <v>0</v>
      </c>
      <c r="E953" s="1510">
        <f>'Jrnl Exp ~ Dép'!$F456</f>
        <v>0</v>
      </c>
      <c r="F953" s="1510"/>
      <c r="G953" s="951" t="str">
        <f>IF('Jrnl Exp ~ Dép'!$E456="","",'Jrnl Exp ~ Dép'!$E456)</f>
        <v/>
      </c>
      <c r="H953" s="147">
        <f>'Jrnl Exp ~ Dép'!H456</f>
        <v>0</v>
      </c>
      <c r="I953" s="147" t="str">
        <f t="shared" si="28"/>
        <v>0</v>
      </c>
      <c r="J953" s="148" t="b">
        <f t="shared" si="29"/>
        <v>0</v>
      </c>
      <c r="K953" s="169"/>
      <c r="L953" s="169">
        <f>'Jrnl Exp ~ Dép'!$G456</f>
        <v>0</v>
      </c>
      <c r="M953" s="151">
        <f>'Jrnl Exp ~ Dép'!E218</f>
        <v>0</v>
      </c>
      <c r="N953" s="167">
        <f>'Jrnl Exp ~ Dép'!$H218</f>
        <v>0</v>
      </c>
    </row>
    <row r="954" spans="2:14" s="1" customFormat="1" ht="30" hidden="1" customHeight="1" x14ac:dyDescent="0.15">
      <c r="B954" s="146">
        <f>IF(AND('Jrnl Exp ~ Dép'!$G457&lt;&gt;"",'Jrnl Exp ~ Dép'!$C457&lt;&gt;""),1,0)</f>
        <v>0</v>
      </c>
      <c r="C954" s="146">
        <f>'Jrnl Exp ~ Dép'!$C457</f>
        <v>0</v>
      </c>
      <c r="D954" s="168">
        <f>'Jrnl Exp ~ Dép'!$D457</f>
        <v>0</v>
      </c>
      <c r="E954" s="1510">
        <f>'Jrnl Exp ~ Dép'!$F457</f>
        <v>0</v>
      </c>
      <c r="F954" s="1510"/>
      <c r="G954" s="951" t="str">
        <f>IF('Jrnl Exp ~ Dép'!$E457="","",'Jrnl Exp ~ Dép'!$E457)</f>
        <v/>
      </c>
      <c r="H954" s="147">
        <f>'Jrnl Exp ~ Dép'!H457</f>
        <v>0</v>
      </c>
      <c r="I954" s="147" t="str">
        <f t="shared" si="28"/>
        <v>0</v>
      </c>
      <c r="J954" s="148" t="b">
        <f t="shared" si="29"/>
        <v>0</v>
      </c>
      <c r="K954" s="169"/>
      <c r="L954" s="169">
        <f>'Jrnl Exp ~ Dép'!$G457</f>
        <v>0</v>
      </c>
      <c r="M954" s="151">
        <f>'Jrnl Exp ~ Dép'!E219</f>
        <v>0</v>
      </c>
      <c r="N954" s="167">
        <f>'Jrnl Exp ~ Dép'!$H219</f>
        <v>0</v>
      </c>
    </row>
    <row r="955" spans="2:14" s="1" customFormat="1" ht="30" hidden="1" customHeight="1" x14ac:dyDescent="0.15">
      <c r="B955" s="146">
        <f>IF(AND('Jrnl Exp ~ Dép'!$G458&lt;&gt;"",'Jrnl Exp ~ Dép'!$C458&lt;&gt;""),1,0)</f>
        <v>0</v>
      </c>
      <c r="C955" s="146">
        <f>'Jrnl Exp ~ Dép'!$C458</f>
        <v>0</v>
      </c>
      <c r="D955" s="168">
        <f>'Jrnl Exp ~ Dép'!$D458</f>
        <v>0</v>
      </c>
      <c r="E955" s="1510">
        <f>'Jrnl Exp ~ Dép'!$F458</f>
        <v>0</v>
      </c>
      <c r="F955" s="1510"/>
      <c r="G955" s="951" t="str">
        <f>IF('Jrnl Exp ~ Dép'!$E458="","",'Jrnl Exp ~ Dép'!$E458)</f>
        <v/>
      </c>
      <c r="H955" s="147">
        <f>'Jrnl Exp ~ Dép'!H458</f>
        <v>0</v>
      </c>
      <c r="I955" s="147" t="str">
        <f t="shared" si="28"/>
        <v>0</v>
      </c>
      <c r="J955" s="148" t="b">
        <f t="shared" si="29"/>
        <v>0</v>
      </c>
      <c r="K955" s="169"/>
      <c r="L955" s="169">
        <f>'Jrnl Exp ~ Dép'!$G458</f>
        <v>0</v>
      </c>
      <c r="M955" s="151">
        <f>'Jrnl Exp ~ Dép'!E220</f>
        <v>0</v>
      </c>
      <c r="N955" s="167">
        <f>'Jrnl Exp ~ Dép'!$H220</f>
        <v>0</v>
      </c>
    </row>
    <row r="956" spans="2:14" s="1" customFormat="1" ht="30" hidden="1" customHeight="1" x14ac:dyDescent="0.15">
      <c r="B956" s="146">
        <f>IF(AND('Jrnl Exp ~ Dép'!$G459&lt;&gt;"",'Jrnl Exp ~ Dép'!$C459&lt;&gt;""),1,0)</f>
        <v>0</v>
      </c>
      <c r="C956" s="146">
        <f>'Jrnl Exp ~ Dép'!$C459</f>
        <v>0</v>
      </c>
      <c r="D956" s="168">
        <f>'Jrnl Exp ~ Dép'!$D459</f>
        <v>0</v>
      </c>
      <c r="E956" s="1510">
        <f>'Jrnl Exp ~ Dép'!$F459</f>
        <v>0</v>
      </c>
      <c r="F956" s="1510"/>
      <c r="G956" s="951" t="str">
        <f>IF('Jrnl Exp ~ Dép'!$E459="","",'Jrnl Exp ~ Dép'!$E459)</f>
        <v/>
      </c>
      <c r="H956" s="147">
        <f>'Jrnl Exp ~ Dép'!H459</f>
        <v>0</v>
      </c>
      <c r="I956" s="147" t="str">
        <f t="shared" si="28"/>
        <v>0</v>
      </c>
      <c r="J956" s="148" t="b">
        <f t="shared" si="29"/>
        <v>0</v>
      </c>
      <c r="K956" s="169"/>
      <c r="L956" s="169">
        <f>'Jrnl Exp ~ Dép'!$G459</f>
        <v>0</v>
      </c>
      <c r="M956" s="151">
        <f>'Jrnl Exp ~ Dép'!E221</f>
        <v>0</v>
      </c>
      <c r="N956" s="167">
        <f>'Jrnl Exp ~ Dép'!$H221</f>
        <v>0</v>
      </c>
    </row>
    <row r="957" spans="2:14" s="1" customFormat="1" ht="30" hidden="1" customHeight="1" x14ac:dyDescent="0.15">
      <c r="B957" s="146">
        <f>IF(AND('Jrnl Exp ~ Dép'!$G460&lt;&gt;"",'Jrnl Exp ~ Dép'!$C460&lt;&gt;""),1,0)</f>
        <v>0</v>
      </c>
      <c r="C957" s="146">
        <f>'Jrnl Exp ~ Dép'!$C460</f>
        <v>0</v>
      </c>
      <c r="D957" s="168">
        <f>'Jrnl Exp ~ Dép'!$D460</f>
        <v>0</v>
      </c>
      <c r="E957" s="1510">
        <f>'Jrnl Exp ~ Dép'!$F460</f>
        <v>0</v>
      </c>
      <c r="F957" s="1510"/>
      <c r="G957" s="951" t="str">
        <f>IF('Jrnl Exp ~ Dép'!$E460="","",'Jrnl Exp ~ Dép'!$E460)</f>
        <v/>
      </c>
      <c r="H957" s="147">
        <f>'Jrnl Exp ~ Dép'!H460</f>
        <v>0</v>
      </c>
      <c r="I957" s="147" t="str">
        <f t="shared" si="28"/>
        <v>0</v>
      </c>
      <c r="J957" s="148" t="b">
        <f t="shared" si="29"/>
        <v>0</v>
      </c>
      <c r="K957" s="169"/>
      <c r="L957" s="169">
        <f>'Jrnl Exp ~ Dép'!$G460</f>
        <v>0</v>
      </c>
      <c r="M957" s="151">
        <f>'Jrnl Exp ~ Dép'!E222</f>
        <v>0</v>
      </c>
      <c r="N957" s="167">
        <f>'Jrnl Exp ~ Dép'!$H222</f>
        <v>0</v>
      </c>
    </row>
    <row r="958" spans="2:14" s="1" customFormat="1" ht="30" hidden="1" customHeight="1" x14ac:dyDescent="0.15">
      <c r="B958" s="146">
        <f>IF(AND('Jrnl Exp ~ Dép'!$G461&lt;&gt;"",'Jrnl Exp ~ Dép'!$C461&lt;&gt;""),1,0)</f>
        <v>0</v>
      </c>
      <c r="C958" s="146">
        <f>'Jrnl Exp ~ Dép'!$C461</f>
        <v>0</v>
      </c>
      <c r="D958" s="168">
        <f>'Jrnl Exp ~ Dép'!$D461</f>
        <v>0</v>
      </c>
      <c r="E958" s="1510">
        <f>'Jrnl Exp ~ Dép'!$F461</f>
        <v>0</v>
      </c>
      <c r="F958" s="1510"/>
      <c r="G958" s="951" t="str">
        <f>IF('Jrnl Exp ~ Dép'!$E461="","",'Jrnl Exp ~ Dép'!$E461)</f>
        <v/>
      </c>
      <c r="H958" s="147">
        <f>'Jrnl Exp ~ Dép'!H461</f>
        <v>0</v>
      </c>
      <c r="I958" s="147" t="str">
        <f t="shared" si="28"/>
        <v>0</v>
      </c>
      <c r="J958" s="148" t="b">
        <f t="shared" si="29"/>
        <v>0</v>
      </c>
      <c r="K958" s="169"/>
      <c r="L958" s="169">
        <f>'Jrnl Exp ~ Dép'!$G461</f>
        <v>0</v>
      </c>
      <c r="M958" s="151">
        <f>'Jrnl Exp ~ Dép'!E223</f>
        <v>0</v>
      </c>
      <c r="N958" s="167">
        <f>'Jrnl Exp ~ Dép'!$H223</f>
        <v>0</v>
      </c>
    </row>
    <row r="959" spans="2:14" s="1" customFormat="1" ht="30" hidden="1" customHeight="1" x14ac:dyDescent="0.15">
      <c r="B959" s="146">
        <f>IF(AND('Jrnl Exp ~ Dép'!$G462&lt;&gt;"",'Jrnl Exp ~ Dép'!$C462&lt;&gt;""),1,0)</f>
        <v>0</v>
      </c>
      <c r="C959" s="146">
        <f>'Jrnl Exp ~ Dép'!$C462</f>
        <v>0</v>
      </c>
      <c r="D959" s="168">
        <f>'Jrnl Exp ~ Dép'!$D462</f>
        <v>0</v>
      </c>
      <c r="E959" s="1510">
        <f>'Jrnl Exp ~ Dép'!$F462</f>
        <v>0</v>
      </c>
      <c r="F959" s="1510"/>
      <c r="G959" s="951" t="str">
        <f>IF('Jrnl Exp ~ Dép'!$E462="","",'Jrnl Exp ~ Dép'!$E462)</f>
        <v/>
      </c>
      <c r="H959" s="147">
        <f>'Jrnl Exp ~ Dép'!H462</f>
        <v>0</v>
      </c>
      <c r="I959" s="147" t="str">
        <f t="shared" si="28"/>
        <v>0</v>
      </c>
      <c r="J959" s="148" t="b">
        <f t="shared" si="29"/>
        <v>0</v>
      </c>
      <c r="K959" s="169"/>
      <c r="L959" s="169">
        <f>'Jrnl Exp ~ Dép'!$G462</f>
        <v>0</v>
      </c>
      <c r="M959" s="151">
        <f>'Jrnl Exp ~ Dép'!E224</f>
        <v>0</v>
      </c>
      <c r="N959" s="167">
        <f>'Jrnl Exp ~ Dép'!$H224</f>
        <v>0</v>
      </c>
    </row>
    <row r="960" spans="2:14" s="1" customFormat="1" ht="30" hidden="1" customHeight="1" x14ac:dyDescent="0.15">
      <c r="B960" s="146">
        <f>IF(AND('Jrnl Exp ~ Dép'!$G463&lt;&gt;"",'Jrnl Exp ~ Dép'!$C463&lt;&gt;""),1,0)</f>
        <v>0</v>
      </c>
      <c r="C960" s="146">
        <f>'Jrnl Exp ~ Dép'!$C463</f>
        <v>0</v>
      </c>
      <c r="D960" s="168">
        <f>'Jrnl Exp ~ Dép'!$D463</f>
        <v>0</v>
      </c>
      <c r="E960" s="1510">
        <f>'Jrnl Exp ~ Dép'!$F463</f>
        <v>0</v>
      </c>
      <c r="F960" s="1510"/>
      <c r="G960" s="951" t="str">
        <f>IF('Jrnl Exp ~ Dép'!$E463="","",'Jrnl Exp ~ Dép'!$E463)</f>
        <v/>
      </c>
      <c r="H960" s="147">
        <f>'Jrnl Exp ~ Dép'!H463</f>
        <v>0</v>
      </c>
      <c r="I960" s="147" t="str">
        <f t="shared" si="28"/>
        <v>0</v>
      </c>
      <c r="J960" s="148" t="b">
        <f t="shared" si="29"/>
        <v>0</v>
      </c>
      <c r="K960" s="169"/>
      <c r="L960" s="169">
        <f>'Jrnl Exp ~ Dép'!$G463</f>
        <v>0</v>
      </c>
      <c r="M960" s="151">
        <f>'Jrnl Exp ~ Dép'!E225</f>
        <v>0</v>
      </c>
      <c r="N960" s="167">
        <f>'Jrnl Exp ~ Dép'!$H225</f>
        <v>0</v>
      </c>
    </row>
    <row r="961" spans="2:14" s="1" customFormat="1" ht="30" hidden="1" customHeight="1" x14ac:dyDescent="0.15">
      <c r="B961" s="146">
        <f>IF(AND('Jrnl Exp ~ Dép'!$G464&lt;&gt;"",'Jrnl Exp ~ Dép'!$C464&lt;&gt;""),1,0)</f>
        <v>0</v>
      </c>
      <c r="C961" s="146">
        <f>'Jrnl Exp ~ Dép'!$C464</f>
        <v>0</v>
      </c>
      <c r="D961" s="168">
        <f>'Jrnl Exp ~ Dép'!$D464</f>
        <v>0</v>
      </c>
      <c r="E961" s="1510">
        <f>'Jrnl Exp ~ Dép'!$F464</f>
        <v>0</v>
      </c>
      <c r="F961" s="1510"/>
      <c r="G961" s="951" t="str">
        <f>IF('Jrnl Exp ~ Dép'!$E464="","",'Jrnl Exp ~ Dép'!$E464)</f>
        <v/>
      </c>
      <c r="H961" s="147">
        <f>'Jrnl Exp ~ Dép'!H464</f>
        <v>0</v>
      </c>
      <c r="I961" s="147" t="str">
        <f t="shared" ref="I961:I1012" si="30">LEFT(H961,4)</f>
        <v>0</v>
      </c>
      <c r="J961" s="148" t="b">
        <f t="shared" ref="J961:J1012" si="31">IF(I961="1020",IF(G961&gt;=$E$3,IF(G961&lt;=$G$3,L961,0)))</f>
        <v>0</v>
      </c>
      <c r="K961" s="169"/>
      <c r="L961" s="169">
        <f>'Jrnl Exp ~ Dép'!$G464</f>
        <v>0</v>
      </c>
      <c r="M961" s="151">
        <f>'Jrnl Exp ~ Dép'!E226</f>
        <v>0</v>
      </c>
      <c r="N961" s="167">
        <f>'Jrnl Exp ~ Dép'!$H226</f>
        <v>0</v>
      </c>
    </row>
    <row r="962" spans="2:14" s="1" customFormat="1" ht="30" hidden="1" customHeight="1" x14ac:dyDescent="0.15">
      <c r="B962" s="146">
        <f>IF(AND('Jrnl Exp ~ Dép'!$G465&lt;&gt;"",'Jrnl Exp ~ Dép'!$C465&lt;&gt;""),1,0)</f>
        <v>0</v>
      </c>
      <c r="C962" s="146">
        <f>'Jrnl Exp ~ Dép'!$C465</f>
        <v>0</v>
      </c>
      <c r="D962" s="168">
        <f>'Jrnl Exp ~ Dép'!$D465</f>
        <v>0</v>
      </c>
      <c r="E962" s="1510">
        <f>'Jrnl Exp ~ Dép'!$F465</f>
        <v>0</v>
      </c>
      <c r="F962" s="1510"/>
      <c r="G962" s="951" t="str">
        <f>IF('Jrnl Exp ~ Dép'!$E465="","",'Jrnl Exp ~ Dép'!$E465)</f>
        <v/>
      </c>
      <c r="H962" s="147">
        <f>'Jrnl Exp ~ Dép'!H465</f>
        <v>0</v>
      </c>
      <c r="I962" s="147" t="str">
        <f t="shared" si="30"/>
        <v>0</v>
      </c>
      <c r="J962" s="148" t="b">
        <f t="shared" si="31"/>
        <v>0</v>
      </c>
      <c r="K962" s="169"/>
      <c r="L962" s="169">
        <f>'Jrnl Exp ~ Dép'!$G465</f>
        <v>0</v>
      </c>
      <c r="M962" s="151">
        <f>'Jrnl Exp ~ Dép'!E227</f>
        <v>0</v>
      </c>
      <c r="N962" s="167">
        <f>'Jrnl Exp ~ Dép'!$H227</f>
        <v>0</v>
      </c>
    </row>
    <row r="963" spans="2:14" s="1" customFormat="1" ht="30" hidden="1" customHeight="1" x14ac:dyDescent="0.15">
      <c r="B963" s="146">
        <f>IF(AND('Jrnl Exp ~ Dép'!$G466&lt;&gt;"",'Jrnl Exp ~ Dép'!$C466&lt;&gt;""),1,0)</f>
        <v>0</v>
      </c>
      <c r="C963" s="146">
        <f>'Jrnl Exp ~ Dép'!$C466</f>
        <v>0</v>
      </c>
      <c r="D963" s="168">
        <f>'Jrnl Exp ~ Dép'!$D466</f>
        <v>0</v>
      </c>
      <c r="E963" s="1510">
        <f>'Jrnl Exp ~ Dép'!$F466</f>
        <v>0</v>
      </c>
      <c r="F963" s="1510"/>
      <c r="G963" s="951" t="str">
        <f>IF('Jrnl Exp ~ Dép'!$E466="","",'Jrnl Exp ~ Dép'!$E466)</f>
        <v/>
      </c>
      <c r="H963" s="147">
        <f>'Jrnl Exp ~ Dép'!H466</f>
        <v>0</v>
      </c>
      <c r="I963" s="147" t="str">
        <f t="shared" si="30"/>
        <v>0</v>
      </c>
      <c r="J963" s="148" t="b">
        <f t="shared" si="31"/>
        <v>0</v>
      </c>
      <c r="K963" s="169"/>
      <c r="L963" s="169">
        <f>'Jrnl Exp ~ Dép'!$G466</f>
        <v>0</v>
      </c>
      <c r="M963" s="151">
        <f>'Jrnl Exp ~ Dép'!E228</f>
        <v>0</v>
      </c>
      <c r="N963" s="167">
        <f>'Jrnl Exp ~ Dép'!$H228</f>
        <v>0</v>
      </c>
    </row>
    <row r="964" spans="2:14" s="1" customFormat="1" ht="30" hidden="1" customHeight="1" x14ac:dyDescent="0.15">
      <c r="B964" s="146">
        <f>IF(AND('Jrnl Exp ~ Dép'!$G467&lt;&gt;"",'Jrnl Exp ~ Dép'!$C467&lt;&gt;""),1,0)</f>
        <v>0</v>
      </c>
      <c r="C964" s="146">
        <f>'Jrnl Exp ~ Dép'!$C467</f>
        <v>0</v>
      </c>
      <c r="D964" s="168">
        <f>'Jrnl Exp ~ Dép'!$D467</f>
        <v>0</v>
      </c>
      <c r="E964" s="1510">
        <f>'Jrnl Exp ~ Dép'!$F467</f>
        <v>0</v>
      </c>
      <c r="F964" s="1510"/>
      <c r="G964" s="951" t="str">
        <f>IF('Jrnl Exp ~ Dép'!$E467="","",'Jrnl Exp ~ Dép'!$E467)</f>
        <v/>
      </c>
      <c r="H964" s="147">
        <f>'Jrnl Exp ~ Dép'!H467</f>
        <v>0</v>
      </c>
      <c r="I964" s="147" t="str">
        <f t="shared" si="30"/>
        <v>0</v>
      </c>
      <c r="J964" s="148" t="b">
        <f t="shared" si="31"/>
        <v>0</v>
      </c>
      <c r="K964" s="169"/>
      <c r="L964" s="169">
        <f>'Jrnl Exp ~ Dép'!$G467</f>
        <v>0</v>
      </c>
      <c r="M964" s="151">
        <f>'Jrnl Exp ~ Dép'!E229</f>
        <v>0</v>
      </c>
      <c r="N964" s="167">
        <f>'Jrnl Exp ~ Dép'!$H229</f>
        <v>0</v>
      </c>
    </row>
    <row r="965" spans="2:14" s="1" customFormat="1" ht="30" hidden="1" customHeight="1" x14ac:dyDescent="0.15">
      <c r="B965" s="146">
        <f>IF(AND('Jrnl Exp ~ Dép'!$G468&lt;&gt;"",'Jrnl Exp ~ Dép'!$C468&lt;&gt;""),1,0)</f>
        <v>0</v>
      </c>
      <c r="C965" s="146">
        <f>'Jrnl Exp ~ Dép'!$C468</f>
        <v>0</v>
      </c>
      <c r="D965" s="168">
        <f>'Jrnl Exp ~ Dép'!$D468</f>
        <v>0</v>
      </c>
      <c r="E965" s="1510">
        <f>'Jrnl Exp ~ Dép'!$F468</f>
        <v>0</v>
      </c>
      <c r="F965" s="1510"/>
      <c r="G965" s="951" t="str">
        <f>IF('Jrnl Exp ~ Dép'!$E468="","",'Jrnl Exp ~ Dép'!$E468)</f>
        <v/>
      </c>
      <c r="H965" s="147">
        <f>'Jrnl Exp ~ Dép'!H468</f>
        <v>0</v>
      </c>
      <c r="I965" s="147" t="str">
        <f t="shared" si="30"/>
        <v>0</v>
      </c>
      <c r="J965" s="148" t="b">
        <f t="shared" si="31"/>
        <v>0</v>
      </c>
      <c r="K965" s="169"/>
      <c r="L965" s="169">
        <f>'Jrnl Exp ~ Dép'!$G468</f>
        <v>0</v>
      </c>
      <c r="M965" s="151">
        <f>'Jrnl Exp ~ Dép'!E230</f>
        <v>0</v>
      </c>
      <c r="N965" s="167">
        <f>'Jrnl Exp ~ Dép'!$H230</f>
        <v>0</v>
      </c>
    </row>
    <row r="966" spans="2:14" s="1" customFormat="1" ht="30" hidden="1" customHeight="1" x14ac:dyDescent="0.15">
      <c r="B966" s="146">
        <f>IF(AND('Jrnl Exp ~ Dép'!$G469&lt;&gt;"",'Jrnl Exp ~ Dép'!$C469&lt;&gt;""),1,0)</f>
        <v>0</v>
      </c>
      <c r="C966" s="146">
        <f>'Jrnl Exp ~ Dép'!$C469</f>
        <v>0</v>
      </c>
      <c r="D966" s="168">
        <f>'Jrnl Exp ~ Dép'!$D469</f>
        <v>0</v>
      </c>
      <c r="E966" s="1510">
        <f>'Jrnl Exp ~ Dép'!$F469</f>
        <v>0</v>
      </c>
      <c r="F966" s="1510"/>
      <c r="G966" s="951" t="str">
        <f>IF('Jrnl Exp ~ Dép'!$E469="","",'Jrnl Exp ~ Dép'!$E469)</f>
        <v/>
      </c>
      <c r="H966" s="147">
        <f>'Jrnl Exp ~ Dép'!H469</f>
        <v>0</v>
      </c>
      <c r="I966" s="147" t="str">
        <f t="shared" si="30"/>
        <v>0</v>
      </c>
      <c r="J966" s="148" t="b">
        <f t="shared" si="31"/>
        <v>0</v>
      </c>
      <c r="K966" s="169"/>
      <c r="L966" s="169">
        <f>'Jrnl Exp ~ Dép'!$G469</f>
        <v>0</v>
      </c>
      <c r="M966" s="151">
        <f>'Jrnl Exp ~ Dép'!E231</f>
        <v>0</v>
      </c>
      <c r="N966" s="167">
        <f>'Jrnl Exp ~ Dép'!$H231</f>
        <v>0</v>
      </c>
    </row>
    <row r="967" spans="2:14" s="1" customFormat="1" ht="30" hidden="1" customHeight="1" x14ac:dyDescent="0.15">
      <c r="B967" s="146">
        <f>IF(AND('Jrnl Exp ~ Dép'!$G470&lt;&gt;"",'Jrnl Exp ~ Dép'!$C470&lt;&gt;""),1,0)</f>
        <v>0</v>
      </c>
      <c r="C967" s="146">
        <f>'Jrnl Exp ~ Dép'!$C470</f>
        <v>0</v>
      </c>
      <c r="D967" s="168">
        <f>'Jrnl Exp ~ Dép'!$D470</f>
        <v>0</v>
      </c>
      <c r="E967" s="1510">
        <f>'Jrnl Exp ~ Dép'!$F470</f>
        <v>0</v>
      </c>
      <c r="F967" s="1510"/>
      <c r="G967" s="951" t="str">
        <f>IF('Jrnl Exp ~ Dép'!$E470="","",'Jrnl Exp ~ Dép'!$E470)</f>
        <v/>
      </c>
      <c r="H967" s="147">
        <f>'Jrnl Exp ~ Dép'!H470</f>
        <v>0</v>
      </c>
      <c r="I967" s="147" t="str">
        <f t="shared" si="30"/>
        <v>0</v>
      </c>
      <c r="J967" s="148" t="b">
        <f t="shared" si="31"/>
        <v>0</v>
      </c>
      <c r="K967" s="169"/>
      <c r="L967" s="169">
        <f>'Jrnl Exp ~ Dép'!$G470</f>
        <v>0</v>
      </c>
      <c r="M967" s="151">
        <f>'Jrnl Exp ~ Dép'!E232</f>
        <v>0</v>
      </c>
      <c r="N967" s="167">
        <f>'Jrnl Exp ~ Dép'!$H232</f>
        <v>0</v>
      </c>
    </row>
    <row r="968" spans="2:14" s="1" customFormat="1" ht="30" hidden="1" customHeight="1" x14ac:dyDescent="0.15">
      <c r="B968" s="146">
        <f>IF(AND('Jrnl Exp ~ Dép'!$G471&lt;&gt;"",'Jrnl Exp ~ Dép'!$C471&lt;&gt;""),1,0)</f>
        <v>0</v>
      </c>
      <c r="C968" s="146">
        <f>'Jrnl Exp ~ Dép'!$C471</f>
        <v>0</v>
      </c>
      <c r="D968" s="168">
        <f>'Jrnl Exp ~ Dép'!$D471</f>
        <v>0</v>
      </c>
      <c r="E968" s="1510">
        <f>'Jrnl Exp ~ Dép'!$F471</f>
        <v>0</v>
      </c>
      <c r="F968" s="1510"/>
      <c r="G968" s="951" t="str">
        <f>IF('Jrnl Exp ~ Dép'!$E471="","",'Jrnl Exp ~ Dép'!$E471)</f>
        <v/>
      </c>
      <c r="H968" s="147">
        <f>'Jrnl Exp ~ Dép'!H471</f>
        <v>0</v>
      </c>
      <c r="I968" s="147" t="str">
        <f t="shared" si="30"/>
        <v>0</v>
      </c>
      <c r="J968" s="148" t="b">
        <f t="shared" si="31"/>
        <v>0</v>
      </c>
      <c r="K968" s="169"/>
      <c r="L968" s="169">
        <f>'Jrnl Exp ~ Dép'!$G471</f>
        <v>0</v>
      </c>
      <c r="M968" s="151">
        <f>'Jrnl Exp ~ Dép'!E233</f>
        <v>0</v>
      </c>
      <c r="N968" s="167">
        <f>'Jrnl Exp ~ Dép'!$H233</f>
        <v>0</v>
      </c>
    </row>
    <row r="969" spans="2:14" s="1" customFormat="1" ht="30" hidden="1" customHeight="1" x14ac:dyDescent="0.15">
      <c r="B969" s="146">
        <f>IF(AND('Jrnl Exp ~ Dép'!$G472&lt;&gt;"",'Jrnl Exp ~ Dép'!$C472&lt;&gt;""),1,0)</f>
        <v>0</v>
      </c>
      <c r="C969" s="146">
        <f>'Jrnl Exp ~ Dép'!$C472</f>
        <v>0</v>
      </c>
      <c r="D969" s="168">
        <f>'Jrnl Exp ~ Dép'!$D472</f>
        <v>0</v>
      </c>
      <c r="E969" s="1510">
        <f>'Jrnl Exp ~ Dép'!$F472</f>
        <v>0</v>
      </c>
      <c r="F969" s="1510"/>
      <c r="G969" s="951" t="str">
        <f>IF('Jrnl Exp ~ Dép'!$E472="","",'Jrnl Exp ~ Dép'!$E472)</f>
        <v/>
      </c>
      <c r="H969" s="147">
        <f>'Jrnl Exp ~ Dép'!H472</f>
        <v>0</v>
      </c>
      <c r="I969" s="147" t="str">
        <f t="shared" si="30"/>
        <v>0</v>
      </c>
      <c r="J969" s="148" t="b">
        <f t="shared" si="31"/>
        <v>0</v>
      </c>
      <c r="K969" s="169"/>
      <c r="L969" s="169">
        <f>'Jrnl Exp ~ Dép'!$G472</f>
        <v>0</v>
      </c>
      <c r="M969" s="151">
        <f>'Jrnl Exp ~ Dép'!E234</f>
        <v>0</v>
      </c>
      <c r="N969" s="167">
        <f>'Jrnl Exp ~ Dép'!$H234</f>
        <v>0</v>
      </c>
    </row>
    <row r="970" spans="2:14" s="1" customFormat="1" ht="30" hidden="1" customHeight="1" x14ac:dyDescent="0.15">
      <c r="B970" s="146">
        <f>IF(AND('Jrnl Exp ~ Dép'!$G473&lt;&gt;"",'Jrnl Exp ~ Dép'!$C473&lt;&gt;""),1,0)</f>
        <v>0</v>
      </c>
      <c r="C970" s="146">
        <f>'Jrnl Exp ~ Dép'!$C473</f>
        <v>0</v>
      </c>
      <c r="D970" s="168">
        <f>'Jrnl Exp ~ Dép'!$D473</f>
        <v>0</v>
      </c>
      <c r="E970" s="1510">
        <f>'Jrnl Exp ~ Dép'!$F473</f>
        <v>0</v>
      </c>
      <c r="F970" s="1510"/>
      <c r="G970" s="951" t="str">
        <f>IF('Jrnl Exp ~ Dép'!$E473="","",'Jrnl Exp ~ Dép'!$E473)</f>
        <v/>
      </c>
      <c r="H970" s="147">
        <f>'Jrnl Exp ~ Dép'!H473</f>
        <v>0</v>
      </c>
      <c r="I970" s="147" t="str">
        <f t="shared" si="30"/>
        <v>0</v>
      </c>
      <c r="J970" s="148" t="b">
        <f t="shared" si="31"/>
        <v>0</v>
      </c>
      <c r="K970" s="169"/>
      <c r="L970" s="169">
        <f>'Jrnl Exp ~ Dép'!$G473</f>
        <v>0</v>
      </c>
      <c r="M970" s="151">
        <f>'Jrnl Exp ~ Dép'!E235</f>
        <v>0</v>
      </c>
      <c r="N970" s="167">
        <f>'Jrnl Exp ~ Dép'!$H235</f>
        <v>0</v>
      </c>
    </row>
    <row r="971" spans="2:14" s="1" customFormat="1" ht="30" hidden="1" customHeight="1" x14ac:dyDescent="0.15">
      <c r="B971" s="146">
        <f>IF(AND('Jrnl Exp ~ Dép'!$G474&lt;&gt;"",'Jrnl Exp ~ Dép'!$C474&lt;&gt;""),1,0)</f>
        <v>0</v>
      </c>
      <c r="C971" s="146">
        <f>'Jrnl Exp ~ Dép'!$C474</f>
        <v>0</v>
      </c>
      <c r="D971" s="168">
        <f>'Jrnl Exp ~ Dép'!$D474</f>
        <v>0</v>
      </c>
      <c r="E971" s="1510">
        <f>'Jrnl Exp ~ Dép'!$F474</f>
        <v>0</v>
      </c>
      <c r="F971" s="1510"/>
      <c r="G971" s="951" t="str">
        <f>IF('Jrnl Exp ~ Dép'!$E474="","",'Jrnl Exp ~ Dép'!$E474)</f>
        <v/>
      </c>
      <c r="H971" s="147">
        <f>'Jrnl Exp ~ Dép'!H474</f>
        <v>0</v>
      </c>
      <c r="I971" s="147" t="str">
        <f t="shared" si="30"/>
        <v>0</v>
      </c>
      <c r="J971" s="148" t="b">
        <f t="shared" si="31"/>
        <v>0</v>
      </c>
      <c r="K971" s="169"/>
      <c r="L971" s="169">
        <f>'Jrnl Exp ~ Dép'!$G474</f>
        <v>0</v>
      </c>
      <c r="M971" s="151">
        <f>'Jrnl Exp ~ Dép'!E236</f>
        <v>0</v>
      </c>
      <c r="N971" s="167">
        <f>'Jrnl Exp ~ Dép'!$H236</f>
        <v>0</v>
      </c>
    </row>
    <row r="972" spans="2:14" s="1" customFormat="1" ht="30" hidden="1" customHeight="1" x14ac:dyDescent="0.15">
      <c r="B972" s="146">
        <f>IF(AND('Jrnl Exp ~ Dép'!$G475&lt;&gt;"",'Jrnl Exp ~ Dép'!$C475&lt;&gt;""),1,0)</f>
        <v>0</v>
      </c>
      <c r="C972" s="146">
        <f>'Jrnl Exp ~ Dép'!$C475</f>
        <v>0</v>
      </c>
      <c r="D972" s="168">
        <f>'Jrnl Exp ~ Dép'!$D475</f>
        <v>0</v>
      </c>
      <c r="E972" s="1510">
        <f>'Jrnl Exp ~ Dép'!$F475</f>
        <v>0</v>
      </c>
      <c r="F972" s="1510"/>
      <c r="G972" s="951" t="str">
        <f>IF('Jrnl Exp ~ Dép'!$E475="","",'Jrnl Exp ~ Dép'!$E475)</f>
        <v/>
      </c>
      <c r="H972" s="147">
        <f>'Jrnl Exp ~ Dép'!H475</f>
        <v>0</v>
      </c>
      <c r="I972" s="147" t="str">
        <f t="shared" si="30"/>
        <v>0</v>
      </c>
      <c r="J972" s="148" t="b">
        <f t="shared" si="31"/>
        <v>0</v>
      </c>
      <c r="K972" s="169"/>
      <c r="L972" s="169">
        <f>'Jrnl Exp ~ Dép'!$G475</f>
        <v>0</v>
      </c>
      <c r="M972" s="151">
        <f>'Jrnl Exp ~ Dép'!E237</f>
        <v>0</v>
      </c>
      <c r="N972" s="167">
        <f>'Jrnl Exp ~ Dép'!$H237</f>
        <v>0</v>
      </c>
    </row>
    <row r="973" spans="2:14" s="1" customFormat="1" ht="30" hidden="1" customHeight="1" x14ac:dyDescent="0.15">
      <c r="B973" s="146">
        <f>IF(AND('Jrnl Exp ~ Dép'!$G476&lt;&gt;"",'Jrnl Exp ~ Dép'!$C476&lt;&gt;""),1,0)</f>
        <v>0</v>
      </c>
      <c r="C973" s="146">
        <f>'Jrnl Exp ~ Dép'!$C476</f>
        <v>0</v>
      </c>
      <c r="D973" s="168">
        <f>'Jrnl Exp ~ Dép'!$D476</f>
        <v>0</v>
      </c>
      <c r="E973" s="1510">
        <f>'Jrnl Exp ~ Dép'!$F476</f>
        <v>0</v>
      </c>
      <c r="F973" s="1510"/>
      <c r="G973" s="951" t="str">
        <f>IF('Jrnl Exp ~ Dép'!$E476="","",'Jrnl Exp ~ Dép'!$E476)</f>
        <v/>
      </c>
      <c r="H973" s="147">
        <f>'Jrnl Exp ~ Dép'!H476</f>
        <v>0</v>
      </c>
      <c r="I973" s="147" t="str">
        <f t="shared" si="30"/>
        <v>0</v>
      </c>
      <c r="J973" s="148" t="b">
        <f t="shared" si="31"/>
        <v>0</v>
      </c>
      <c r="K973" s="169"/>
      <c r="L973" s="169">
        <f>'Jrnl Exp ~ Dép'!$G476</f>
        <v>0</v>
      </c>
      <c r="M973" s="151">
        <f>'Jrnl Exp ~ Dép'!E238</f>
        <v>0</v>
      </c>
      <c r="N973" s="167">
        <f>'Jrnl Exp ~ Dép'!$H238</f>
        <v>0</v>
      </c>
    </row>
    <row r="974" spans="2:14" s="1" customFormat="1" ht="30" hidden="1" customHeight="1" x14ac:dyDescent="0.15">
      <c r="B974" s="146">
        <f>IF(AND('Jrnl Exp ~ Dép'!$G477&lt;&gt;"",'Jrnl Exp ~ Dép'!$C477&lt;&gt;""),1,0)</f>
        <v>0</v>
      </c>
      <c r="C974" s="146">
        <f>'Jrnl Exp ~ Dép'!$C477</f>
        <v>0</v>
      </c>
      <c r="D974" s="168">
        <f>'Jrnl Exp ~ Dép'!$D477</f>
        <v>0</v>
      </c>
      <c r="E974" s="1510">
        <f>'Jrnl Exp ~ Dép'!$F477</f>
        <v>0</v>
      </c>
      <c r="F974" s="1510"/>
      <c r="G974" s="951" t="str">
        <f>IF('Jrnl Exp ~ Dép'!$E477="","",'Jrnl Exp ~ Dép'!$E477)</f>
        <v/>
      </c>
      <c r="H974" s="147">
        <f>'Jrnl Exp ~ Dép'!H477</f>
        <v>0</v>
      </c>
      <c r="I974" s="147" t="str">
        <f t="shared" si="30"/>
        <v>0</v>
      </c>
      <c r="J974" s="148" t="b">
        <f t="shared" si="31"/>
        <v>0</v>
      </c>
      <c r="K974" s="169"/>
      <c r="L974" s="169">
        <f>'Jrnl Exp ~ Dép'!$G477</f>
        <v>0</v>
      </c>
      <c r="M974" s="151">
        <f>'Jrnl Exp ~ Dép'!E239</f>
        <v>0</v>
      </c>
      <c r="N974" s="167">
        <f>'Jrnl Exp ~ Dép'!$H239</f>
        <v>0</v>
      </c>
    </row>
    <row r="975" spans="2:14" s="1" customFormat="1" ht="30" hidden="1" customHeight="1" x14ac:dyDescent="0.15">
      <c r="B975" s="146">
        <f>IF(AND('Jrnl Exp ~ Dép'!$G478&lt;&gt;"",'Jrnl Exp ~ Dép'!$C478&lt;&gt;""),1,0)</f>
        <v>0</v>
      </c>
      <c r="C975" s="146">
        <f>'Jrnl Exp ~ Dép'!$C478</f>
        <v>0</v>
      </c>
      <c r="D975" s="168">
        <f>'Jrnl Exp ~ Dép'!$D478</f>
        <v>0</v>
      </c>
      <c r="E975" s="1510">
        <f>'Jrnl Exp ~ Dép'!$F478</f>
        <v>0</v>
      </c>
      <c r="F975" s="1510"/>
      <c r="G975" s="951" t="str">
        <f>IF('Jrnl Exp ~ Dép'!$E478="","",'Jrnl Exp ~ Dép'!$E478)</f>
        <v/>
      </c>
      <c r="H975" s="147">
        <f>'Jrnl Exp ~ Dép'!H478</f>
        <v>0</v>
      </c>
      <c r="I975" s="147" t="str">
        <f t="shared" si="30"/>
        <v>0</v>
      </c>
      <c r="J975" s="148" t="b">
        <f t="shared" si="31"/>
        <v>0</v>
      </c>
      <c r="K975" s="169"/>
      <c r="L975" s="169">
        <f>'Jrnl Exp ~ Dép'!$G478</f>
        <v>0</v>
      </c>
      <c r="M975" s="151">
        <f>'Jrnl Exp ~ Dép'!E240</f>
        <v>0</v>
      </c>
      <c r="N975" s="167">
        <f>'Jrnl Exp ~ Dép'!$H240</f>
        <v>0</v>
      </c>
    </row>
    <row r="976" spans="2:14" s="1" customFormat="1" ht="30" hidden="1" customHeight="1" x14ac:dyDescent="0.15">
      <c r="B976" s="146">
        <f>IF(AND('Jrnl Exp ~ Dép'!$G479&lt;&gt;"",'Jrnl Exp ~ Dép'!$C479&lt;&gt;""),1,0)</f>
        <v>0</v>
      </c>
      <c r="C976" s="146">
        <f>'Jrnl Exp ~ Dép'!$C479</f>
        <v>0</v>
      </c>
      <c r="D976" s="168">
        <f>'Jrnl Exp ~ Dép'!$D479</f>
        <v>0</v>
      </c>
      <c r="E976" s="1510">
        <f>'Jrnl Exp ~ Dép'!$F479</f>
        <v>0</v>
      </c>
      <c r="F976" s="1510"/>
      <c r="G976" s="951" t="str">
        <f>IF('Jrnl Exp ~ Dép'!$E479="","",'Jrnl Exp ~ Dép'!$E479)</f>
        <v/>
      </c>
      <c r="H976" s="147">
        <f>'Jrnl Exp ~ Dép'!H479</f>
        <v>0</v>
      </c>
      <c r="I976" s="147" t="str">
        <f t="shared" si="30"/>
        <v>0</v>
      </c>
      <c r="J976" s="148" t="b">
        <f t="shared" si="31"/>
        <v>0</v>
      </c>
      <c r="K976" s="169"/>
      <c r="L976" s="169">
        <f>'Jrnl Exp ~ Dép'!$G479</f>
        <v>0</v>
      </c>
      <c r="M976" s="151">
        <f>'Jrnl Exp ~ Dép'!E241</f>
        <v>0</v>
      </c>
      <c r="N976" s="167">
        <f>'Jrnl Exp ~ Dép'!$H241</f>
        <v>0</v>
      </c>
    </row>
    <row r="977" spans="2:14" s="1" customFormat="1" ht="30" hidden="1" customHeight="1" x14ac:dyDescent="0.15">
      <c r="B977" s="146">
        <f>IF(AND('Jrnl Exp ~ Dép'!$G480&lt;&gt;"",'Jrnl Exp ~ Dép'!$C480&lt;&gt;""),1,0)</f>
        <v>0</v>
      </c>
      <c r="C977" s="146">
        <f>'Jrnl Exp ~ Dép'!$C480</f>
        <v>0</v>
      </c>
      <c r="D977" s="168">
        <f>'Jrnl Exp ~ Dép'!$D480</f>
        <v>0</v>
      </c>
      <c r="E977" s="1510">
        <f>'Jrnl Exp ~ Dép'!$F480</f>
        <v>0</v>
      </c>
      <c r="F977" s="1510"/>
      <c r="G977" s="951" t="str">
        <f>IF('Jrnl Exp ~ Dép'!$E480="","",'Jrnl Exp ~ Dép'!$E480)</f>
        <v/>
      </c>
      <c r="H977" s="147">
        <f>'Jrnl Exp ~ Dép'!H480</f>
        <v>0</v>
      </c>
      <c r="I977" s="147" t="str">
        <f t="shared" si="30"/>
        <v>0</v>
      </c>
      <c r="J977" s="148" t="b">
        <f t="shared" si="31"/>
        <v>0</v>
      </c>
      <c r="K977" s="169"/>
      <c r="L977" s="169">
        <f>'Jrnl Exp ~ Dép'!$G480</f>
        <v>0</v>
      </c>
      <c r="M977" s="151">
        <f>'Jrnl Exp ~ Dép'!E242</f>
        <v>0</v>
      </c>
      <c r="N977" s="167">
        <f>'Jrnl Exp ~ Dép'!$H242</f>
        <v>0</v>
      </c>
    </row>
    <row r="978" spans="2:14" s="1" customFormat="1" ht="30" hidden="1" customHeight="1" x14ac:dyDescent="0.15">
      <c r="B978" s="146">
        <f>IF(AND('Jrnl Exp ~ Dép'!$G481&lt;&gt;"",'Jrnl Exp ~ Dép'!$C481&lt;&gt;""),1,0)</f>
        <v>0</v>
      </c>
      <c r="C978" s="146">
        <f>'Jrnl Exp ~ Dép'!$C481</f>
        <v>0</v>
      </c>
      <c r="D978" s="168">
        <f>'Jrnl Exp ~ Dép'!$D481</f>
        <v>0</v>
      </c>
      <c r="E978" s="1510">
        <f>'Jrnl Exp ~ Dép'!$F481</f>
        <v>0</v>
      </c>
      <c r="F978" s="1510"/>
      <c r="G978" s="951" t="str">
        <f>IF('Jrnl Exp ~ Dép'!$E481="","",'Jrnl Exp ~ Dép'!$E481)</f>
        <v/>
      </c>
      <c r="H978" s="147">
        <f>'Jrnl Exp ~ Dép'!H481</f>
        <v>0</v>
      </c>
      <c r="I978" s="147" t="str">
        <f t="shared" si="30"/>
        <v>0</v>
      </c>
      <c r="J978" s="148" t="b">
        <f t="shared" si="31"/>
        <v>0</v>
      </c>
      <c r="K978" s="169"/>
      <c r="L978" s="169">
        <f>'Jrnl Exp ~ Dép'!$G481</f>
        <v>0</v>
      </c>
      <c r="M978" s="151">
        <f>'Jrnl Exp ~ Dép'!E243</f>
        <v>0</v>
      </c>
      <c r="N978" s="167">
        <f>'Jrnl Exp ~ Dép'!$H243</f>
        <v>0</v>
      </c>
    </row>
    <row r="979" spans="2:14" s="1" customFormat="1" ht="30" hidden="1" customHeight="1" x14ac:dyDescent="0.15">
      <c r="B979" s="146">
        <f>IF(AND('Jrnl Exp ~ Dép'!$G482&lt;&gt;"",'Jrnl Exp ~ Dép'!$C482&lt;&gt;""),1,0)</f>
        <v>0</v>
      </c>
      <c r="C979" s="146">
        <f>'Jrnl Exp ~ Dép'!$C482</f>
        <v>0</v>
      </c>
      <c r="D979" s="168">
        <f>'Jrnl Exp ~ Dép'!$D482</f>
        <v>0</v>
      </c>
      <c r="E979" s="1510">
        <f>'Jrnl Exp ~ Dép'!$F482</f>
        <v>0</v>
      </c>
      <c r="F979" s="1510"/>
      <c r="G979" s="951" t="str">
        <f>IF('Jrnl Exp ~ Dép'!$E482="","",'Jrnl Exp ~ Dép'!$E482)</f>
        <v/>
      </c>
      <c r="H979" s="147">
        <f>'Jrnl Exp ~ Dép'!H482</f>
        <v>0</v>
      </c>
      <c r="I979" s="147" t="str">
        <f t="shared" si="30"/>
        <v>0</v>
      </c>
      <c r="J979" s="148" t="b">
        <f t="shared" si="31"/>
        <v>0</v>
      </c>
      <c r="K979" s="169"/>
      <c r="L979" s="169">
        <f>'Jrnl Exp ~ Dép'!$G482</f>
        <v>0</v>
      </c>
      <c r="M979" s="151">
        <f>'Jrnl Exp ~ Dép'!E244</f>
        <v>0</v>
      </c>
      <c r="N979" s="167">
        <f>'Jrnl Exp ~ Dép'!$H244</f>
        <v>0</v>
      </c>
    </row>
    <row r="980" spans="2:14" s="1" customFormat="1" ht="30" hidden="1" customHeight="1" x14ac:dyDescent="0.15">
      <c r="B980" s="146">
        <f>IF(AND('Jrnl Exp ~ Dép'!$G483&lt;&gt;"",'Jrnl Exp ~ Dép'!$C483&lt;&gt;""),1,0)</f>
        <v>0</v>
      </c>
      <c r="C980" s="146">
        <f>'Jrnl Exp ~ Dép'!$C483</f>
        <v>0</v>
      </c>
      <c r="D980" s="168">
        <f>'Jrnl Exp ~ Dép'!$D483</f>
        <v>0</v>
      </c>
      <c r="E980" s="1510">
        <f>'Jrnl Exp ~ Dép'!$F483</f>
        <v>0</v>
      </c>
      <c r="F980" s="1510"/>
      <c r="G980" s="951" t="str">
        <f>IF('Jrnl Exp ~ Dép'!$E483="","",'Jrnl Exp ~ Dép'!$E483)</f>
        <v/>
      </c>
      <c r="H980" s="147">
        <f>'Jrnl Exp ~ Dép'!H483</f>
        <v>0</v>
      </c>
      <c r="I980" s="147" t="str">
        <f t="shared" si="30"/>
        <v>0</v>
      </c>
      <c r="J980" s="148" t="b">
        <f t="shared" si="31"/>
        <v>0</v>
      </c>
      <c r="K980" s="169"/>
      <c r="L980" s="169">
        <f>'Jrnl Exp ~ Dép'!$G483</f>
        <v>0</v>
      </c>
      <c r="M980" s="151">
        <f>'Jrnl Exp ~ Dép'!E245</f>
        <v>0</v>
      </c>
      <c r="N980" s="167">
        <f>'Jrnl Exp ~ Dép'!$H245</f>
        <v>0</v>
      </c>
    </row>
    <row r="981" spans="2:14" s="1" customFormat="1" ht="30" hidden="1" customHeight="1" x14ac:dyDescent="0.15">
      <c r="B981" s="146">
        <f>IF(AND('Jrnl Exp ~ Dép'!$G484&lt;&gt;"",'Jrnl Exp ~ Dép'!$C484&lt;&gt;""),1,0)</f>
        <v>0</v>
      </c>
      <c r="C981" s="146">
        <f>'Jrnl Exp ~ Dép'!$C484</f>
        <v>0</v>
      </c>
      <c r="D981" s="168">
        <f>'Jrnl Exp ~ Dép'!$D484</f>
        <v>0</v>
      </c>
      <c r="E981" s="1510">
        <f>'Jrnl Exp ~ Dép'!$F484</f>
        <v>0</v>
      </c>
      <c r="F981" s="1510"/>
      <c r="G981" s="951" t="str">
        <f>IF('Jrnl Exp ~ Dép'!$E484="","",'Jrnl Exp ~ Dép'!$E484)</f>
        <v/>
      </c>
      <c r="H981" s="147">
        <f>'Jrnl Exp ~ Dép'!H484</f>
        <v>0</v>
      </c>
      <c r="I981" s="147" t="str">
        <f t="shared" si="30"/>
        <v>0</v>
      </c>
      <c r="J981" s="148" t="b">
        <f t="shared" si="31"/>
        <v>0</v>
      </c>
      <c r="K981" s="169"/>
      <c r="L981" s="169">
        <f>'Jrnl Exp ~ Dép'!$G484</f>
        <v>0</v>
      </c>
      <c r="M981" s="151">
        <f>'Jrnl Exp ~ Dép'!E246</f>
        <v>0</v>
      </c>
      <c r="N981" s="167">
        <f>'Jrnl Exp ~ Dép'!$H246</f>
        <v>0</v>
      </c>
    </row>
    <row r="982" spans="2:14" s="1" customFormat="1" ht="30" hidden="1" customHeight="1" x14ac:dyDescent="0.15">
      <c r="B982" s="146">
        <f>IF(AND('Jrnl Exp ~ Dép'!$G485&lt;&gt;"",'Jrnl Exp ~ Dép'!$C485&lt;&gt;""),1,0)</f>
        <v>0</v>
      </c>
      <c r="C982" s="146">
        <f>'Jrnl Exp ~ Dép'!$C485</f>
        <v>0</v>
      </c>
      <c r="D982" s="168">
        <f>'Jrnl Exp ~ Dép'!$D485</f>
        <v>0</v>
      </c>
      <c r="E982" s="1510">
        <f>'Jrnl Exp ~ Dép'!$F485</f>
        <v>0</v>
      </c>
      <c r="F982" s="1510"/>
      <c r="G982" s="951" t="str">
        <f>IF('Jrnl Exp ~ Dép'!$E485="","",'Jrnl Exp ~ Dép'!$E485)</f>
        <v/>
      </c>
      <c r="H982" s="147">
        <f>'Jrnl Exp ~ Dép'!H485</f>
        <v>0</v>
      </c>
      <c r="I982" s="147" t="str">
        <f t="shared" si="30"/>
        <v>0</v>
      </c>
      <c r="J982" s="148" t="b">
        <f t="shared" si="31"/>
        <v>0</v>
      </c>
      <c r="K982" s="169"/>
      <c r="L982" s="169">
        <f>'Jrnl Exp ~ Dép'!$G485</f>
        <v>0</v>
      </c>
      <c r="M982" s="151">
        <f>'Jrnl Exp ~ Dép'!E247</f>
        <v>0</v>
      </c>
      <c r="N982" s="167">
        <f>'Jrnl Exp ~ Dép'!$H247</f>
        <v>0</v>
      </c>
    </row>
    <row r="983" spans="2:14" s="1" customFormat="1" ht="30" hidden="1" customHeight="1" x14ac:dyDescent="0.15">
      <c r="B983" s="146">
        <f>IF(AND('Jrnl Exp ~ Dép'!$G486&lt;&gt;"",'Jrnl Exp ~ Dép'!$C486&lt;&gt;""),1,0)</f>
        <v>0</v>
      </c>
      <c r="C983" s="146">
        <f>'Jrnl Exp ~ Dép'!$C486</f>
        <v>0</v>
      </c>
      <c r="D983" s="168">
        <f>'Jrnl Exp ~ Dép'!$D486</f>
        <v>0</v>
      </c>
      <c r="E983" s="1510">
        <f>'Jrnl Exp ~ Dép'!$F486</f>
        <v>0</v>
      </c>
      <c r="F983" s="1510"/>
      <c r="G983" s="951" t="str">
        <f>IF('Jrnl Exp ~ Dép'!$E486="","",'Jrnl Exp ~ Dép'!$E486)</f>
        <v/>
      </c>
      <c r="H983" s="147">
        <f>'Jrnl Exp ~ Dép'!H486</f>
        <v>0</v>
      </c>
      <c r="I983" s="147" t="str">
        <f t="shared" si="30"/>
        <v>0</v>
      </c>
      <c r="J983" s="148" t="b">
        <f t="shared" si="31"/>
        <v>0</v>
      </c>
      <c r="K983" s="169"/>
      <c r="L983" s="169">
        <f>'Jrnl Exp ~ Dép'!$G486</f>
        <v>0</v>
      </c>
      <c r="M983" s="151">
        <f>'Jrnl Exp ~ Dép'!E248</f>
        <v>0</v>
      </c>
      <c r="N983" s="167">
        <f>'Jrnl Exp ~ Dép'!$H248</f>
        <v>0</v>
      </c>
    </row>
    <row r="984" spans="2:14" s="1" customFormat="1" ht="30" hidden="1" customHeight="1" x14ac:dyDescent="0.15">
      <c r="B984" s="146">
        <f>IF(AND('Jrnl Exp ~ Dép'!$G487&lt;&gt;"",'Jrnl Exp ~ Dép'!$C487&lt;&gt;""),1,0)</f>
        <v>0</v>
      </c>
      <c r="C984" s="146">
        <f>'Jrnl Exp ~ Dép'!$C487</f>
        <v>0</v>
      </c>
      <c r="D984" s="168">
        <f>'Jrnl Exp ~ Dép'!$D487</f>
        <v>0</v>
      </c>
      <c r="E984" s="1510">
        <f>'Jrnl Exp ~ Dép'!$F487</f>
        <v>0</v>
      </c>
      <c r="F984" s="1510"/>
      <c r="G984" s="951" t="str">
        <f>IF('Jrnl Exp ~ Dép'!$E487="","",'Jrnl Exp ~ Dép'!$E487)</f>
        <v/>
      </c>
      <c r="H984" s="147">
        <f>'Jrnl Exp ~ Dép'!H487</f>
        <v>0</v>
      </c>
      <c r="I984" s="147" t="str">
        <f t="shared" si="30"/>
        <v>0</v>
      </c>
      <c r="J984" s="148" t="b">
        <f t="shared" si="31"/>
        <v>0</v>
      </c>
      <c r="K984" s="169"/>
      <c r="L984" s="169">
        <f>'Jrnl Exp ~ Dép'!$G487</f>
        <v>0</v>
      </c>
      <c r="M984" s="151">
        <f>'Jrnl Exp ~ Dép'!E249</f>
        <v>0</v>
      </c>
      <c r="N984" s="167">
        <f>'Jrnl Exp ~ Dép'!$H249</f>
        <v>0</v>
      </c>
    </row>
    <row r="985" spans="2:14" s="1" customFormat="1" ht="30" hidden="1" customHeight="1" x14ac:dyDescent="0.15">
      <c r="B985" s="146">
        <f>IF(AND('Jrnl Exp ~ Dép'!$G488&lt;&gt;"",'Jrnl Exp ~ Dép'!$C488&lt;&gt;""),1,0)</f>
        <v>0</v>
      </c>
      <c r="C985" s="146">
        <f>'Jrnl Exp ~ Dép'!$C488</f>
        <v>0</v>
      </c>
      <c r="D985" s="168">
        <f>'Jrnl Exp ~ Dép'!$D488</f>
        <v>0</v>
      </c>
      <c r="E985" s="1510">
        <f>'Jrnl Exp ~ Dép'!$F488</f>
        <v>0</v>
      </c>
      <c r="F985" s="1510"/>
      <c r="G985" s="951" t="str">
        <f>IF('Jrnl Exp ~ Dép'!$E488="","",'Jrnl Exp ~ Dép'!$E488)</f>
        <v/>
      </c>
      <c r="H985" s="147">
        <f>'Jrnl Exp ~ Dép'!H488</f>
        <v>0</v>
      </c>
      <c r="I985" s="147" t="str">
        <f t="shared" si="30"/>
        <v>0</v>
      </c>
      <c r="J985" s="148" t="b">
        <f t="shared" si="31"/>
        <v>0</v>
      </c>
      <c r="K985" s="169"/>
      <c r="L985" s="169">
        <f>'Jrnl Exp ~ Dép'!$G488</f>
        <v>0</v>
      </c>
      <c r="M985" s="151">
        <f>'Jrnl Exp ~ Dép'!E250</f>
        <v>0</v>
      </c>
      <c r="N985" s="167">
        <f>'Jrnl Exp ~ Dép'!$H250</f>
        <v>0</v>
      </c>
    </row>
    <row r="986" spans="2:14" s="1" customFormat="1" ht="30" hidden="1" customHeight="1" x14ac:dyDescent="0.15">
      <c r="B986" s="146">
        <f>IF(AND('Jrnl Exp ~ Dép'!$G489&lt;&gt;"",'Jrnl Exp ~ Dép'!$C489&lt;&gt;""),1,0)</f>
        <v>0</v>
      </c>
      <c r="C986" s="146">
        <f>'Jrnl Exp ~ Dép'!$C489</f>
        <v>0</v>
      </c>
      <c r="D986" s="168">
        <f>'Jrnl Exp ~ Dép'!$D489</f>
        <v>0</v>
      </c>
      <c r="E986" s="1510">
        <f>'Jrnl Exp ~ Dép'!$F489</f>
        <v>0</v>
      </c>
      <c r="F986" s="1510"/>
      <c r="G986" s="951" t="str">
        <f>IF('Jrnl Exp ~ Dép'!$E489="","",'Jrnl Exp ~ Dép'!$E489)</f>
        <v/>
      </c>
      <c r="H986" s="147">
        <f>'Jrnl Exp ~ Dép'!H489</f>
        <v>0</v>
      </c>
      <c r="I986" s="147" t="str">
        <f t="shared" si="30"/>
        <v>0</v>
      </c>
      <c r="J986" s="148" t="b">
        <f t="shared" si="31"/>
        <v>0</v>
      </c>
      <c r="K986" s="169"/>
      <c r="L986" s="169">
        <f>'Jrnl Exp ~ Dép'!$G489</f>
        <v>0</v>
      </c>
      <c r="M986" s="151">
        <f>'Jrnl Exp ~ Dép'!E251</f>
        <v>0</v>
      </c>
      <c r="N986" s="167">
        <f>'Jrnl Exp ~ Dép'!$H251</f>
        <v>0</v>
      </c>
    </row>
    <row r="987" spans="2:14" s="1" customFormat="1" ht="30" hidden="1" customHeight="1" x14ac:dyDescent="0.15">
      <c r="B987" s="146">
        <f>IF(AND('Jrnl Exp ~ Dép'!$G490&lt;&gt;"",'Jrnl Exp ~ Dép'!$C490&lt;&gt;""),1,0)</f>
        <v>0</v>
      </c>
      <c r="C987" s="146">
        <f>'Jrnl Exp ~ Dép'!$C490</f>
        <v>0</v>
      </c>
      <c r="D987" s="168">
        <f>'Jrnl Exp ~ Dép'!$D490</f>
        <v>0</v>
      </c>
      <c r="E987" s="1510">
        <f>'Jrnl Exp ~ Dép'!$F490</f>
        <v>0</v>
      </c>
      <c r="F987" s="1510"/>
      <c r="G987" s="951" t="str">
        <f>IF('Jrnl Exp ~ Dép'!$E490="","",'Jrnl Exp ~ Dép'!$E490)</f>
        <v/>
      </c>
      <c r="H987" s="147">
        <f>'Jrnl Exp ~ Dép'!H490</f>
        <v>0</v>
      </c>
      <c r="I987" s="147" t="str">
        <f t="shared" si="30"/>
        <v>0</v>
      </c>
      <c r="J987" s="148" t="b">
        <f t="shared" si="31"/>
        <v>0</v>
      </c>
      <c r="K987" s="169"/>
      <c r="L987" s="169">
        <f>'Jrnl Exp ~ Dép'!$G490</f>
        <v>0</v>
      </c>
      <c r="M987" s="151">
        <f>'Jrnl Exp ~ Dép'!E252</f>
        <v>0</v>
      </c>
      <c r="N987" s="167">
        <f>'Jrnl Exp ~ Dép'!$H252</f>
        <v>0</v>
      </c>
    </row>
    <row r="988" spans="2:14" s="1" customFormat="1" ht="30" hidden="1" customHeight="1" x14ac:dyDescent="0.15">
      <c r="B988" s="146">
        <f>IF(AND('Jrnl Exp ~ Dép'!$G491&lt;&gt;"",'Jrnl Exp ~ Dép'!$C491&lt;&gt;""),1,0)</f>
        <v>0</v>
      </c>
      <c r="C988" s="146">
        <f>'Jrnl Exp ~ Dép'!$C491</f>
        <v>0</v>
      </c>
      <c r="D988" s="168">
        <f>'Jrnl Exp ~ Dép'!$D491</f>
        <v>0</v>
      </c>
      <c r="E988" s="1510">
        <f>'Jrnl Exp ~ Dép'!$F491</f>
        <v>0</v>
      </c>
      <c r="F988" s="1510"/>
      <c r="G988" s="951" t="str">
        <f>IF('Jrnl Exp ~ Dép'!$E491="","",'Jrnl Exp ~ Dép'!$E491)</f>
        <v/>
      </c>
      <c r="H988" s="147">
        <f>'Jrnl Exp ~ Dép'!H491</f>
        <v>0</v>
      </c>
      <c r="I988" s="147" t="str">
        <f t="shared" si="30"/>
        <v>0</v>
      </c>
      <c r="J988" s="148" t="b">
        <f t="shared" si="31"/>
        <v>0</v>
      </c>
      <c r="K988" s="169"/>
      <c r="L988" s="169">
        <f>'Jrnl Exp ~ Dép'!$G491</f>
        <v>0</v>
      </c>
      <c r="M988" s="151">
        <f>'Jrnl Exp ~ Dép'!E253</f>
        <v>0</v>
      </c>
      <c r="N988" s="167">
        <f>'Jrnl Exp ~ Dép'!$H253</f>
        <v>0</v>
      </c>
    </row>
    <row r="989" spans="2:14" s="1" customFormat="1" ht="30" hidden="1" customHeight="1" x14ac:dyDescent="0.15">
      <c r="B989" s="146">
        <f>IF(AND('Jrnl Exp ~ Dép'!$G492&lt;&gt;"",'Jrnl Exp ~ Dép'!$C492&lt;&gt;""),1,0)</f>
        <v>0</v>
      </c>
      <c r="C989" s="146">
        <f>'Jrnl Exp ~ Dép'!$C492</f>
        <v>0</v>
      </c>
      <c r="D989" s="168">
        <f>'Jrnl Exp ~ Dép'!$D492</f>
        <v>0</v>
      </c>
      <c r="E989" s="1510">
        <f>'Jrnl Exp ~ Dép'!$F492</f>
        <v>0</v>
      </c>
      <c r="F989" s="1510"/>
      <c r="G989" s="951" t="str">
        <f>IF('Jrnl Exp ~ Dép'!$E492="","",'Jrnl Exp ~ Dép'!$E492)</f>
        <v/>
      </c>
      <c r="H989" s="147">
        <f>'Jrnl Exp ~ Dép'!H492</f>
        <v>0</v>
      </c>
      <c r="I989" s="147" t="str">
        <f t="shared" si="30"/>
        <v>0</v>
      </c>
      <c r="J989" s="148" t="b">
        <f t="shared" si="31"/>
        <v>0</v>
      </c>
      <c r="K989" s="169"/>
      <c r="L989" s="169">
        <f>'Jrnl Exp ~ Dép'!$G492</f>
        <v>0</v>
      </c>
      <c r="M989" s="151">
        <f>'Jrnl Exp ~ Dép'!E254</f>
        <v>0</v>
      </c>
      <c r="N989" s="167">
        <f>'Jrnl Exp ~ Dép'!$H254</f>
        <v>0</v>
      </c>
    </row>
    <row r="990" spans="2:14" s="1" customFormat="1" ht="30" hidden="1" customHeight="1" x14ac:dyDescent="0.15">
      <c r="B990" s="146">
        <f>IF(AND('Jrnl Exp ~ Dép'!$G493&lt;&gt;"",'Jrnl Exp ~ Dép'!$C493&lt;&gt;""),1,0)</f>
        <v>0</v>
      </c>
      <c r="C990" s="146">
        <f>'Jrnl Exp ~ Dép'!$C493</f>
        <v>0</v>
      </c>
      <c r="D990" s="168">
        <f>'Jrnl Exp ~ Dép'!$D493</f>
        <v>0</v>
      </c>
      <c r="E990" s="1510">
        <f>'Jrnl Exp ~ Dép'!$F493</f>
        <v>0</v>
      </c>
      <c r="F990" s="1510"/>
      <c r="G990" s="951" t="str">
        <f>IF('Jrnl Exp ~ Dép'!$E493="","",'Jrnl Exp ~ Dép'!$E493)</f>
        <v/>
      </c>
      <c r="H990" s="147">
        <f>'Jrnl Exp ~ Dép'!H493</f>
        <v>0</v>
      </c>
      <c r="I990" s="147" t="str">
        <f t="shared" si="30"/>
        <v>0</v>
      </c>
      <c r="J990" s="148" t="b">
        <f t="shared" si="31"/>
        <v>0</v>
      </c>
      <c r="K990" s="169"/>
      <c r="L990" s="169">
        <f>'Jrnl Exp ~ Dép'!$G493</f>
        <v>0</v>
      </c>
      <c r="M990" s="151">
        <f>'Jrnl Exp ~ Dép'!E255</f>
        <v>0</v>
      </c>
      <c r="N990" s="167">
        <f>'Jrnl Exp ~ Dép'!$H255</f>
        <v>0</v>
      </c>
    </row>
    <row r="991" spans="2:14" s="1" customFormat="1" ht="30" hidden="1" customHeight="1" x14ac:dyDescent="0.15">
      <c r="B991" s="146">
        <f>IF(AND('Jrnl Exp ~ Dép'!$G494&lt;&gt;"",'Jrnl Exp ~ Dép'!$C494&lt;&gt;""),1,0)</f>
        <v>0</v>
      </c>
      <c r="C991" s="146">
        <f>'Jrnl Exp ~ Dép'!$C494</f>
        <v>0</v>
      </c>
      <c r="D991" s="168">
        <f>'Jrnl Exp ~ Dép'!$D494</f>
        <v>0</v>
      </c>
      <c r="E991" s="1510">
        <f>'Jrnl Exp ~ Dép'!$F494</f>
        <v>0</v>
      </c>
      <c r="F991" s="1510"/>
      <c r="G991" s="951" t="str">
        <f>IF('Jrnl Exp ~ Dép'!$E494="","",'Jrnl Exp ~ Dép'!$E494)</f>
        <v/>
      </c>
      <c r="H991" s="147">
        <f>'Jrnl Exp ~ Dép'!H494</f>
        <v>0</v>
      </c>
      <c r="I991" s="147" t="str">
        <f t="shared" si="30"/>
        <v>0</v>
      </c>
      <c r="J991" s="148" t="b">
        <f t="shared" si="31"/>
        <v>0</v>
      </c>
      <c r="K991" s="169"/>
      <c r="L991" s="169">
        <f>'Jrnl Exp ~ Dép'!$G494</f>
        <v>0</v>
      </c>
      <c r="M991" s="151">
        <f>'Jrnl Exp ~ Dép'!E256</f>
        <v>0</v>
      </c>
      <c r="N991" s="167">
        <f>'Jrnl Exp ~ Dép'!$H256</f>
        <v>0</v>
      </c>
    </row>
    <row r="992" spans="2:14" s="1" customFormat="1" ht="30" hidden="1" customHeight="1" x14ac:dyDescent="0.15">
      <c r="B992" s="146">
        <f>IF(AND('Jrnl Exp ~ Dép'!$G495&lt;&gt;"",'Jrnl Exp ~ Dép'!$C495&lt;&gt;""),1,0)</f>
        <v>0</v>
      </c>
      <c r="C992" s="146">
        <f>'Jrnl Exp ~ Dép'!$C495</f>
        <v>0</v>
      </c>
      <c r="D992" s="168">
        <f>'Jrnl Exp ~ Dép'!$D495</f>
        <v>0</v>
      </c>
      <c r="E992" s="1510">
        <f>'Jrnl Exp ~ Dép'!$F495</f>
        <v>0</v>
      </c>
      <c r="F992" s="1510"/>
      <c r="G992" s="951" t="str">
        <f>IF('Jrnl Exp ~ Dép'!$E495="","",'Jrnl Exp ~ Dép'!$E495)</f>
        <v/>
      </c>
      <c r="H992" s="147">
        <f>'Jrnl Exp ~ Dép'!H495</f>
        <v>0</v>
      </c>
      <c r="I992" s="147" t="str">
        <f t="shared" si="30"/>
        <v>0</v>
      </c>
      <c r="J992" s="148" t="b">
        <f t="shared" si="31"/>
        <v>0</v>
      </c>
      <c r="K992" s="169"/>
      <c r="L992" s="169">
        <f>'Jrnl Exp ~ Dép'!$G495</f>
        <v>0</v>
      </c>
      <c r="M992" s="151">
        <f>'Jrnl Exp ~ Dép'!E257</f>
        <v>0</v>
      </c>
      <c r="N992" s="167">
        <f>'Jrnl Exp ~ Dép'!$H257</f>
        <v>0</v>
      </c>
    </row>
    <row r="993" spans="2:14" s="1" customFormat="1" ht="30" hidden="1" customHeight="1" x14ac:dyDescent="0.15">
      <c r="B993" s="146">
        <f>IF(AND('Jrnl Exp ~ Dép'!$G496&lt;&gt;"",'Jrnl Exp ~ Dép'!$C496&lt;&gt;""),1,0)</f>
        <v>0</v>
      </c>
      <c r="C993" s="146">
        <f>'Jrnl Exp ~ Dép'!$C496</f>
        <v>0</v>
      </c>
      <c r="D993" s="168">
        <f>'Jrnl Exp ~ Dép'!$D496</f>
        <v>0</v>
      </c>
      <c r="E993" s="1510">
        <f>'Jrnl Exp ~ Dép'!$F496</f>
        <v>0</v>
      </c>
      <c r="F993" s="1510"/>
      <c r="G993" s="951" t="str">
        <f>IF('Jrnl Exp ~ Dép'!$E496="","",'Jrnl Exp ~ Dép'!$E496)</f>
        <v/>
      </c>
      <c r="H993" s="147">
        <f>'Jrnl Exp ~ Dép'!H496</f>
        <v>0</v>
      </c>
      <c r="I993" s="147" t="str">
        <f t="shared" si="30"/>
        <v>0</v>
      </c>
      <c r="J993" s="148" t="b">
        <f t="shared" si="31"/>
        <v>0</v>
      </c>
      <c r="K993" s="169"/>
      <c r="L993" s="169">
        <f>'Jrnl Exp ~ Dép'!$G496</f>
        <v>0</v>
      </c>
      <c r="M993" s="151">
        <f>'Jrnl Exp ~ Dép'!E258</f>
        <v>0</v>
      </c>
      <c r="N993" s="167">
        <f>'Jrnl Exp ~ Dép'!$H258</f>
        <v>0</v>
      </c>
    </row>
    <row r="994" spans="2:14" s="1" customFormat="1" ht="30" hidden="1" customHeight="1" x14ac:dyDescent="0.15">
      <c r="B994" s="146">
        <f>IF(AND('Jrnl Exp ~ Dép'!$G497&lt;&gt;"",'Jrnl Exp ~ Dép'!$C497&lt;&gt;""),1,0)</f>
        <v>0</v>
      </c>
      <c r="C994" s="146">
        <f>'Jrnl Exp ~ Dép'!$C497</f>
        <v>0</v>
      </c>
      <c r="D994" s="168">
        <f>'Jrnl Exp ~ Dép'!$D497</f>
        <v>0</v>
      </c>
      <c r="E994" s="1510">
        <f>'Jrnl Exp ~ Dép'!$F497</f>
        <v>0</v>
      </c>
      <c r="F994" s="1510"/>
      <c r="G994" s="951" t="str">
        <f>IF('Jrnl Exp ~ Dép'!$E497="","",'Jrnl Exp ~ Dép'!$E497)</f>
        <v/>
      </c>
      <c r="H994" s="147">
        <f>'Jrnl Exp ~ Dép'!H497</f>
        <v>0</v>
      </c>
      <c r="I994" s="147" t="str">
        <f t="shared" si="30"/>
        <v>0</v>
      </c>
      <c r="J994" s="148" t="b">
        <f t="shared" si="31"/>
        <v>0</v>
      </c>
      <c r="K994" s="169"/>
      <c r="L994" s="169">
        <f>'Jrnl Exp ~ Dép'!$G497</f>
        <v>0</v>
      </c>
      <c r="M994" s="151">
        <f>'Jrnl Exp ~ Dép'!E259</f>
        <v>0</v>
      </c>
      <c r="N994" s="167">
        <f>'Jrnl Exp ~ Dép'!$H259</f>
        <v>0</v>
      </c>
    </row>
    <row r="995" spans="2:14" s="1" customFormat="1" ht="30" hidden="1" customHeight="1" x14ac:dyDescent="0.15">
      <c r="B995" s="146">
        <f>IF(AND('Jrnl Exp ~ Dép'!$G498&lt;&gt;"",'Jrnl Exp ~ Dép'!$C498&lt;&gt;""),1,0)</f>
        <v>0</v>
      </c>
      <c r="C995" s="146">
        <f>'Jrnl Exp ~ Dép'!$C498</f>
        <v>0</v>
      </c>
      <c r="D995" s="168">
        <f>'Jrnl Exp ~ Dép'!$D498</f>
        <v>0</v>
      </c>
      <c r="E995" s="1510">
        <f>'Jrnl Exp ~ Dép'!$F498</f>
        <v>0</v>
      </c>
      <c r="F995" s="1510"/>
      <c r="G995" s="951" t="str">
        <f>IF('Jrnl Exp ~ Dép'!$E498="","",'Jrnl Exp ~ Dép'!$E498)</f>
        <v/>
      </c>
      <c r="H995" s="147">
        <f>'Jrnl Exp ~ Dép'!H498</f>
        <v>0</v>
      </c>
      <c r="I995" s="147" t="str">
        <f t="shared" si="30"/>
        <v>0</v>
      </c>
      <c r="J995" s="148" t="b">
        <f t="shared" si="31"/>
        <v>0</v>
      </c>
      <c r="K995" s="169"/>
      <c r="L995" s="169">
        <f>'Jrnl Exp ~ Dép'!$G498</f>
        <v>0</v>
      </c>
      <c r="M995" s="151">
        <f>'Jrnl Exp ~ Dép'!E260</f>
        <v>0</v>
      </c>
      <c r="N995" s="167">
        <f>'Jrnl Exp ~ Dép'!$H260</f>
        <v>0</v>
      </c>
    </row>
    <row r="996" spans="2:14" s="1" customFormat="1" ht="30" hidden="1" customHeight="1" x14ac:dyDescent="0.15">
      <c r="B996" s="146">
        <f>IF(AND('Jrnl Exp ~ Dép'!$G499&lt;&gt;"",'Jrnl Exp ~ Dép'!$C499&lt;&gt;""),1,0)</f>
        <v>0</v>
      </c>
      <c r="C996" s="146">
        <f>'Jrnl Exp ~ Dép'!$C499</f>
        <v>0</v>
      </c>
      <c r="D996" s="168">
        <f>'Jrnl Exp ~ Dép'!$D499</f>
        <v>0</v>
      </c>
      <c r="E996" s="1510">
        <f>'Jrnl Exp ~ Dép'!$F499</f>
        <v>0</v>
      </c>
      <c r="F996" s="1510"/>
      <c r="G996" s="951" t="str">
        <f>IF('Jrnl Exp ~ Dép'!$E499="","",'Jrnl Exp ~ Dép'!$E499)</f>
        <v/>
      </c>
      <c r="H996" s="147">
        <f>'Jrnl Exp ~ Dép'!H499</f>
        <v>0</v>
      </c>
      <c r="I996" s="147" t="str">
        <f t="shared" si="30"/>
        <v>0</v>
      </c>
      <c r="J996" s="148" t="b">
        <f t="shared" si="31"/>
        <v>0</v>
      </c>
      <c r="K996" s="169"/>
      <c r="L996" s="169">
        <f>'Jrnl Exp ~ Dép'!$G499</f>
        <v>0</v>
      </c>
      <c r="M996" s="151">
        <f>'Jrnl Exp ~ Dép'!E261</f>
        <v>0</v>
      </c>
      <c r="N996" s="167">
        <f>'Jrnl Exp ~ Dép'!$H261</f>
        <v>0</v>
      </c>
    </row>
    <row r="997" spans="2:14" s="1" customFormat="1" ht="30" hidden="1" customHeight="1" x14ac:dyDescent="0.15">
      <c r="B997" s="146">
        <f>IF(AND('Jrnl Exp ~ Dép'!$G500&lt;&gt;"",'Jrnl Exp ~ Dép'!$C500&lt;&gt;""),1,0)</f>
        <v>0</v>
      </c>
      <c r="C997" s="146">
        <f>'Jrnl Exp ~ Dép'!$C500</f>
        <v>0</v>
      </c>
      <c r="D997" s="168">
        <f>'Jrnl Exp ~ Dép'!$D500</f>
        <v>0</v>
      </c>
      <c r="E997" s="1510">
        <f>'Jrnl Exp ~ Dép'!$F500</f>
        <v>0</v>
      </c>
      <c r="F997" s="1510"/>
      <c r="G997" s="951" t="str">
        <f>IF('Jrnl Exp ~ Dép'!$E500="","",'Jrnl Exp ~ Dép'!$E500)</f>
        <v/>
      </c>
      <c r="H997" s="147">
        <f>'Jrnl Exp ~ Dép'!H500</f>
        <v>0</v>
      </c>
      <c r="I997" s="147" t="str">
        <f t="shared" si="30"/>
        <v>0</v>
      </c>
      <c r="J997" s="148" t="b">
        <f t="shared" si="31"/>
        <v>0</v>
      </c>
      <c r="K997" s="169"/>
      <c r="L997" s="169">
        <f>'Jrnl Exp ~ Dép'!$G500</f>
        <v>0</v>
      </c>
      <c r="M997" s="151">
        <f>'Jrnl Exp ~ Dép'!E262</f>
        <v>0</v>
      </c>
      <c r="N997" s="167">
        <f>'Jrnl Exp ~ Dép'!$H262</f>
        <v>0</v>
      </c>
    </row>
    <row r="998" spans="2:14" s="1" customFormat="1" ht="30" hidden="1" customHeight="1" x14ac:dyDescent="0.15">
      <c r="B998" s="146">
        <f>IF(AND('Jrnl Exp ~ Dép'!$G501&lt;&gt;"",'Jrnl Exp ~ Dép'!$C501&lt;&gt;""),1,0)</f>
        <v>0</v>
      </c>
      <c r="C998" s="146">
        <f>'Jrnl Exp ~ Dép'!$C501</f>
        <v>0</v>
      </c>
      <c r="D998" s="168">
        <f>'Jrnl Exp ~ Dép'!$D501</f>
        <v>0</v>
      </c>
      <c r="E998" s="1510">
        <f>'Jrnl Exp ~ Dép'!$F501</f>
        <v>0</v>
      </c>
      <c r="F998" s="1510"/>
      <c r="G998" s="951" t="str">
        <f>IF('Jrnl Exp ~ Dép'!$E501="","",'Jrnl Exp ~ Dép'!$E501)</f>
        <v/>
      </c>
      <c r="H998" s="147">
        <f>'Jrnl Exp ~ Dép'!H501</f>
        <v>0</v>
      </c>
      <c r="I998" s="147" t="str">
        <f t="shared" si="30"/>
        <v>0</v>
      </c>
      <c r="J998" s="148" t="b">
        <f t="shared" si="31"/>
        <v>0</v>
      </c>
      <c r="K998" s="169"/>
      <c r="L998" s="169">
        <f>'Jrnl Exp ~ Dép'!$G501</f>
        <v>0</v>
      </c>
      <c r="M998" s="151">
        <f>'Jrnl Exp ~ Dép'!E263</f>
        <v>0</v>
      </c>
      <c r="N998" s="167">
        <f>'Jrnl Exp ~ Dép'!$H263</f>
        <v>0</v>
      </c>
    </row>
    <row r="999" spans="2:14" s="1" customFormat="1" ht="30" hidden="1" customHeight="1" x14ac:dyDescent="0.15">
      <c r="B999" s="146">
        <f>IF(AND('Jrnl Exp ~ Dép'!$G502&lt;&gt;"",'Jrnl Exp ~ Dép'!$C502&lt;&gt;""),1,0)</f>
        <v>0</v>
      </c>
      <c r="C999" s="146">
        <f>'Jrnl Exp ~ Dép'!$C502</f>
        <v>0</v>
      </c>
      <c r="D999" s="168">
        <f>'Jrnl Exp ~ Dép'!$D502</f>
        <v>0</v>
      </c>
      <c r="E999" s="1510">
        <f>'Jrnl Exp ~ Dép'!$F502</f>
        <v>0</v>
      </c>
      <c r="F999" s="1510"/>
      <c r="G999" s="951" t="str">
        <f>IF('Jrnl Exp ~ Dép'!$E502="","",'Jrnl Exp ~ Dép'!$E502)</f>
        <v/>
      </c>
      <c r="H999" s="147">
        <f>'Jrnl Exp ~ Dép'!H502</f>
        <v>0</v>
      </c>
      <c r="I999" s="147" t="str">
        <f t="shared" si="30"/>
        <v>0</v>
      </c>
      <c r="J999" s="148" t="b">
        <f t="shared" si="31"/>
        <v>0</v>
      </c>
      <c r="K999" s="169"/>
      <c r="L999" s="169">
        <f>'Jrnl Exp ~ Dép'!$G502</f>
        <v>0</v>
      </c>
      <c r="M999" s="151">
        <f>'Jrnl Exp ~ Dép'!E264</f>
        <v>0</v>
      </c>
      <c r="N999" s="167">
        <f>'Jrnl Exp ~ Dép'!$H264</f>
        <v>0</v>
      </c>
    </row>
    <row r="1000" spans="2:14" s="1" customFormat="1" ht="30" hidden="1" customHeight="1" x14ac:dyDescent="0.15">
      <c r="B1000" s="146">
        <f>IF(AND('Jrnl Exp ~ Dép'!$G503&lt;&gt;"",'Jrnl Exp ~ Dép'!$C503&lt;&gt;""),1,0)</f>
        <v>0</v>
      </c>
      <c r="C1000" s="146">
        <f>'Jrnl Exp ~ Dép'!$C503</f>
        <v>0</v>
      </c>
      <c r="D1000" s="168">
        <f>'Jrnl Exp ~ Dép'!$D503</f>
        <v>0</v>
      </c>
      <c r="E1000" s="1510">
        <f>'Jrnl Exp ~ Dép'!$F503</f>
        <v>0</v>
      </c>
      <c r="F1000" s="1510"/>
      <c r="G1000" s="951" t="str">
        <f>IF('Jrnl Exp ~ Dép'!$E503="","",'Jrnl Exp ~ Dép'!$E503)</f>
        <v/>
      </c>
      <c r="H1000" s="147">
        <f>'Jrnl Exp ~ Dép'!H503</f>
        <v>0</v>
      </c>
      <c r="I1000" s="147" t="str">
        <f t="shared" si="30"/>
        <v>0</v>
      </c>
      <c r="J1000" s="148" t="b">
        <f t="shared" si="31"/>
        <v>0</v>
      </c>
      <c r="K1000" s="169"/>
      <c r="L1000" s="169">
        <f>'Jrnl Exp ~ Dép'!$G503</f>
        <v>0</v>
      </c>
      <c r="M1000" s="151">
        <f>'Jrnl Exp ~ Dép'!E265</f>
        <v>0</v>
      </c>
      <c r="N1000" s="167">
        <f>'Jrnl Exp ~ Dép'!$H265</f>
        <v>0</v>
      </c>
    </row>
    <row r="1001" spans="2:14" s="1" customFormat="1" ht="30" hidden="1" customHeight="1" x14ac:dyDescent="0.15">
      <c r="B1001" s="146">
        <f>IF(AND('Jrnl Exp ~ Dép'!$G504&lt;&gt;"",'Jrnl Exp ~ Dép'!$C504&lt;&gt;""),1,0)</f>
        <v>0</v>
      </c>
      <c r="C1001" s="146">
        <f>'Jrnl Exp ~ Dép'!$C504</f>
        <v>0</v>
      </c>
      <c r="D1001" s="168">
        <f>'Jrnl Exp ~ Dép'!$D504</f>
        <v>0</v>
      </c>
      <c r="E1001" s="1510">
        <f>'Jrnl Exp ~ Dép'!$F504</f>
        <v>0</v>
      </c>
      <c r="F1001" s="1510"/>
      <c r="G1001" s="951" t="str">
        <f>IF('Jrnl Exp ~ Dép'!$E504="","",'Jrnl Exp ~ Dép'!$E504)</f>
        <v/>
      </c>
      <c r="H1001" s="147">
        <f>'Jrnl Exp ~ Dép'!H504</f>
        <v>0</v>
      </c>
      <c r="I1001" s="147" t="str">
        <f t="shared" si="30"/>
        <v>0</v>
      </c>
      <c r="J1001" s="148" t="b">
        <f t="shared" si="31"/>
        <v>0</v>
      </c>
      <c r="K1001" s="169"/>
      <c r="L1001" s="169">
        <f>'Jrnl Exp ~ Dép'!$G504</f>
        <v>0</v>
      </c>
      <c r="M1001" s="151">
        <f>'Jrnl Exp ~ Dép'!E266</f>
        <v>0</v>
      </c>
      <c r="N1001" s="167">
        <f>'Jrnl Exp ~ Dép'!$H266</f>
        <v>0</v>
      </c>
    </row>
    <row r="1002" spans="2:14" s="1" customFormat="1" ht="30" hidden="1" customHeight="1" x14ac:dyDescent="0.15">
      <c r="B1002" s="146">
        <f>IF(AND('Jrnl Exp ~ Dép'!$G505&lt;&gt;"",'Jrnl Exp ~ Dép'!$C505&lt;&gt;""),1,0)</f>
        <v>0</v>
      </c>
      <c r="C1002" s="146">
        <f>'Jrnl Exp ~ Dép'!$C505</f>
        <v>0</v>
      </c>
      <c r="D1002" s="168">
        <f>'Jrnl Exp ~ Dép'!$D505</f>
        <v>0</v>
      </c>
      <c r="E1002" s="1510">
        <f>'Jrnl Exp ~ Dép'!$F505</f>
        <v>0</v>
      </c>
      <c r="F1002" s="1510"/>
      <c r="G1002" s="951" t="str">
        <f>IF('Jrnl Exp ~ Dép'!$E505="","",'Jrnl Exp ~ Dép'!$E505)</f>
        <v/>
      </c>
      <c r="H1002" s="147">
        <f>'Jrnl Exp ~ Dép'!H505</f>
        <v>0</v>
      </c>
      <c r="I1002" s="147" t="str">
        <f t="shared" si="30"/>
        <v>0</v>
      </c>
      <c r="J1002" s="148" t="b">
        <f t="shared" si="31"/>
        <v>0</v>
      </c>
      <c r="K1002" s="169"/>
      <c r="L1002" s="169">
        <f>'Jrnl Exp ~ Dép'!$G505</f>
        <v>0</v>
      </c>
      <c r="M1002" s="151">
        <f>'Jrnl Exp ~ Dép'!E267</f>
        <v>0</v>
      </c>
      <c r="N1002" s="167">
        <f>'Jrnl Exp ~ Dép'!$H267</f>
        <v>0</v>
      </c>
    </row>
    <row r="1003" spans="2:14" s="1" customFormat="1" ht="30" hidden="1" customHeight="1" x14ac:dyDescent="0.15">
      <c r="B1003" s="146">
        <f>IF(AND('Jrnl Exp ~ Dép'!$G506&lt;&gt;"",'Jrnl Exp ~ Dép'!$C506&lt;&gt;""),1,0)</f>
        <v>0</v>
      </c>
      <c r="C1003" s="146">
        <f>'Jrnl Exp ~ Dép'!$C506</f>
        <v>0</v>
      </c>
      <c r="D1003" s="168">
        <f>'Jrnl Exp ~ Dép'!$D506</f>
        <v>0</v>
      </c>
      <c r="E1003" s="1510">
        <f>'Jrnl Exp ~ Dép'!$F506</f>
        <v>0</v>
      </c>
      <c r="F1003" s="1510"/>
      <c r="G1003" s="951" t="str">
        <f>IF('Jrnl Exp ~ Dép'!$E506="","",'Jrnl Exp ~ Dép'!$E506)</f>
        <v/>
      </c>
      <c r="H1003" s="147">
        <f>'Jrnl Exp ~ Dép'!H506</f>
        <v>0</v>
      </c>
      <c r="I1003" s="147" t="str">
        <f t="shared" si="30"/>
        <v>0</v>
      </c>
      <c r="J1003" s="148" t="b">
        <f t="shared" si="31"/>
        <v>0</v>
      </c>
      <c r="K1003" s="169"/>
      <c r="L1003" s="169">
        <f>'Jrnl Exp ~ Dép'!$G506</f>
        <v>0</v>
      </c>
      <c r="M1003" s="151">
        <f>'Jrnl Exp ~ Dép'!E268</f>
        <v>0</v>
      </c>
      <c r="N1003" s="167">
        <f>'Jrnl Exp ~ Dép'!$H268</f>
        <v>0</v>
      </c>
    </row>
    <row r="1004" spans="2:14" s="1" customFormat="1" ht="30" hidden="1" customHeight="1" x14ac:dyDescent="0.15">
      <c r="B1004" s="146">
        <f>IF(AND('Jrnl Exp ~ Dép'!$G507&lt;&gt;"",'Jrnl Exp ~ Dép'!$C507&lt;&gt;""),1,0)</f>
        <v>0</v>
      </c>
      <c r="C1004" s="146">
        <f>'Jrnl Exp ~ Dép'!$C507</f>
        <v>0</v>
      </c>
      <c r="D1004" s="168">
        <f>'Jrnl Exp ~ Dép'!$D507</f>
        <v>0</v>
      </c>
      <c r="E1004" s="1510">
        <f>'Jrnl Exp ~ Dép'!$F507</f>
        <v>0</v>
      </c>
      <c r="F1004" s="1510"/>
      <c r="G1004" s="951" t="str">
        <f>IF('Jrnl Exp ~ Dép'!$E507="","",'Jrnl Exp ~ Dép'!$E507)</f>
        <v/>
      </c>
      <c r="H1004" s="147">
        <f>'Jrnl Exp ~ Dép'!H507</f>
        <v>0</v>
      </c>
      <c r="I1004" s="147" t="str">
        <f t="shared" si="30"/>
        <v>0</v>
      </c>
      <c r="J1004" s="148" t="b">
        <f t="shared" si="31"/>
        <v>0</v>
      </c>
      <c r="K1004" s="169"/>
      <c r="L1004" s="169">
        <f>'Jrnl Exp ~ Dép'!$G507</f>
        <v>0</v>
      </c>
      <c r="M1004" s="151">
        <f>'Jrnl Exp ~ Dép'!E269</f>
        <v>0</v>
      </c>
      <c r="N1004" s="167">
        <f>'Jrnl Exp ~ Dép'!$H269</f>
        <v>0</v>
      </c>
    </row>
    <row r="1005" spans="2:14" s="1" customFormat="1" ht="30" hidden="1" customHeight="1" x14ac:dyDescent="0.15">
      <c r="B1005" s="146">
        <f>IF(AND('Jrnl Exp ~ Dép'!$G508&lt;&gt;"",'Jrnl Exp ~ Dép'!$C508&lt;&gt;""),1,0)</f>
        <v>0</v>
      </c>
      <c r="C1005" s="146">
        <f>'Jrnl Exp ~ Dép'!$C508</f>
        <v>0</v>
      </c>
      <c r="D1005" s="168">
        <f>'Jrnl Exp ~ Dép'!$D508</f>
        <v>0</v>
      </c>
      <c r="E1005" s="1510">
        <f>'Jrnl Exp ~ Dép'!$F508</f>
        <v>0</v>
      </c>
      <c r="F1005" s="1510"/>
      <c r="G1005" s="951" t="str">
        <f>IF('Jrnl Exp ~ Dép'!$E508="","",'Jrnl Exp ~ Dép'!$E508)</f>
        <v/>
      </c>
      <c r="H1005" s="147">
        <f>'Jrnl Exp ~ Dép'!H508</f>
        <v>0</v>
      </c>
      <c r="I1005" s="147" t="str">
        <f t="shared" si="30"/>
        <v>0</v>
      </c>
      <c r="J1005" s="148" t="b">
        <f t="shared" si="31"/>
        <v>0</v>
      </c>
      <c r="K1005" s="169"/>
      <c r="L1005" s="169">
        <f>'Jrnl Exp ~ Dép'!$G508</f>
        <v>0</v>
      </c>
      <c r="M1005" s="151">
        <f>'Jrnl Exp ~ Dép'!E270</f>
        <v>0</v>
      </c>
      <c r="N1005" s="167">
        <f>'Jrnl Exp ~ Dép'!$H270</f>
        <v>0</v>
      </c>
    </row>
    <row r="1006" spans="2:14" s="1" customFormat="1" ht="30" hidden="1" customHeight="1" x14ac:dyDescent="0.15">
      <c r="B1006" s="146">
        <f>IF(AND('Jrnl Exp ~ Dép'!$G509&lt;&gt;"",'Jrnl Exp ~ Dép'!$C509&lt;&gt;""),1,0)</f>
        <v>0</v>
      </c>
      <c r="C1006" s="146">
        <f>'Jrnl Exp ~ Dép'!$C509</f>
        <v>0</v>
      </c>
      <c r="D1006" s="168">
        <f>'Jrnl Exp ~ Dép'!$D509</f>
        <v>0</v>
      </c>
      <c r="E1006" s="1510">
        <f>'Jrnl Exp ~ Dép'!$F509</f>
        <v>0</v>
      </c>
      <c r="F1006" s="1510"/>
      <c r="G1006" s="951" t="str">
        <f>IF('Jrnl Exp ~ Dép'!$E509="","",'Jrnl Exp ~ Dép'!$E509)</f>
        <v/>
      </c>
      <c r="H1006" s="147">
        <f>'Jrnl Exp ~ Dép'!H509</f>
        <v>0</v>
      </c>
      <c r="I1006" s="147" t="str">
        <f t="shared" si="30"/>
        <v>0</v>
      </c>
      <c r="J1006" s="148" t="b">
        <f t="shared" si="31"/>
        <v>0</v>
      </c>
      <c r="K1006" s="169"/>
      <c r="L1006" s="169">
        <f>'Jrnl Exp ~ Dép'!$G509</f>
        <v>0</v>
      </c>
      <c r="M1006" s="151">
        <f>'Jrnl Exp ~ Dép'!E271</f>
        <v>0</v>
      </c>
      <c r="N1006" s="167">
        <f>'Jrnl Exp ~ Dép'!$H271</f>
        <v>0</v>
      </c>
    </row>
    <row r="1007" spans="2:14" s="1" customFormat="1" ht="30" hidden="1" customHeight="1" x14ac:dyDescent="0.15">
      <c r="B1007" s="146">
        <f>IF(AND('Jrnl Exp ~ Dép'!$G510&lt;&gt;"",'Jrnl Exp ~ Dép'!$C510&lt;&gt;""),1,0)</f>
        <v>0</v>
      </c>
      <c r="C1007" s="146">
        <f>'Jrnl Exp ~ Dép'!$C510</f>
        <v>0</v>
      </c>
      <c r="D1007" s="168">
        <f>'Jrnl Exp ~ Dép'!$D510</f>
        <v>0</v>
      </c>
      <c r="E1007" s="1510">
        <f>'Jrnl Exp ~ Dép'!$F510</f>
        <v>0</v>
      </c>
      <c r="F1007" s="1510"/>
      <c r="G1007" s="951" t="str">
        <f>IF('Jrnl Exp ~ Dép'!$E510="","",'Jrnl Exp ~ Dép'!$E510)</f>
        <v/>
      </c>
      <c r="H1007" s="147">
        <f>'Jrnl Exp ~ Dép'!H510</f>
        <v>0</v>
      </c>
      <c r="I1007" s="147" t="str">
        <f t="shared" si="30"/>
        <v>0</v>
      </c>
      <c r="J1007" s="148" t="b">
        <f t="shared" si="31"/>
        <v>0</v>
      </c>
      <c r="K1007" s="169"/>
      <c r="L1007" s="169">
        <f>'Jrnl Exp ~ Dép'!$G510</f>
        <v>0</v>
      </c>
      <c r="M1007" s="151">
        <f>'Jrnl Exp ~ Dép'!E272</f>
        <v>0</v>
      </c>
      <c r="N1007" s="167">
        <f>'Jrnl Exp ~ Dép'!$H272</f>
        <v>0</v>
      </c>
    </row>
    <row r="1008" spans="2:14" s="1" customFormat="1" ht="30" hidden="1" customHeight="1" x14ac:dyDescent="0.15">
      <c r="B1008" s="146">
        <f>IF(AND('Jrnl Exp ~ Dép'!$G511&lt;&gt;"",'Jrnl Exp ~ Dép'!$C511&lt;&gt;""),1,0)</f>
        <v>0</v>
      </c>
      <c r="C1008" s="146">
        <f>'Jrnl Exp ~ Dép'!$C511</f>
        <v>0</v>
      </c>
      <c r="D1008" s="168">
        <f>'Jrnl Exp ~ Dép'!$D511</f>
        <v>0</v>
      </c>
      <c r="E1008" s="1510">
        <f>'Jrnl Exp ~ Dép'!$F511</f>
        <v>0</v>
      </c>
      <c r="F1008" s="1510"/>
      <c r="G1008" s="951" t="str">
        <f>IF('Jrnl Exp ~ Dép'!$E511="","",'Jrnl Exp ~ Dép'!$E511)</f>
        <v/>
      </c>
      <c r="H1008" s="147">
        <f>'Jrnl Exp ~ Dép'!H511</f>
        <v>0</v>
      </c>
      <c r="I1008" s="147" t="str">
        <f t="shared" si="30"/>
        <v>0</v>
      </c>
      <c r="J1008" s="148" t="b">
        <f t="shared" si="31"/>
        <v>0</v>
      </c>
      <c r="K1008" s="169"/>
      <c r="L1008" s="169">
        <f>'Jrnl Exp ~ Dép'!$G511</f>
        <v>0</v>
      </c>
      <c r="M1008" s="151">
        <f>'Jrnl Exp ~ Dép'!E273</f>
        <v>0</v>
      </c>
      <c r="N1008" s="167">
        <f>'Jrnl Exp ~ Dép'!$H273</f>
        <v>0</v>
      </c>
    </row>
    <row r="1009" spans="2:20" s="1" customFormat="1" ht="30" hidden="1" customHeight="1" x14ac:dyDescent="0.15">
      <c r="B1009" s="146">
        <f>IF(AND('Jrnl Exp ~ Dép'!$G512&lt;&gt;"",'Jrnl Exp ~ Dép'!$C512&lt;&gt;""),1,0)</f>
        <v>0</v>
      </c>
      <c r="C1009" s="146">
        <f>'Jrnl Exp ~ Dép'!$C512</f>
        <v>0</v>
      </c>
      <c r="D1009" s="168">
        <f>'Jrnl Exp ~ Dép'!$D512</f>
        <v>0</v>
      </c>
      <c r="E1009" s="1510">
        <f>'Jrnl Exp ~ Dép'!$F512</f>
        <v>0</v>
      </c>
      <c r="F1009" s="1510"/>
      <c r="G1009" s="951" t="str">
        <f>IF('Jrnl Exp ~ Dép'!$E512="","",'Jrnl Exp ~ Dép'!$E512)</f>
        <v/>
      </c>
      <c r="H1009" s="147">
        <f>'Jrnl Exp ~ Dép'!H512</f>
        <v>0</v>
      </c>
      <c r="I1009" s="147" t="str">
        <f t="shared" si="30"/>
        <v>0</v>
      </c>
      <c r="J1009" s="148" t="b">
        <f t="shared" si="31"/>
        <v>0</v>
      </c>
      <c r="K1009" s="169"/>
      <c r="L1009" s="169">
        <f>'Jrnl Exp ~ Dép'!$G512</f>
        <v>0</v>
      </c>
      <c r="M1009" s="151">
        <f>'Jrnl Exp ~ Dép'!E274</f>
        <v>0</v>
      </c>
      <c r="N1009" s="167">
        <f>'Jrnl Exp ~ Dép'!$H274</f>
        <v>0</v>
      </c>
    </row>
    <row r="1010" spans="2:20" s="1" customFormat="1" ht="30" hidden="1" customHeight="1" x14ac:dyDescent="0.15">
      <c r="B1010" s="146">
        <f>IF(AND('Jrnl Exp ~ Dép'!$G513&lt;&gt;"",'Jrnl Exp ~ Dép'!$C513&lt;&gt;""),1,0)</f>
        <v>0</v>
      </c>
      <c r="C1010" s="146">
        <f>'Jrnl Exp ~ Dép'!$C513</f>
        <v>0</v>
      </c>
      <c r="D1010" s="168">
        <f>'Jrnl Exp ~ Dép'!$D513</f>
        <v>0</v>
      </c>
      <c r="E1010" s="1510">
        <f>'Jrnl Exp ~ Dép'!$F513</f>
        <v>0</v>
      </c>
      <c r="F1010" s="1510"/>
      <c r="G1010" s="951" t="str">
        <f>IF('Jrnl Exp ~ Dép'!$E513="","",'Jrnl Exp ~ Dép'!$E513)</f>
        <v/>
      </c>
      <c r="H1010" s="147">
        <f>'Jrnl Exp ~ Dép'!H513</f>
        <v>0</v>
      </c>
      <c r="I1010" s="147" t="str">
        <f t="shared" si="30"/>
        <v>0</v>
      </c>
      <c r="J1010" s="148" t="b">
        <f t="shared" si="31"/>
        <v>0</v>
      </c>
      <c r="K1010" s="169"/>
      <c r="L1010" s="169">
        <f>'Jrnl Exp ~ Dép'!$G513</f>
        <v>0</v>
      </c>
      <c r="M1010" s="151">
        <f>'Jrnl Exp ~ Dép'!E275</f>
        <v>0</v>
      </c>
      <c r="N1010" s="167">
        <f>'Jrnl Exp ~ Dép'!$H275</f>
        <v>0</v>
      </c>
    </row>
    <row r="1011" spans="2:20" s="1" customFormat="1" ht="30" hidden="1" customHeight="1" x14ac:dyDescent="0.15">
      <c r="B1011" s="146">
        <f>IF(AND('Jrnl Exp ~ Dép'!$G514&lt;&gt;"",'Jrnl Exp ~ Dép'!$C514&lt;&gt;""),1,0)</f>
        <v>0</v>
      </c>
      <c r="C1011" s="146">
        <f>'Jrnl Exp ~ Dép'!$C514</f>
        <v>0</v>
      </c>
      <c r="D1011" s="168">
        <f>'Jrnl Exp ~ Dép'!$D514</f>
        <v>0</v>
      </c>
      <c r="E1011" s="1510">
        <f>'Jrnl Exp ~ Dép'!$F514</f>
        <v>0</v>
      </c>
      <c r="F1011" s="1510"/>
      <c r="G1011" s="951" t="str">
        <f>IF('Jrnl Exp ~ Dép'!$E514="","",'Jrnl Exp ~ Dép'!$E514)</f>
        <v/>
      </c>
      <c r="H1011" s="147">
        <f>'Jrnl Exp ~ Dép'!H514</f>
        <v>0</v>
      </c>
      <c r="I1011" s="147" t="str">
        <f t="shared" si="30"/>
        <v>0</v>
      </c>
      <c r="J1011" s="148" t="b">
        <f t="shared" si="31"/>
        <v>0</v>
      </c>
      <c r="K1011" s="169"/>
      <c r="L1011" s="169">
        <f>'Jrnl Exp ~ Dép'!$G514</f>
        <v>0</v>
      </c>
      <c r="M1011" s="151">
        <f>'Jrnl Exp ~ Dép'!E276</f>
        <v>0</v>
      </c>
      <c r="N1011" s="167">
        <f>'Jrnl Exp ~ Dép'!$H276</f>
        <v>0</v>
      </c>
    </row>
    <row r="1012" spans="2:20" s="1" customFormat="1" ht="30" hidden="1" customHeight="1" x14ac:dyDescent="0.15">
      <c r="B1012" s="146">
        <f>IF(AND('Jrnl Exp ~ Dép'!$G515&lt;&gt;"",'Jrnl Exp ~ Dép'!$C515&lt;&gt;""),1,0)</f>
        <v>0</v>
      </c>
      <c r="C1012" s="146">
        <f>'Jrnl Exp ~ Dép'!$C515</f>
        <v>0</v>
      </c>
      <c r="D1012" s="168">
        <f>'Jrnl Exp ~ Dép'!$D515</f>
        <v>0</v>
      </c>
      <c r="E1012" s="1510">
        <f>'Jrnl Exp ~ Dép'!$F515</f>
        <v>0</v>
      </c>
      <c r="F1012" s="1510"/>
      <c r="G1012" s="951" t="str">
        <f>IF('Jrnl Exp ~ Dép'!$E515="","",'Jrnl Exp ~ Dép'!$E515)</f>
        <v/>
      </c>
      <c r="H1012" s="147">
        <f>'Jrnl Exp ~ Dép'!H515</f>
        <v>0</v>
      </c>
      <c r="I1012" s="147" t="str">
        <f t="shared" si="30"/>
        <v>0</v>
      </c>
      <c r="J1012" s="148" t="b">
        <f t="shared" si="31"/>
        <v>0</v>
      </c>
      <c r="K1012" s="169"/>
      <c r="L1012" s="169">
        <f>'Jrnl Exp ~ Dép'!$G515</f>
        <v>0</v>
      </c>
      <c r="M1012" s="151">
        <f>'Jrnl Exp ~ Dép'!E277</f>
        <v>0</v>
      </c>
      <c r="N1012" s="167">
        <f>'Jrnl Exp ~ Dép'!$H277</f>
        <v>0</v>
      </c>
    </row>
    <row r="1013" spans="2:20" s="1" customFormat="1" ht="6" customHeight="1" x14ac:dyDescent="0.15">
      <c r="B1013" s="15">
        <v>1</v>
      </c>
      <c r="C1013" s="171"/>
      <c r="D1013" s="172"/>
      <c r="E1013" s="173"/>
      <c r="F1013" s="173"/>
      <c r="G1013" s="174"/>
      <c r="H1013" s="175"/>
      <c r="I1013" s="175"/>
      <c r="J1013" s="175"/>
      <c r="K1013" s="176"/>
      <c r="L1013" s="176"/>
      <c r="M1013" s="177"/>
      <c r="N1013" s="178"/>
    </row>
    <row r="1014" spans="2:20" s="1" customFormat="1" ht="30" customHeight="1" x14ac:dyDescent="0.15">
      <c r="B1014" s="15">
        <v>1</v>
      </c>
      <c r="C1014" s="1511" t="str">
        <f>IF($A$3=2,"Solde du compte principal au","Balance of Main Bank Account on")</f>
        <v>Balance of Main Bank Account on</v>
      </c>
      <c r="D1014" s="1511"/>
      <c r="E1014" s="1511"/>
      <c r="F1014" s="1511"/>
      <c r="G1014" s="1511"/>
      <c r="H1014" s="1261">
        <f>Reconciliation!J23</f>
        <v>0</v>
      </c>
      <c r="I1014" s="179"/>
      <c r="J1014" s="180"/>
      <c r="K1014" s="181">
        <f>Reconciliation!N23</f>
        <v>0</v>
      </c>
      <c r="L1014" s="182"/>
      <c r="M1014" s="177"/>
      <c r="N1014" s="178"/>
    </row>
    <row r="1015" spans="2:20" ht="20.25" customHeight="1" thickBot="1" x14ac:dyDescent="0.2">
      <c r="B1015" s="15">
        <v>1</v>
      </c>
      <c r="D1015" s="183" t="str">
        <f>IF($A$3=2,"Légende:","Legend:")</f>
        <v>Legend:</v>
      </c>
      <c r="E1015" s="184"/>
      <c r="F1015" s="184"/>
      <c r="G1015" s="183" t="s">
        <v>133</v>
      </c>
      <c r="H1015" s="184"/>
      <c r="I1015" s="184"/>
      <c r="J1015" s="184"/>
      <c r="K1015" s="184"/>
      <c r="L1015" s="184"/>
      <c r="M1015" s="185"/>
    </row>
    <row r="1016" spans="2:20" ht="146.25" customHeight="1" thickBot="1" x14ac:dyDescent="0.2">
      <c r="B1016" s="15">
        <v>1</v>
      </c>
      <c r="C1016" s="608" t="s">
        <v>134</v>
      </c>
      <c r="D1016" s="1508" t="s">
        <v>473</v>
      </c>
      <c r="E1016" s="1509"/>
      <c r="F1016" s="609"/>
      <c r="G1016" s="1512"/>
      <c r="H1016" s="1513"/>
      <c r="I1016" s="1514"/>
      <c r="J1016" s="1514"/>
      <c r="K1016" s="1512"/>
      <c r="L1016" s="1513"/>
      <c r="M1016" s="185"/>
      <c r="T1016" s="186"/>
    </row>
    <row r="1017" spans="2:20" ht="26.25" customHeight="1" x14ac:dyDescent="0.15">
      <c r="M1017" s="185"/>
      <c r="T1017" s="186"/>
    </row>
    <row r="1018" spans="2:20" ht="26.25" customHeight="1" x14ac:dyDescent="0.15">
      <c r="C1018" s="109" t="str">
        <f>IF(A3=2,"","")</f>
        <v/>
      </c>
      <c r="M1018" s="185"/>
    </row>
    <row r="1019" spans="2:20" ht="26.25" customHeight="1" x14ac:dyDescent="0.15">
      <c r="M1019" s="185"/>
    </row>
    <row r="1020" spans="2:20" ht="26.25" customHeight="1" x14ac:dyDescent="0.15">
      <c r="M1020" s="185"/>
    </row>
    <row r="1021" spans="2:20" ht="26.25" customHeight="1" x14ac:dyDescent="0.15">
      <c r="M1021" s="185"/>
    </row>
    <row r="1022" spans="2:20" ht="26.25" customHeight="1" x14ac:dyDescent="0.15">
      <c r="M1022" s="185"/>
    </row>
    <row r="1023" spans="2:20" ht="26.25" customHeight="1" x14ac:dyDescent="0.15">
      <c r="M1023" s="185"/>
    </row>
    <row r="1024" spans="2:20" ht="26.25" customHeight="1" x14ac:dyDescent="0.15">
      <c r="M1024" s="185"/>
    </row>
    <row r="1025" spans="13:13" ht="26.25" customHeight="1" x14ac:dyDescent="0.15">
      <c r="M1025" s="185"/>
    </row>
    <row r="1026" spans="13:13" ht="26.25" customHeight="1" x14ac:dyDescent="0.15">
      <c r="M1026" s="185"/>
    </row>
    <row r="1027" spans="13:13" ht="26.25" customHeight="1" x14ac:dyDescent="0.15">
      <c r="M1027" s="185"/>
    </row>
    <row r="1028" spans="13:13" ht="26.25" customHeight="1" x14ac:dyDescent="0.15">
      <c r="M1028" s="185"/>
    </row>
    <row r="1029" spans="13:13" ht="26.25" customHeight="1" x14ac:dyDescent="0.15">
      <c r="M1029" s="185"/>
    </row>
    <row r="1030" spans="13:13" ht="26.25" customHeight="1" x14ac:dyDescent="0.15">
      <c r="M1030" s="185"/>
    </row>
    <row r="1031" spans="13:13" ht="26.25" customHeight="1" x14ac:dyDescent="0.15">
      <c r="M1031" s="185"/>
    </row>
    <row r="1032" spans="13:13" ht="26.25" customHeight="1" x14ac:dyDescent="0.15">
      <c r="M1032" s="185"/>
    </row>
    <row r="1033" spans="13:13" ht="26.25" customHeight="1" x14ac:dyDescent="0.15">
      <c r="M1033" s="185"/>
    </row>
    <row r="1034" spans="13:13" ht="26.25" customHeight="1" x14ac:dyDescent="0.15">
      <c r="M1034" s="185"/>
    </row>
    <row r="1035" spans="13:13" ht="26.25" customHeight="1" x14ac:dyDescent="0.15">
      <c r="M1035" s="185"/>
    </row>
    <row r="1036" spans="13:13" ht="26.25" customHeight="1" x14ac:dyDescent="0.15">
      <c r="M1036" s="185"/>
    </row>
    <row r="1037" spans="13:13" ht="26.25" customHeight="1" x14ac:dyDescent="0.15">
      <c r="M1037" s="185"/>
    </row>
    <row r="1038" spans="13:13" ht="26.25" customHeight="1" x14ac:dyDescent="0.15">
      <c r="M1038" s="185"/>
    </row>
    <row r="1039" spans="13:13" ht="26.25" customHeight="1" x14ac:dyDescent="0.15">
      <c r="M1039" s="185"/>
    </row>
    <row r="1040" spans="13:13" ht="26.25" customHeight="1" x14ac:dyDescent="0.15">
      <c r="M1040" s="185"/>
    </row>
    <row r="1041" spans="13:13" ht="26.25" customHeight="1" x14ac:dyDescent="0.15">
      <c r="M1041" s="185"/>
    </row>
    <row r="1042" spans="13:13" ht="26.25" customHeight="1" x14ac:dyDescent="0.15">
      <c r="M1042" s="185"/>
    </row>
    <row r="1043" spans="13:13" ht="26.25" customHeight="1" x14ac:dyDescent="0.15">
      <c r="M1043" s="185"/>
    </row>
    <row r="1044" spans="13:13" ht="26.25" customHeight="1" x14ac:dyDescent="0.15">
      <c r="M1044" s="185"/>
    </row>
    <row r="1045" spans="13:13" ht="26.25" customHeight="1" x14ac:dyDescent="0.15">
      <c r="M1045" s="185"/>
    </row>
    <row r="1046" spans="13:13" ht="26.25" customHeight="1" x14ac:dyDescent="0.15">
      <c r="M1046" s="185"/>
    </row>
    <row r="1047" spans="13:13" ht="26.25" customHeight="1" x14ac:dyDescent="0.15">
      <c r="M1047" s="185"/>
    </row>
    <row r="1048" spans="13:13" ht="26.25" customHeight="1" x14ac:dyDescent="0.15">
      <c r="M1048" s="185"/>
    </row>
    <row r="1049" spans="13:13" ht="26.25" customHeight="1" x14ac:dyDescent="0.15">
      <c r="M1049" s="185"/>
    </row>
    <row r="1050" spans="13:13" ht="26.25" customHeight="1" x14ac:dyDescent="0.15">
      <c r="M1050" s="185"/>
    </row>
    <row r="1051" spans="13:13" ht="26.25" customHeight="1" x14ac:dyDescent="0.15">
      <c r="M1051" s="185"/>
    </row>
    <row r="1052" spans="13:13" ht="26.25" customHeight="1" x14ac:dyDescent="0.15">
      <c r="M1052" s="185"/>
    </row>
    <row r="1053" spans="13:13" ht="26.25" customHeight="1" x14ac:dyDescent="0.15">
      <c r="M1053" s="185"/>
    </row>
    <row r="1054" spans="13:13" ht="26.25" customHeight="1" x14ac:dyDescent="0.15">
      <c r="M1054" s="185"/>
    </row>
    <row r="1055" spans="13:13" ht="26.25" customHeight="1" x14ac:dyDescent="0.15">
      <c r="M1055" s="185"/>
    </row>
    <row r="1056" spans="13:13" ht="26.25" customHeight="1" x14ac:dyDescent="0.15">
      <c r="M1056" s="185"/>
    </row>
    <row r="1057" spans="13:13" ht="26.25" customHeight="1" x14ac:dyDescent="0.15">
      <c r="M1057" s="185"/>
    </row>
    <row r="1058" spans="13:13" ht="26.25" customHeight="1" x14ac:dyDescent="0.15">
      <c r="M1058" s="185"/>
    </row>
    <row r="1059" spans="13:13" ht="26.25" customHeight="1" x14ac:dyDescent="0.15">
      <c r="M1059" s="185"/>
    </row>
    <row r="1060" spans="13:13" ht="26.25" customHeight="1" x14ac:dyDescent="0.15">
      <c r="M1060" s="185"/>
    </row>
    <row r="1061" spans="13:13" ht="26.25" customHeight="1" x14ac:dyDescent="0.15">
      <c r="M1061" s="185"/>
    </row>
    <row r="1062" spans="13:13" ht="26.25" customHeight="1" x14ac:dyDescent="0.15">
      <c r="M1062" s="185"/>
    </row>
    <row r="1063" spans="13:13" ht="26.25" customHeight="1" x14ac:dyDescent="0.15">
      <c r="M1063" s="185"/>
    </row>
    <row r="1064" spans="13:13" ht="26.25" customHeight="1" x14ac:dyDescent="0.15">
      <c r="M1064" s="185"/>
    </row>
    <row r="1065" spans="13:13" ht="26.25" customHeight="1" x14ac:dyDescent="0.15">
      <c r="M1065" s="185"/>
    </row>
    <row r="1066" spans="13:13" ht="26.25" customHeight="1" x14ac:dyDescent="0.15">
      <c r="M1066" s="185"/>
    </row>
    <row r="1067" spans="13:13" ht="26.25" customHeight="1" x14ac:dyDescent="0.15">
      <c r="M1067" s="185"/>
    </row>
    <row r="1068" spans="13:13" ht="26.25" customHeight="1" x14ac:dyDescent="0.15">
      <c r="M1068" s="185"/>
    </row>
    <row r="1069" spans="13:13" ht="26.25" customHeight="1" x14ac:dyDescent="0.15">
      <c r="M1069" s="185"/>
    </row>
    <row r="1070" spans="13:13" ht="26.25" customHeight="1" x14ac:dyDescent="0.15">
      <c r="M1070" s="185"/>
    </row>
    <row r="1071" spans="13:13" ht="26.25" customHeight="1" x14ac:dyDescent="0.15">
      <c r="M1071" s="185"/>
    </row>
    <row r="1072" spans="13:13" ht="26.25" customHeight="1" x14ac:dyDescent="0.15">
      <c r="M1072" s="185"/>
    </row>
    <row r="1073" spans="13:13" ht="26.25" customHeight="1" x14ac:dyDescent="0.15">
      <c r="M1073" s="185"/>
    </row>
    <row r="1074" spans="13:13" ht="26.25" customHeight="1" x14ac:dyDescent="0.15">
      <c r="M1074" s="185"/>
    </row>
    <row r="1075" spans="13:13" ht="26.25" customHeight="1" x14ac:dyDescent="0.15">
      <c r="M1075" s="185"/>
    </row>
    <row r="1076" spans="13:13" ht="26.25" customHeight="1" x14ac:dyDescent="0.15">
      <c r="M1076" s="185"/>
    </row>
    <row r="1077" spans="13:13" ht="26.25" customHeight="1" x14ac:dyDescent="0.15">
      <c r="M1077" s="185"/>
    </row>
    <row r="1078" spans="13:13" ht="26.25" customHeight="1" x14ac:dyDescent="0.15">
      <c r="M1078" s="185"/>
    </row>
    <row r="1079" spans="13:13" ht="26.25" customHeight="1" x14ac:dyDescent="0.15">
      <c r="M1079" s="185"/>
    </row>
    <row r="1080" spans="13:13" ht="26.25" customHeight="1" x14ac:dyDescent="0.15">
      <c r="M1080" s="185"/>
    </row>
    <row r="1081" spans="13:13" ht="26.25" customHeight="1" x14ac:dyDescent="0.15">
      <c r="M1081" s="185"/>
    </row>
    <row r="1082" spans="13:13" ht="26.25" customHeight="1" x14ac:dyDescent="0.15">
      <c r="M1082" s="185"/>
    </row>
    <row r="1083" spans="13:13" ht="26.25" customHeight="1" x14ac:dyDescent="0.15">
      <c r="M1083" s="185"/>
    </row>
    <row r="1084" spans="13:13" ht="26.25" customHeight="1" x14ac:dyDescent="0.15">
      <c r="M1084" s="185"/>
    </row>
    <row r="1085" spans="13:13" ht="26.25" customHeight="1" x14ac:dyDescent="0.15">
      <c r="M1085" s="185"/>
    </row>
    <row r="1086" spans="13:13" ht="26.25" customHeight="1" x14ac:dyDescent="0.15">
      <c r="M1086" s="185"/>
    </row>
    <row r="1087" spans="13:13" ht="26.25" customHeight="1" x14ac:dyDescent="0.15">
      <c r="M1087" s="185"/>
    </row>
    <row r="1088" spans="13:13" ht="26.25" customHeight="1" x14ac:dyDescent="0.15">
      <c r="M1088" s="185"/>
    </row>
    <row r="1089" spans="13:13" ht="26.25" customHeight="1" x14ac:dyDescent="0.15">
      <c r="M1089" s="185"/>
    </row>
    <row r="1090" spans="13:13" ht="26.25" customHeight="1" x14ac:dyDescent="0.15">
      <c r="M1090" s="185"/>
    </row>
    <row r="1091" spans="13:13" ht="26.25" customHeight="1" x14ac:dyDescent="0.15">
      <c r="M1091" s="185"/>
    </row>
    <row r="1092" spans="13:13" ht="26.25" customHeight="1" x14ac:dyDescent="0.15">
      <c r="M1092" s="185"/>
    </row>
    <row r="1093" spans="13:13" ht="26.25" customHeight="1" x14ac:dyDescent="0.15">
      <c r="M1093" s="185"/>
    </row>
    <row r="1094" spans="13:13" ht="26.25" customHeight="1" x14ac:dyDescent="0.15">
      <c r="M1094" s="185"/>
    </row>
    <row r="1095" spans="13:13" ht="26.25" customHeight="1" x14ac:dyDescent="0.15">
      <c r="M1095" s="185"/>
    </row>
    <row r="1096" spans="13:13" ht="26.25" customHeight="1" x14ac:dyDescent="0.15">
      <c r="M1096" s="185"/>
    </row>
    <row r="1097" spans="13:13" ht="26.25" customHeight="1" x14ac:dyDescent="0.15">
      <c r="M1097" s="185"/>
    </row>
    <row r="1098" spans="13:13" ht="26.25" customHeight="1" x14ac:dyDescent="0.15">
      <c r="M1098" s="185"/>
    </row>
    <row r="1099" spans="13:13" ht="26.25" customHeight="1" x14ac:dyDescent="0.15">
      <c r="M1099" s="185"/>
    </row>
    <row r="1100" spans="13:13" ht="26.25" customHeight="1" x14ac:dyDescent="0.15">
      <c r="M1100" s="185"/>
    </row>
    <row r="1101" spans="13:13" ht="26.25" customHeight="1" x14ac:dyDescent="0.15">
      <c r="M1101" s="185"/>
    </row>
    <row r="1102" spans="13:13" ht="26.25" customHeight="1" x14ac:dyDescent="0.15">
      <c r="M1102" s="185"/>
    </row>
    <row r="1103" spans="13:13" ht="26.25" customHeight="1" x14ac:dyDescent="0.15">
      <c r="M1103" s="185"/>
    </row>
    <row r="1104" spans="13:13" ht="26.25" customHeight="1" x14ac:dyDescent="0.15">
      <c r="M1104" s="185"/>
    </row>
    <row r="1105" spans="13:13" ht="26.25" customHeight="1" x14ac:dyDescent="0.15">
      <c r="M1105" s="185"/>
    </row>
    <row r="1106" spans="13:13" ht="26.25" customHeight="1" x14ac:dyDescent="0.15">
      <c r="M1106" s="185"/>
    </row>
    <row r="1107" spans="13:13" ht="26.25" customHeight="1" x14ac:dyDescent="0.15">
      <c r="M1107" s="185"/>
    </row>
    <row r="1108" spans="13:13" ht="26.25" customHeight="1" x14ac:dyDescent="0.15">
      <c r="M1108" s="185"/>
    </row>
    <row r="1109" spans="13:13" ht="26.25" customHeight="1" x14ac:dyDescent="0.15">
      <c r="M1109" s="185"/>
    </row>
    <row r="1110" spans="13:13" ht="26.25" customHeight="1" x14ac:dyDescent="0.15">
      <c r="M1110" s="185"/>
    </row>
    <row r="1111" spans="13:13" ht="26.25" customHeight="1" x14ac:dyDescent="0.15">
      <c r="M1111" s="185"/>
    </row>
    <row r="1112" spans="13:13" ht="26.25" customHeight="1" x14ac:dyDescent="0.15">
      <c r="M1112" s="185"/>
    </row>
    <row r="1113" spans="13:13" ht="26.25" customHeight="1" x14ac:dyDescent="0.15">
      <c r="M1113" s="185"/>
    </row>
    <row r="1114" spans="13:13" ht="26.25" customHeight="1" x14ac:dyDescent="0.15">
      <c r="M1114" s="185"/>
    </row>
    <row r="1115" spans="13:13" ht="26.25" customHeight="1" x14ac:dyDescent="0.15">
      <c r="M1115" s="185"/>
    </row>
    <row r="1116" spans="13:13" ht="26.25" customHeight="1" x14ac:dyDescent="0.15">
      <c r="M1116" s="185"/>
    </row>
    <row r="1117" spans="13:13" ht="26.25" customHeight="1" x14ac:dyDescent="0.15">
      <c r="M1117" s="185"/>
    </row>
    <row r="1118" spans="13:13" ht="26.25" customHeight="1" x14ac:dyDescent="0.15">
      <c r="M1118" s="185"/>
    </row>
    <row r="1119" spans="13:13" ht="26.25" customHeight="1" x14ac:dyDescent="0.15">
      <c r="M1119" s="185"/>
    </row>
    <row r="1120" spans="13:13" ht="26.25" customHeight="1" x14ac:dyDescent="0.15">
      <c r="M1120" s="185"/>
    </row>
    <row r="1121" spans="13:13" ht="26.25" customHeight="1" x14ac:dyDescent="0.15">
      <c r="M1121" s="185"/>
    </row>
    <row r="1122" spans="13:13" ht="26.25" customHeight="1" x14ac:dyDescent="0.15">
      <c r="M1122" s="185"/>
    </row>
    <row r="1123" spans="13:13" ht="26.25" customHeight="1" x14ac:dyDescent="0.15">
      <c r="M1123" s="185"/>
    </row>
    <row r="1124" spans="13:13" ht="26.25" customHeight="1" x14ac:dyDescent="0.15">
      <c r="M1124" s="185"/>
    </row>
    <row r="1125" spans="13:13" ht="26.25" customHeight="1" x14ac:dyDescent="0.15">
      <c r="M1125" s="185"/>
    </row>
    <row r="1126" spans="13:13" ht="26.25" customHeight="1" x14ac:dyDescent="0.15">
      <c r="M1126" s="185"/>
    </row>
    <row r="1127" spans="13:13" ht="26.25" customHeight="1" x14ac:dyDescent="0.15">
      <c r="M1127" s="185"/>
    </row>
    <row r="1128" spans="13:13" ht="26.25" customHeight="1" x14ac:dyDescent="0.15">
      <c r="M1128" s="185"/>
    </row>
    <row r="1129" spans="13:13" ht="26.25" customHeight="1" x14ac:dyDescent="0.15">
      <c r="M1129" s="185"/>
    </row>
    <row r="1130" spans="13:13" ht="26.25" customHeight="1" x14ac:dyDescent="0.15">
      <c r="M1130" s="185"/>
    </row>
    <row r="1131" spans="13:13" ht="26.25" customHeight="1" x14ac:dyDescent="0.15">
      <c r="M1131" s="185"/>
    </row>
    <row r="1132" spans="13:13" ht="26.25" customHeight="1" x14ac:dyDescent="0.15">
      <c r="M1132" s="185"/>
    </row>
    <row r="1133" spans="13:13" ht="26.25" customHeight="1" x14ac:dyDescent="0.15">
      <c r="M1133" s="185"/>
    </row>
    <row r="1134" spans="13:13" ht="26.25" customHeight="1" x14ac:dyDescent="0.15">
      <c r="M1134" s="185"/>
    </row>
    <row r="1135" spans="13:13" ht="26.25" customHeight="1" x14ac:dyDescent="0.15">
      <c r="M1135" s="185"/>
    </row>
    <row r="1136" spans="13:13" ht="26.25" customHeight="1" x14ac:dyDescent="0.15">
      <c r="M1136" s="185"/>
    </row>
    <row r="1137" spans="13:13" ht="26.25" customHeight="1" x14ac:dyDescent="0.15">
      <c r="M1137" s="185"/>
    </row>
    <row r="1138" spans="13:13" ht="26.25" customHeight="1" x14ac:dyDescent="0.15">
      <c r="M1138" s="185"/>
    </row>
    <row r="1139" spans="13:13" ht="26.25" customHeight="1" x14ac:dyDescent="0.15">
      <c r="M1139" s="185"/>
    </row>
    <row r="1140" spans="13:13" ht="26.25" customHeight="1" x14ac:dyDescent="0.15">
      <c r="M1140" s="185"/>
    </row>
    <row r="1141" spans="13:13" ht="26.25" customHeight="1" x14ac:dyDescent="0.15">
      <c r="M1141" s="185"/>
    </row>
    <row r="1142" spans="13:13" ht="26.25" customHeight="1" x14ac:dyDescent="0.15">
      <c r="M1142" s="185"/>
    </row>
    <row r="1143" spans="13:13" ht="26.25" customHeight="1" x14ac:dyDescent="0.15">
      <c r="M1143" s="185"/>
    </row>
    <row r="1144" spans="13:13" ht="26.25" customHeight="1" x14ac:dyDescent="0.15">
      <c r="M1144" s="185"/>
    </row>
    <row r="1145" spans="13:13" ht="26.25" customHeight="1" x14ac:dyDescent="0.15">
      <c r="M1145" s="185"/>
    </row>
    <row r="1146" spans="13:13" ht="26.25" customHeight="1" x14ac:dyDescent="0.15">
      <c r="M1146" s="185"/>
    </row>
    <row r="1147" spans="13:13" ht="26.25" customHeight="1" x14ac:dyDescent="0.15">
      <c r="M1147" s="185"/>
    </row>
    <row r="1148" spans="13:13" ht="26.25" customHeight="1" x14ac:dyDescent="0.15">
      <c r="M1148" s="185"/>
    </row>
    <row r="1149" spans="13:13" ht="26.25" customHeight="1" x14ac:dyDescent="0.15">
      <c r="M1149" s="185"/>
    </row>
    <row r="1150" spans="13:13" ht="26.25" customHeight="1" x14ac:dyDescent="0.15">
      <c r="M1150" s="185"/>
    </row>
    <row r="1151" spans="13:13" ht="26.25" customHeight="1" x14ac:dyDescent="0.15">
      <c r="M1151" s="185"/>
    </row>
    <row r="1152" spans="13:13" ht="26.25" customHeight="1" x14ac:dyDescent="0.15">
      <c r="M1152" s="185"/>
    </row>
    <row r="1153" spans="13:13" ht="26.25" customHeight="1" x14ac:dyDescent="0.15">
      <c r="M1153" s="185"/>
    </row>
    <row r="1154" spans="13:13" ht="26.25" customHeight="1" x14ac:dyDescent="0.15">
      <c r="M1154" s="185"/>
    </row>
    <row r="1155" spans="13:13" ht="26.25" customHeight="1" x14ac:dyDescent="0.15">
      <c r="M1155" s="185"/>
    </row>
    <row r="1156" spans="13:13" ht="26.25" customHeight="1" x14ac:dyDescent="0.15">
      <c r="M1156" s="185"/>
    </row>
    <row r="1157" spans="13:13" ht="26.25" customHeight="1" x14ac:dyDescent="0.15">
      <c r="M1157" s="185"/>
    </row>
    <row r="1158" spans="13:13" ht="26.25" customHeight="1" x14ac:dyDescent="0.15">
      <c r="M1158" s="185"/>
    </row>
    <row r="1159" spans="13:13" ht="26.25" customHeight="1" x14ac:dyDescent="0.15">
      <c r="M1159" s="185"/>
    </row>
    <row r="1160" spans="13:13" ht="26.25" customHeight="1" x14ac:dyDescent="0.15">
      <c r="M1160" s="185"/>
    </row>
    <row r="1161" spans="13:13" ht="26.25" customHeight="1" x14ac:dyDescent="0.15">
      <c r="M1161" s="185"/>
    </row>
    <row r="1162" spans="13:13" ht="26.25" customHeight="1" x14ac:dyDescent="0.15">
      <c r="M1162" s="185"/>
    </row>
    <row r="1163" spans="13:13" ht="26.25" customHeight="1" x14ac:dyDescent="0.15">
      <c r="M1163" s="185"/>
    </row>
    <row r="1164" spans="13:13" ht="26.25" customHeight="1" x14ac:dyDescent="0.15">
      <c r="M1164" s="185"/>
    </row>
    <row r="1165" spans="13:13" ht="26.25" customHeight="1" x14ac:dyDescent="0.15">
      <c r="M1165" s="185"/>
    </row>
  </sheetData>
  <sheetProtection algorithmName="SHA-512" hashValue="NqRwW0IMZ2fzVkn7CGiNfR+n0L4GsJBybUY/4c4cPHyIh9saJ5elE4BgDYqaSNZ2DE4Fvo0XPNTjoff4q94Ddw==" saltValue="OXpqB4l0nOKI4tmc7G57Ug==" spinCount="100000" sheet="1" objects="1" scenarios="1" selectLockedCells="1" autoFilter="0"/>
  <autoFilter ref="B8:N1016" xr:uid="{00000000-0009-0000-0000-000003000000}">
    <filterColumn colId="0">
      <customFilters>
        <customFilter operator="notEqual" val=" "/>
      </customFilters>
    </filterColumn>
  </autoFilter>
  <mergeCells count="1010">
    <mergeCell ref="C1014:G1014"/>
    <mergeCell ref="G1016:L1016"/>
    <mergeCell ref="C1:L1"/>
    <mergeCell ref="C2:L2"/>
    <mergeCell ref="C3:D3"/>
    <mergeCell ref="G3:H3"/>
    <mergeCell ref="G4:H4"/>
    <mergeCell ref="G7:H7"/>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295:F295"/>
    <mergeCell ref="E296:F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E334:F334"/>
    <mergeCell ref="E335:F335"/>
    <mergeCell ref="E336:F336"/>
    <mergeCell ref="E337:F337"/>
    <mergeCell ref="E338:F338"/>
    <mergeCell ref="E339:F339"/>
    <mergeCell ref="E340:F340"/>
    <mergeCell ref="E341:F341"/>
    <mergeCell ref="E342:F342"/>
    <mergeCell ref="E343:F343"/>
    <mergeCell ref="E344:F344"/>
    <mergeCell ref="E345:F345"/>
    <mergeCell ref="E346:F346"/>
    <mergeCell ref="E347:F347"/>
    <mergeCell ref="E348:F348"/>
    <mergeCell ref="E349:F349"/>
    <mergeCell ref="E350:F350"/>
    <mergeCell ref="E351:F351"/>
    <mergeCell ref="E352:F352"/>
    <mergeCell ref="E353:F353"/>
    <mergeCell ref="E354:F354"/>
    <mergeCell ref="E355:F355"/>
    <mergeCell ref="E356:F356"/>
    <mergeCell ref="E357:F357"/>
    <mergeCell ref="E358:F358"/>
    <mergeCell ref="E359:F35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E375:F375"/>
    <mergeCell ref="E376:F376"/>
    <mergeCell ref="E377:F377"/>
    <mergeCell ref="E378:F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13:F413"/>
    <mergeCell ref="E414:F414"/>
    <mergeCell ref="E415:F415"/>
    <mergeCell ref="E416:F416"/>
    <mergeCell ref="E417:F417"/>
    <mergeCell ref="E418:F418"/>
    <mergeCell ref="E419:F419"/>
    <mergeCell ref="E420:F420"/>
    <mergeCell ref="E421:F421"/>
    <mergeCell ref="E422:F422"/>
    <mergeCell ref="E423:F423"/>
    <mergeCell ref="E424:F424"/>
    <mergeCell ref="E425:F425"/>
    <mergeCell ref="E426:F426"/>
    <mergeCell ref="E427:F427"/>
    <mergeCell ref="E428:F428"/>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60:F460"/>
    <mergeCell ref="E461:F461"/>
    <mergeCell ref="E462:F462"/>
    <mergeCell ref="E463:F463"/>
    <mergeCell ref="E464:F464"/>
    <mergeCell ref="E465:F465"/>
    <mergeCell ref="E466:F466"/>
    <mergeCell ref="E467:F467"/>
    <mergeCell ref="E468:F468"/>
    <mergeCell ref="E469:F469"/>
    <mergeCell ref="E470:F470"/>
    <mergeCell ref="E471:F471"/>
    <mergeCell ref="E472:F472"/>
    <mergeCell ref="E473:F473"/>
    <mergeCell ref="E474:F474"/>
    <mergeCell ref="E475:F475"/>
    <mergeCell ref="E476:F476"/>
    <mergeCell ref="E477:F477"/>
    <mergeCell ref="E478:F478"/>
    <mergeCell ref="E479:F479"/>
    <mergeCell ref="E480:F480"/>
    <mergeCell ref="E481:F481"/>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94:F494"/>
    <mergeCell ref="E495:F495"/>
    <mergeCell ref="E496:F496"/>
    <mergeCell ref="E497:F497"/>
    <mergeCell ref="E498:F498"/>
    <mergeCell ref="E499:F499"/>
    <mergeCell ref="E500:F500"/>
    <mergeCell ref="E501:F501"/>
    <mergeCell ref="E502:F502"/>
    <mergeCell ref="E503:F503"/>
    <mergeCell ref="E504:F504"/>
    <mergeCell ref="E505:F505"/>
    <mergeCell ref="E506:F506"/>
    <mergeCell ref="E507:F507"/>
    <mergeCell ref="E508:F508"/>
    <mergeCell ref="E509:F509"/>
    <mergeCell ref="E510:F510"/>
    <mergeCell ref="E513:F513"/>
    <mergeCell ref="E514:F514"/>
    <mergeCell ref="E515:F515"/>
    <mergeCell ref="E516:F516"/>
    <mergeCell ref="E517:F517"/>
    <mergeCell ref="E518:F518"/>
    <mergeCell ref="E519:F519"/>
    <mergeCell ref="E520:F520"/>
    <mergeCell ref="E521:F521"/>
    <mergeCell ref="E522:F522"/>
    <mergeCell ref="E523:F523"/>
    <mergeCell ref="E524:F524"/>
    <mergeCell ref="E525:F525"/>
    <mergeCell ref="E526:F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E539:F539"/>
    <mergeCell ref="E540:F540"/>
    <mergeCell ref="E541:F541"/>
    <mergeCell ref="E542:F542"/>
    <mergeCell ref="E543:F543"/>
    <mergeCell ref="E544:F544"/>
    <mergeCell ref="E545:F545"/>
    <mergeCell ref="E546:F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81:F581"/>
    <mergeCell ref="E582:F582"/>
    <mergeCell ref="E583:F583"/>
    <mergeCell ref="E584:F584"/>
    <mergeCell ref="E585:F585"/>
    <mergeCell ref="E586:F586"/>
    <mergeCell ref="E587:F587"/>
    <mergeCell ref="E588:F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615:F615"/>
    <mergeCell ref="E616:F616"/>
    <mergeCell ref="E617:F617"/>
    <mergeCell ref="E618:F618"/>
    <mergeCell ref="E619:F619"/>
    <mergeCell ref="E620:F620"/>
    <mergeCell ref="E621:F621"/>
    <mergeCell ref="E622:F622"/>
    <mergeCell ref="E623:F623"/>
    <mergeCell ref="E624:F624"/>
    <mergeCell ref="E625:F625"/>
    <mergeCell ref="E626:F626"/>
    <mergeCell ref="E627:F627"/>
    <mergeCell ref="E628:F628"/>
    <mergeCell ref="E629:F629"/>
    <mergeCell ref="E630:F630"/>
    <mergeCell ref="E631:F631"/>
    <mergeCell ref="E632:F632"/>
    <mergeCell ref="E633:F633"/>
    <mergeCell ref="E634:F634"/>
    <mergeCell ref="E635:F635"/>
    <mergeCell ref="E636:F636"/>
    <mergeCell ref="E637:F637"/>
    <mergeCell ref="E638:F638"/>
    <mergeCell ref="E639:F639"/>
    <mergeCell ref="E640:F640"/>
    <mergeCell ref="E641:F641"/>
    <mergeCell ref="E642:F642"/>
    <mergeCell ref="E643:F643"/>
    <mergeCell ref="E644:F644"/>
    <mergeCell ref="E645:F645"/>
    <mergeCell ref="E646:F646"/>
    <mergeCell ref="E647:F647"/>
    <mergeCell ref="E648:F648"/>
    <mergeCell ref="E649:F649"/>
    <mergeCell ref="E650:F650"/>
    <mergeCell ref="E651:F651"/>
    <mergeCell ref="E652:F652"/>
    <mergeCell ref="E653:F653"/>
    <mergeCell ref="E654:F654"/>
    <mergeCell ref="E655:F655"/>
    <mergeCell ref="E656:F656"/>
    <mergeCell ref="E657:F657"/>
    <mergeCell ref="E658:F658"/>
    <mergeCell ref="E659:F659"/>
    <mergeCell ref="E660:F660"/>
    <mergeCell ref="E661:F661"/>
    <mergeCell ref="E662:F662"/>
    <mergeCell ref="E663:F663"/>
    <mergeCell ref="E664:F664"/>
    <mergeCell ref="E665:F665"/>
    <mergeCell ref="E666:F666"/>
    <mergeCell ref="E667:F667"/>
    <mergeCell ref="E668:F668"/>
    <mergeCell ref="E669:F669"/>
    <mergeCell ref="E670:F670"/>
    <mergeCell ref="E671:F671"/>
    <mergeCell ref="E672:F672"/>
    <mergeCell ref="E673:F673"/>
    <mergeCell ref="E674:F674"/>
    <mergeCell ref="E675:F675"/>
    <mergeCell ref="E676:F676"/>
    <mergeCell ref="E677:F677"/>
    <mergeCell ref="E678:F678"/>
    <mergeCell ref="E679:F679"/>
    <mergeCell ref="E680:F680"/>
    <mergeCell ref="E681:F681"/>
    <mergeCell ref="E682:F682"/>
    <mergeCell ref="E683:F683"/>
    <mergeCell ref="E684:F684"/>
    <mergeCell ref="E685:F685"/>
    <mergeCell ref="E686:F686"/>
    <mergeCell ref="E687:F687"/>
    <mergeCell ref="E688:F688"/>
    <mergeCell ref="E689:F689"/>
    <mergeCell ref="E690:F690"/>
    <mergeCell ref="E691:F691"/>
    <mergeCell ref="E692:F692"/>
    <mergeCell ref="E693:F693"/>
    <mergeCell ref="E694:F694"/>
    <mergeCell ref="E695:F695"/>
    <mergeCell ref="E696:F696"/>
    <mergeCell ref="E697:F697"/>
    <mergeCell ref="E698:F698"/>
    <mergeCell ref="E699:F699"/>
    <mergeCell ref="E700:F700"/>
    <mergeCell ref="E701:F701"/>
    <mergeCell ref="E702:F702"/>
    <mergeCell ref="E703:F703"/>
    <mergeCell ref="E704:F704"/>
    <mergeCell ref="E705:F705"/>
    <mergeCell ref="E706:F706"/>
    <mergeCell ref="E707:F707"/>
    <mergeCell ref="E708:F708"/>
    <mergeCell ref="E709:F709"/>
    <mergeCell ref="E710:F710"/>
    <mergeCell ref="E711:F711"/>
    <mergeCell ref="E712:F712"/>
    <mergeCell ref="E713:F713"/>
    <mergeCell ref="E714:F714"/>
    <mergeCell ref="E715:F715"/>
    <mergeCell ref="E716:F716"/>
    <mergeCell ref="E717:F717"/>
    <mergeCell ref="E718:F718"/>
    <mergeCell ref="E719:F719"/>
    <mergeCell ref="E720:F720"/>
    <mergeCell ref="E721:F721"/>
    <mergeCell ref="E722:F722"/>
    <mergeCell ref="E723:F723"/>
    <mergeCell ref="E724:F724"/>
    <mergeCell ref="E725:F725"/>
    <mergeCell ref="E726:F726"/>
    <mergeCell ref="E727:F727"/>
    <mergeCell ref="E728:F728"/>
    <mergeCell ref="E729:F729"/>
    <mergeCell ref="E730:F730"/>
    <mergeCell ref="E731:F731"/>
    <mergeCell ref="E732:F732"/>
    <mergeCell ref="E733:F733"/>
    <mergeCell ref="E734:F734"/>
    <mergeCell ref="E735:F735"/>
    <mergeCell ref="E736:F736"/>
    <mergeCell ref="E737:F737"/>
    <mergeCell ref="E738:F738"/>
    <mergeCell ref="E739:F739"/>
    <mergeCell ref="E740:F740"/>
    <mergeCell ref="E741:F741"/>
    <mergeCell ref="E742:F742"/>
    <mergeCell ref="E743:F743"/>
    <mergeCell ref="E744:F744"/>
    <mergeCell ref="E745:F745"/>
    <mergeCell ref="E746:F746"/>
    <mergeCell ref="E747:F747"/>
    <mergeCell ref="E748:F748"/>
    <mergeCell ref="E749:F749"/>
    <mergeCell ref="E750:F750"/>
    <mergeCell ref="E751:F751"/>
    <mergeCell ref="E752:F752"/>
    <mergeCell ref="E753:F753"/>
    <mergeCell ref="E754:F754"/>
    <mergeCell ref="E755:F755"/>
    <mergeCell ref="E756:F756"/>
    <mergeCell ref="E757:F757"/>
    <mergeCell ref="E758:F758"/>
    <mergeCell ref="E759:F759"/>
    <mergeCell ref="E760:F760"/>
    <mergeCell ref="E761:F761"/>
    <mergeCell ref="E762:F762"/>
    <mergeCell ref="E763:F763"/>
    <mergeCell ref="E764:F764"/>
    <mergeCell ref="E765:F765"/>
    <mergeCell ref="E766:F766"/>
    <mergeCell ref="E767:F767"/>
    <mergeCell ref="E768:F768"/>
    <mergeCell ref="E769:F769"/>
    <mergeCell ref="E770:F770"/>
    <mergeCell ref="E771:F771"/>
    <mergeCell ref="E772:F772"/>
    <mergeCell ref="E773:F773"/>
    <mergeCell ref="E774:F774"/>
    <mergeCell ref="E775:F775"/>
    <mergeCell ref="E776:F776"/>
    <mergeCell ref="E777:F777"/>
    <mergeCell ref="E778:F778"/>
    <mergeCell ref="E779:F779"/>
    <mergeCell ref="E780:F780"/>
    <mergeCell ref="E781:F781"/>
    <mergeCell ref="E782:F782"/>
    <mergeCell ref="E783:F783"/>
    <mergeCell ref="E784:F784"/>
    <mergeCell ref="E785:F785"/>
    <mergeCell ref="E786:F786"/>
    <mergeCell ref="E787:F787"/>
    <mergeCell ref="E788:F788"/>
    <mergeCell ref="E789:F789"/>
    <mergeCell ref="E790:F790"/>
    <mergeCell ref="E791:F791"/>
    <mergeCell ref="E792:F792"/>
    <mergeCell ref="E793:F793"/>
    <mergeCell ref="E794:F794"/>
    <mergeCell ref="E795:F795"/>
    <mergeCell ref="E796:F796"/>
    <mergeCell ref="E797:F797"/>
    <mergeCell ref="E798:F798"/>
    <mergeCell ref="E799:F799"/>
    <mergeCell ref="E800:F800"/>
    <mergeCell ref="E801:F801"/>
    <mergeCell ref="E802:F802"/>
    <mergeCell ref="E803:F803"/>
    <mergeCell ref="E804:F804"/>
    <mergeCell ref="E805:F805"/>
    <mergeCell ref="E806:F806"/>
    <mergeCell ref="E807:F807"/>
    <mergeCell ref="E808:F808"/>
    <mergeCell ref="E809:F809"/>
    <mergeCell ref="E810:F810"/>
    <mergeCell ref="E811:F811"/>
    <mergeCell ref="E812:F812"/>
    <mergeCell ref="E813:F813"/>
    <mergeCell ref="E814:F814"/>
    <mergeCell ref="E815:F815"/>
    <mergeCell ref="E816:F816"/>
    <mergeCell ref="E817:F817"/>
    <mergeCell ref="E818:F818"/>
    <mergeCell ref="E819:F819"/>
    <mergeCell ref="E820:F820"/>
    <mergeCell ref="E821:F821"/>
    <mergeCell ref="E822:F822"/>
    <mergeCell ref="E823:F823"/>
    <mergeCell ref="E824:F824"/>
    <mergeCell ref="E825:F825"/>
    <mergeCell ref="E826:F826"/>
    <mergeCell ref="E827:F827"/>
    <mergeCell ref="E828:F828"/>
    <mergeCell ref="E829:F829"/>
    <mergeCell ref="E830:F830"/>
    <mergeCell ref="E831:F831"/>
    <mergeCell ref="E832:F832"/>
    <mergeCell ref="E833:F833"/>
    <mergeCell ref="E834:F834"/>
    <mergeCell ref="E835:F835"/>
    <mergeCell ref="E836:F836"/>
    <mergeCell ref="E837:F837"/>
    <mergeCell ref="E838:F838"/>
    <mergeCell ref="E839:F839"/>
    <mergeCell ref="E840:F840"/>
    <mergeCell ref="E841:F841"/>
    <mergeCell ref="E842:F842"/>
    <mergeCell ref="E843:F843"/>
    <mergeCell ref="E844:F844"/>
    <mergeCell ref="E845:F845"/>
    <mergeCell ref="E846:F846"/>
    <mergeCell ref="E847:F847"/>
    <mergeCell ref="E848:F848"/>
    <mergeCell ref="E849:F849"/>
    <mergeCell ref="E850:F850"/>
    <mergeCell ref="E851:F851"/>
    <mergeCell ref="E852:F852"/>
    <mergeCell ref="E853:F853"/>
    <mergeCell ref="E854:F854"/>
    <mergeCell ref="E855:F855"/>
    <mergeCell ref="E856:F856"/>
    <mergeCell ref="E857:F857"/>
    <mergeCell ref="E858:F858"/>
    <mergeCell ref="E859:F859"/>
    <mergeCell ref="E860:F860"/>
    <mergeCell ref="E861:F861"/>
    <mergeCell ref="E862:F862"/>
    <mergeCell ref="E863:F863"/>
    <mergeCell ref="E864:F864"/>
    <mergeCell ref="E865:F865"/>
    <mergeCell ref="E866:F866"/>
    <mergeCell ref="E867:F867"/>
    <mergeCell ref="E868:F868"/>
    <mergeCell ref="E869:F869"/>
    <mergeCell ref="E870:F870"/>
    <mergeCell ref="E871:F871"/>
    <mergeCell ref="E872:F872"/>
    <mergeCell ref="E873:F873"/>
    <mergeCell ref="E874:F874"/>
    <mergeCell ref="E875:F875"/>
    <mergeCell ref="E876:F876"/>
    <mergeCell ref="E877:F877"/>
    <mergeCell ref="E878:F878"/>
    <mergeCell ref="E879:F879"/>
    <mergeCell ref="E880:F880"/>
    <mergeCell ref="E881:F881"/>
    <mergeCell ref="E882:F882"/>
    <mergeCell ref="E883:F883"/>
    <mergeCell ref="E884:F884"/>
    <mergeCell ref="E885:F885"/>
    <mergeCell ref="E886:F886"/>
    <mergeCell ref="E887:F887"/>
    <mergeCell ref="E888:F888"/>
    <mergeCell ref="E889:F889"/>
    <mergeCell ref="E890:F890"/>
    <mergeCell ref="E891:F891"/>
    <mergeCell ref="E892:F892"/>
    <mergeCell ref="E893:F893"/>
    <mergeCell ref="E894:F894"/>
    <mergeCell ref="E895:F895"/>
    <mergeCell ref="E896:F896"/>
    <mergeCell ref="E897:F897"/>
    <mergeCell ref="E898:F898"/>
    <mergeCell ref="E899:F899"/>
    <mergeCell ref="E900:F900"/>
    <mergeCell ref="E901:F901"/>
    <mergeCell ref="E902:F902"/>
    <mergeCell ref="E903:F903"/>
    <mergeCell ref="E904:F904"/>
    <mergeCell ref="E905:F905"/>
    <mergeCell ref="E906:F906"/>
    <mergeCell ref="E907:F907"/>
    <mergeCell ref="E908:F908"/>
    <mergeCell ref="E909:F909"/>
    <mergeCell ref="E910:F910"/>
    <mergeCell ref="E911:F911"/>
    <mergeCell ref="E912:F912"/>
    <mergeCell ref="E913:F913"/>
    <mergeCell ref="E914:F914"/>
    <mergeCell ref="E915:F915"/>
    <mergeCell ref="E916:F916"/>
    <mergeCell ref="E917:F917"/>
    <mergeCell ref="E918:F918"/>
    <mergeCell ref="E919:F919"/>
    <mergeCell ref="E920:F920"/>
    <mergeCell ref="E921:F921"/>
    <mergeCell ref="E922:F922"/>
    <mergeCell ref="E923:F923"/>
    <mergeCell ref="E924:F924"/>
    <mergeCell ref="E925:F925"/>
    <mergeCell ref="E926:F926"/>
    <mergeCell ref="E927:F927"/>
    <mergeCell ref="E928:F928"/>
    <mergeCell ref="E929:F929"/>
    <mergeCell ref="E930:F930"/>
    <mergeCell ref="E931:F931"/>
    <mergeCell ref="E932:F932"/>
    <mergeCell ref="E933:F933"/>
    <mergeCell ref="E934:F934"/>
    <mergeCell ref="E935:F935"/>
    <mergeCell ref="E936:F936"/>
    <mergeCell ref="E937:F937"/>
    <mergeCell ref="E938:F938"/>
    <mergeCell ref="E939:F939"/>
    <mergeCell ref="E940:F940"/>
    <mergeCell ref="E941:F941"/>
    <mergeCell ref="E942:F942"/>
    <mergeCell ref="E943:F943"/>
    <mergeCell ref="E944:F944"/>
    <mergeCell ref="E945:F945"/>
    <mergeCell ref="E946:F946"/>
    <mergeCell ref="E947:F947"/>
    <mergeCell ref="E948:F948"/>
    <mergeCell ref="E949:F949"/>
    <mergeCell ref="E950:F950"/>
    <mergeCell ref="E951:F951"/>
    <mergeCell ref="E952:F952"/>
    <mergeCell ref="E953:F953"/>
    <mergeCell ref="E954:F954"/>
    <mergeCell ref="E979:F979"/>
    <mergeCell ref="E980:F980"/>
    <mergeCell ref="E981:F981"/>
    <mergeCell ref="E982:F982"/>
    <mergeCell ref="E983:F983"/>
    <mergeCell ref="E984:F984"/>
    <mergeCell ref="E985:F985"/>
    <mergeCell ref="E986:F986"/>
    <mergeCell ref="E987:F987"/>
    <mergeCell ref="E988:F988"/>
    <mergeCell ref="E989:F989"/>
    <mergeCell ref="E956:F956"/>
    <mergeCell ref="E957:F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2:F972"/>
    <mergeCell ref="E5:H5"/>
    <mergeCell ref="D1016:E1016"/>
    <mergeCell ref="E990:F990"/>
    <mergeCell ref="E991:F991"/>
    <mergeCell ref="E992:F992"/>
    <mergeCell ref="E1010:F1010"/>
    <mergeCell ref="E1011:F1011"/>
    <mergeCell ref="E1012:F1012"/>
    <mergeCell ref="E993:F993"/>
    <mergeCell ref="E994:F994"/>
    <mergeCell ref="E995:F995"/>
    <mergeCell ref="E996:F996"/>
    <mergeCell ref="E997:F997"/>
    <mergeCell ref="E998:F998"/>
    <mergeCell ref="E999:F999"/>
    <mergeCell ref="E1000:F1000"/>
    <mergeCell ref="E1001:F1001"/>
    <mergeCell ref="E1002:F1002"/>
    <mergeCell ref="E1003:F1003"/>
    <mergeCell ref="E1004:F1004"/>
    <mergeCell ref="E1005:F1005"/>
    <mergeCell ref="E1006:F1006"/>
    <mergeCell ref="E1007:F1007"/>
    <mergeCell ref="E1008:F1008"/>
    <mergeCell ref="E1009:F1009"/>
    <mergeCell ref="E973:F973"/>
    <mergeCell ref="E974:F974"/>
    <mergeCell ref="E975:F975"/>
    <mergeCell ref="E976:F976"/>
    <mergeCell ref="E977:F977"/>
    <mergeCell ref="E978:F978"/>
    <mergeCell ref="E955:F955"/>
  </mergeCells>
  <conditionalFormatting sqref="C11:E511 H11:L511 N11:N511 C513:E1013 H513:L1013 C1014 K1014:L1014">
    <cfRule type="cellIs" dxfId="132" priority="2" operator="equal">
      <formula>0</formula>
    </cfRule>
  </conditionalFormatting>
  <conditionalFormatting sqref="T1016:T1017">
    <cfRule type="cellIs" dxfId="131" priority="3" operator="equal">
      <formula>0</formula>
    </cfRule>
  </conditionalFormatting>
  <dataValidations count="2">
    <dataValidation allowBlank="1" showErrorMessage="1" promptTitle="Month" prompt="Select the month for the report here and in cell C1" sqref="M8:M9" xr:uid="{00000000-0002-0000-0300-000000000000}">
      <formula1>0</formula1>
      <formula2>0</formula2>
    </dataValidation>
    <dataValidation type="date" operator="greaterThan" allowBlank="1" showInputMessage="1" showErrorMessage="1" sqref="E3 G3:H3" xr:uid="{00000000-0002-0000-0300-000001000000}">
      <formula1>42917</formula1>
      <formula2>0</formula2>
    </dataValidation>
  </dataValidations>
  <printOptions horizontalCentered="1"/>
  <pageMargins left="0.74791666666666701" right="0.27569444444444402" top="0.41944444444444401" bottom="0.34" header="0.109722222222222" footer="0.13"/>
  <pageSetup scale="57" fitToHeight="0" orientation="portrait" horizontalDpi="300" verticalDpi="300" r:id="rId1"/>
  <headerFooter>
    <oddHeader>&amp;C&amp;16</oddHeader>
    <oddFooter>&amp;L&amp;D&amp;R&amp;P/&amp;N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249977111117893"/>
    <pageSetUpPr fitToPage="1"/>
  </sheetPr>
  <dimension ref="B1:BM604"/>
  <sheetViews>
    <sheetView showGridLines="0" showZeros="0" zoomScale="85" zoomScaleNormal="85" workbookViewId="0">
      <pane ySplit="5" topLeftCell="A10" activePane="bottomLeft" state="frozen"/>
      <selection pane="bottomLeft" activeCell="N10" sqref="N10"/>
    </sheetView>
  </sheetViews>
  <sheetFormatPr baseColWidth="10" defaultColWidth="11.5" defaultRowHeight="13" x14ac:dyDescent="0.15"/>
  <cols>
    <col min="1" max="1" width="3.33203125" customWidth="1"/>
    <col min="2" max="2" width="3" customWidth="1"/>
    <col min="3" max="3" width="25.83203125" customWidth="1"/>
    <col min="4" max="4" width="19" customWidth="1"/>
    <col min="5" max="5" width="12.5" customWidth="1"/>
    <col min="6" max="6" width="15.6640625" customWidth="1"/>
    <col min="7" max="7" width="17.6640625" customWidth="1"/>
    <col min="8" max="8" width="3" customWidth="1"/>
    <col min="9" max="9" width="25.5" customWidth="1"/>
    <col min="10" max="10" width="15" customWidth="1"/>
    <col min="11" max="11" width="15.5" customWidth="1"/>
    <col min="12" max="12" width="6.6640625" hidden="1" customWidth="1"/>
    <col min="13" max="13" width="15.6640625" customWidth="1"/>
    <col min="14" max="14" width="21.5" customWidth="1"/>
    <col min="15" max="15" width="3" customWidth="1"/>
    <col min="16" max="16" width="1.5" style="187" customWidth="1"/>
    <col min="17" max="17" width="19.6640625" style="187" customWidth="1"/>
    <col min="18" max="18" width="24.33203125" style="187" customWidth="1"/>
    <col min="19" max="19" width="15.6640625" style="187" customWidth="1"/>
    <col min="20" max="20" width="19.83203125" style="187" customWidth="1"/>
    <col min="21" max="21" width="15.83203125" style="187" customWidth="1"/>
    <col min="22" max="22" width="15.6640625" style="1103" customWidth="1"/>
    <col min="23" max="40" width="15.6640625" style="187" customWidth="1"/>
    <col min="41" max="62" width="15.83203125" style="187" customWidth="1"/>
    <col min="63" max="65" width="15.83203125" customWidth="1"/>
    <col min="66" max="66" width="9.1640625" customWidth="1"/>
    <col min="67" max="67" width="8.33203125" customWidth="1"/>
    <col min="68" max="257" width="9.1640625" customWidth="1"/>
  </cols>
  <sheetData>
    <row r="1" spans="2:62" ht="33.75" customHeight="1" x14ac:dyDescent="0.25">
      <c r="C1" s="1515" t="str">
        <f>IF(Q2=2,"Réconciliation des comptes","Accounts Reconciliation")</f>
        <v>Accounts Reconciliation</v>
      </c>
      <c r="D1" s="1515"/>
      <c r="E1" s="1515"/>
      <c r="F1" s="1515"/>
      <c r="G1" s="1515"/>
      <c r="H1" s="1515"/>
      <c r="I1" s="1515"/>
      <c r="J1" s="1515"/>
      <c r="K1" s="1515"/>
      <c r="L1" s="1515"/>
      <c r="M1" s="1515"/>
      <c r="N1" s="1515"/>
      <c r="O1" s="600"/>
    </row>
    <row r="2" spans="2:62" ht="33.75" customHeight="1" x14ac:dyDescent="0.15">
      <c r="C2" s="1568" t="str">
        <f>'Set up ~ Config'!B3</f>
        <v xml:space="preserve">Fiscal Year  - </v>
      </c>
      <c r="D2" s="1568"/>
      <c r="E2" s="1568"/>
      <c r="F2" s="1568"/>
      <c r="G2" s="1568"/>
      <c r="H2" s="1568"/>
      <c r="I2" s="1568"/>
      <c r="J2" s="1568"/>
      <c r="K2" s="1568"/>
      <c r="L2" s="1568"/>
      <c r="M2" s="1568"/>
      <c r="N2" s="1568"/>
      <c r="O2" s="601"/>
      <c r="P2" s="1105"/>
      <c r="Q2" s="1106">
        <f>'Set up ~ Config'!L10</f>
        <v>1</v>
      </c>
      <c r="R2" s="1105"/>
      <c r="S2" s="1105"/>
    </row>
    <row r="3" spans="2:62" s="1" customFormat="1" ht="21.75" customHeight="1" x14ac:dyDescent="0.15">
      <c r="B3" s="1107"/>
      <c r="C3" s="1570" t="str">
        <f>'Set up ~ Config'!B2</f>
        <v xml:space="preserve">SSC </v>
      </c>
      <c r="D3" s="1570"/>
      <c r="E3" s="1570"/>
      <c r="F3" s="1570"/>
      <c r="G3" s="1570"/>
      <c r="H3" s="1570"/>
      <c r="I3" s="1570"/>
      <c r="J3" s="1570"/>
      <c r="K3" s="1570"/>
      <c r="L3" s="1570"/>
      <c r="M3" s="1570"/>
      <c r="N3" s="1570"/>
      <c r="O3" s="1107"/>
      <c r="Q3" s="1108"/>
      <c r="R3" s="12"/>
      <c r="S3" s="12"/>
      <c r="T3" s="12"/>
      <c r="U3" s="12"/>
      <c r="V3" s="19"/>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row>
    <row r="4" spans="2:62" s="1" customFormat="1" ht="3" customHeight="1" x14ac:dyDescent="0.15">
      <c r="C4" s="1529"/>
      <c r="D4" s="1529"/>
      <c r="E4" s="1529"/>
      <c r="F4" s="1529"/>
      <c r="G4" s="1529"/>
      <c r="H4" s="1529"/>
      <c r="I4" s="1529"/>
      <c r="J4" s="1529"/>
      <c r="K4" s="1529"/>
      <c r="L4" s="1529"/>
      <c r="M4" s="1529"/>
      <c r="N4" s="1529"/>
      <c r="O4" s="1109"/>
      <c r="P4" s="1104"/>
      <c r="R4" s="12"/>
      <c r="S4" s="12"/>
      <c r="T4" s="1110"/>
      <c r="U4" s="12"/>
      <c r="V4" s="19"/>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row>
    <row r="5" spans="2:62" s="1" customFormat="1" ht="19.5" customHeight="1" x14ac:dyDescent="0.15">
      <c r="C5" s="1529">
        <f>J23</f>
        <v>0</v>
      </c>
      <c r="D5" s="1529"/>
      <c r="E5" s="1529"/>
      <c r="F5" s="1529"/>
      <c r="G5" s="1529"/>
      <c r="H5" s="1529"/>
      <c r="I5" s="1529"/>
      <c r="J5" s="1529"/>
      <c r="K5" s="1529"/>
      <c r="L5" s="1529"/>
      <c r="M5" s="1529"/>
      <c r="N5" s="1529"/>
      <c r="O5" s="1109"/>
      <c r="P5" s="1104"/>
      <c r="R5" s="12"/>
      <c r="S5" s="12"/>
      <c r="T5" s="12"/>
      <c r="U5" s="12"/>
      <c r="V5" s="19"/>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row>
    <row r="6" spans="2:62" s="1" customFormat="1" ht="19.5" customHeight="1" x14ac:dyDescent="0.15">
      <c r="C6" s="1530"/>
      <c r="D6" s="1530"/>
      <c r="E6" s="1530"/>
      <c r="F6" s="1530"/>
      <c r="G6" s="1530"/>
      <c r="H6" s="1530"/>
      <c r="I6" s="1530"/>
      <c r="J6" s="1530"/>
      <c r="K6" s="1530"/>
      <c r="L6" s="1530"/>
      <c r="M6" s="1530"/>
      <c r="N6" s="1530"/>
      <c r="O6" s="1109"/>
      <c r="P6" s="1104"/>
      <c r="R6" s="12"/>
      <c r="S6" s="12"/>
      <c r="T6" s="12"/>
      <c r="U6" s="12"/>
      <c r="V6" s="19"/>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row>
    <row r="7" spans="2:62" s="1" customFormat="1" ht="40.5" customHeight="1" x14ac:dyDescent="0.15">
      <c r="D7" s="1531" t="str">
        <f>IF($Q$2=2,"Réconciliation détaillée du compte "&amp;F9&amp;" - "&amp;C9,"Detailed Reconciliation of the Account "&amp;F9&amp;" - "&amp;C9)</f>
        <v>Detailed Reconciliation of the Account 1010 - Other Cash in hand</v>
      </c>
      <c r="E7" s="1531"/>
      <c r="F7" s="1531"/>
      <c r="G7" s="1531"/>
      <c r="H7" s="1531"/>
      <c r="I7" s="1531"/>
      <c r="J7" s="1531"/>
      <c r="K7" s="1531"/>
      <c r="L7" s="1531"/>
      <c r="M7" s="1531"/>
      <c r="N7" s="1111"/>
      <c r="P7" s="12"/>
      <c r="R7" s="12"/>
      <c r="S7" s="12"/>
      <c r="T7" s="12"/>
      <c r="U7" s="12"/>
      <c r="V7" s="19"/>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row>
    <row r="8" spans="2:62" s="1" customFormat="1" ht="29.25" customHeight="1" x14ac:dyDescent="0.15">
      <c r="C8" s="1523" t="str">
        <f>IF($Q$2=2,"Réconciliation selon les livres comptables","Reconciliation as per BookKeeping")</f>
        <v>Reconciliation as per BookKeeping</v>
      </c>
      <c r="D8" s="1523"/>
      <c r="E8" s="1523"/>
      <c r="F8" s="1523"/>
      <c r="G8" s="1523"/>
      <c r="I8" s="1523" t="str">
        <f>IF($Q$2=2,"Réconciliation selon le décompte","Reconciliation as per counting")</f>
        <v>Reconciliation as per counting</v>
      </c>
      <c r="J8" s="1523"/>
      <c r="K8" s="1523"/>
      <c r="L8" s="1523"/>
      <c r="M8" s="1523"/>
      <c r="N8" s="1112" t="str">
        <f>F9</f>
        <v>1010</v>
      </c>
      <c r="P8" s="188"/>
      <c r="R8" s="188"/>
      <c r="S8" s="188"/>
      <c r="T8" s="12"/>
      <c r="U8" s="188"/>
      <c r="V8" s="502"/>
      <c r="W8" s="188"/>
      <c r="X8" s="188"/>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row>
    <row r="9" spans="2:62" s="1" customFormat="1" ht="25.5" customHeight="1" thickBot="1" x14ac:dyDescent="0.2">
      <c r="C9" s="1569" t="str">
        <f>'Set up ~ Config'!G45</f>
        <v>Other Cash in hand</v>
      </c>
      <c r="D9" s="1569"/>
      <c r="E9" s="1569"/>
      <c r="F9" s="1113" t="str">
        <f>LEFT('Set up ~ Config'!F45,4)</f>
        <v>1010</v>
      </c>
      <c r="G9" s="82"/>
      <c r="I9" s="1534"/>
      <c r="J9" s="1534"/>
      <c r="K9" s="1534"/>
      <c r="L9" s="1534"/>
      <c r="M9" s="1534"/>
      <c r="N9" s="1534"/>
      <c r="P9" s="12"/>
      <c r="R9" s="12"/>
      <c r="S9" s="12"/>
      <c r="T9" s="12"/>
      <c r="U9" s="12"/>
      <c r="V9" s="19"/>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row>
    <row r="10" spans="2:62" s="1" customFormat="1" ht="25.5" customHeight="1" thickTop="1" thickBot="1" x14ac:dyDescent="0.2">
      <c r="C10" s="1535" t="str">
        <f>IF($Q$2=2,"Solde du compte au ","Account Balance on ")</f>
        <v xml:space="preserve">Account Balance on </v>
      </c>
      <c r="D10" s="1535"/>
      <c r="E10" s="1535"/>
      <c r="F10" s="1114" t="e">
        <f>DATEVALUE('Set up ~ Config'!$L$5)</f>
        <v>#VALUE!</v>
      </c>
      <c r="G10" s="1115">
        <f>'Set up ~ Config'!D45</f>
        <v>0</v>
      </c>
      <c r="I10" s="1116" t="str">
        <f>IF($Q$2=2,"Date (aaaa-mm-jj):","Date (yyyy-mm-dd):")</f>
        <v>Date (yyyy-mm-dd):</v>
      </c>
      <c r="J10" s="957"/>
      <c r="K10" s="1536" t="str">
        <f>IF($Q$2=2,"Solde en main :","Balance in hand :")</f>
        <v>Balance in hand :</v>
      </c>
      <c r="L10" s="1537"/>
      <c r="M10" s="1538"/>
      <c r="N10" s="941"/>
      <c r="P10" s="12"/>
      <c r="Q10" s="1540"/>
      <c r="R10" s="1540"/>
      <c r="S10" s="1540"/>
      <c r="T10" s="602"/>
      <c r="U10" s="1117"/>
      <c r="V10" s="19"/>
      <c r="W10" s="603"/>
      <c r="X10" s="603"/>
      <c r="Y10" s="603"/>
      <c r="Z10" s="19"/>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row>
    <row r="11" spans="2:62" s="1" customFormat="1" ht="25.5" customHeight="1" thickTop="1" x14ac:dyDescent="0.15">
      <c r="C11" s="1539" t="str">
        <f>IF($Q$2=2,"Plus: Accroissements (Jrnl des revenus)","Plus: Increases (Revenue Jrnl)")</f>
        <v>Plus: Increases (Revenue Jrnl)</v>
      </c>
      <c r="D11" s="1539"/>
      <c r="E11" s="1539"/>
      <c r="F11" s="1539"/>
      <c r="G11" s="1115">
        <f>'Jrnl Rev'!G523</f>
        <v>0</v>
      </c>
      <c r="H11" s="1118"/>
      <c r="P11" s="12"/>
      <c r="Q11" s="12"/>
      <c r="R11" s="12"/>
      <c r="S11" s="12"/>
      <c r="T11" s="12"/>
      <c r="U11" s="12"/>
      <c r="V11" s="19"/>
      <c r="W11" s="603"/>
      <c r="X11" s="603"/>
      <c r="Y11" s="603"/>
      <c r="Z11" s="19"/>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row>
    <row r="12" spans="2:62" s="1" customFormat="1" ht="25.5" customHeight="1" x14ac:dyDescent="0.15">
      <c r="C12" s="1539" t="str">
        <f>IF($Q$2=2," Moins: Décroissements (Jrnl des dépenses)","Less: Decreases (Expense Jrnl)")</f>
        <v>Less: Decreases (Expense Jrnl)</v>
      </c>
      <c r="D12" s="1539"/>
      <c r="E12" s="1539"/>
      <c r="F12" s="1539"/>
      <c r="G12" s="1115">
        <f>'Jrnl Exp ~ Dép'!G523</f>
        <v>0</v>
      </c>
      <c r="I12" s="188"/>
      <c r="J12" s="188"/>
      <c r="K12" s="188"/>
      <c r="L12" s="188"/>
      <c r="M12" s="188"/>
      <c r="N12" s="1119"/>
      <c r="P12" s="12"/>
      <c r="Q12" s="12"/>
      <c r="R12" s="12"/>
      <c r="S12" s="12"/>
      <c r="T12" s="604"/>
      <c r="U12" s="12"/>
      <c r="V12" s="19"/>
      <c r="W12" s="603"/>
      <c r="X12" s="603"/>
      <c r="Y12" s="603"/>
      <c r="Z12" s="19"/>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row>
    <row r="13" spans="2:62" s="1" customFormat="1" ht="25.5" customHeight="1" x14ac:dyDescent="0.15">
      <c r="C13" s="1533"/>
      <c r="D13" s="1533"/>
      <c r="E13" s="1533"/>
      <c r="F13" s="1533"/>
      <c r="H13" s="1118"/>
      <c r="P13" s="12"/>
      <c r="Q13" s="12"/>
      <c r="R13" s="12"/>
      <c r="S13" s="12"/>
      <c r="T13" s="12"/>
      <c r="U13" s="12"/>
      <c r="V13" s="19"/>
      <c r="W13" s="603"/>
      <c r="X13" s="603"/>
      <c r="Y13" s="603"/>
      <c r="Z13" s="19"/>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row>
    <row r="14" spans="2:62" s="1" customFormat="1" ht="25.5" customHeight="1" x14ac:dyDescent="0.15">
      <c r="C14" s="1524" t="str">
        <f>IF($Q$2=2,F9&amp;" Fonds disponible du compte",F9&amp;" Account Available Funds")</f>
        <v>1010 Account Available Funds</v>
      </c>
      <c r="D14" s="1524"/>
      <c r="E14" s="1524"/>
      <c r="F14" s="1524"/>
      <c r="G14" s="1120"/>
      <c r="I14" s="18"/>
      <c r="J14" s="12"/>
      <c r="K14" s="12"/>
      <c r="L14" s="12"/>
      <c r="M14" s="12"/>
      <c r="N14" s="1121"/>
      <c r="P14" s="12"/>
      <c r="Q14" s="12"/>
      <c r="R14" s="12"/>
      <c r="S14" s="12"/>
      <c r="T14" s="12"/>
      <c r="U14" s="12"/>
      <c r="V14" s="19"/>
      <c r="W14" s="603"/>
      <c r="X14" s="603"/>
      <c r="Y14" s="603"/>
      <c r="Z14" s="19"/>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row>
    <row r="15" spans="2:62" s="1" customFormat="1" ht="25.5" customHeight="1" x14ac:dyDescent="0.15">
      <c r="C15" s="1525" t="str">
        <f>IF($Q$2=2,"Solde reporté à la ligne "&amp;F9&amp;" du Bilan - page 7","This balance fwrd'd to line "&amp;F9&amp;" of Balance Sheet -  page 7")</f>
        <v>This balance fwrd'd to line 1010 of Balance Sheet -  page 7</v>
      </c>
      <c r="D15" s="1525"/>
      <c r="E15" s="1525"/>
      <c r="F15" s="1525"/>
      <c r="G15" s="1122">
        <f>IF(AND(SUM(G10+G11-G12)&lt;0.001,SUM(G10+G11-G12)&gt;-0.001),0,SUM(G10+G11-G12))</f>
        <v>0</v>
      </c>
      <c r="H15" s="605"/>
      <c r="J15" s="82"/>
      <c r="K15" s="82"/>
      <c r="L15" s="82"/>
      <c r="M15" s="1123"/>
      <c r="N15" s="1122">
        <f>N10</f>
        <v>0</v>
      </c>
      <c r="P15" s="12"/>
      <c r="Q15" s="12"/>
      <c r="R15" s="12"/>
      <c r="S15" s="12"/>
      <c r="T15" s="12"/>
      <c r="U15" s="12"/>
      <c r="V15" s="19"/>
      <c r="W15" s="603"/>
      <c r="X15" s="603"/>
      <c r="Y15" s="603"/>
      <c r="Z15" s="19"/>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row>
    <row r="16" spans="2:62" s="1" customFormat="1" ht="9.75" customHeight="1" thickBot="1" x14ac:dyDescent="0.2">
      <c r="F16" s="189"/>
      <c r="J16" s="1118"/>
      <c r="M16" s="1124"/>
      <c r="P16" s="12"/>
      <c r="Q16" s="12"/>
      <c r="R16" s="12"/>
      <c r="S16" s="12"/>
      <c r="T16" s="12"/>
      <c r="U16" s="12"/>
      <c r="V16" s="19"/>
      <c r="W16" s="603"/>
      <c r="X16" s="603"/>
      <c r="Y16" s="603"/>
      <c r="Z16" s="19"/>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row>
    <row r="17" spans="3:62" s="1" customFormat="1" ht="44.25" customHeight="1" thickBot="1" x14ac:dyDescent="0.2">
      <c r="C17" s="1526"/>
      <c r="D17" s="1526"/>
      <c r="E17" s="1526"/>
      <c r="F17" s="1526"/>
      <c r="G17" s="1125">
        <f>IF(AND(G15-N15&lt;0.001,G15-N15&gt;-0.001),0,G15-N15)</f>
        <v>0</v>
      </c>
      <c r="H17" s="1528">
        <f>IF($Q$2=2,IF(G17=0,$T$8,$T$5),IF(G17=0,$T$9,$T$7))</f>
        <v>0</v>
      </c>
      <c r="I17" s="1528"/>
      <c r="J17" s="1528"/>
      <c r="K17" s="1528"/>
      <c r="L17" s="1528"/>
      <c r="M17" s="1528"/>
      <c r="N17" s="1528"/>
      <c r="P17" s="12"/>
      <c r="Q17" s="12"/>
      <c r="R17" s="12"/>
      <c r="S17" s="12"/>
      <c r="T17" s="12"/>
      <c r="U17" s="12"/>
      <c r="V17" s="19"/>
      <c r="W17" s="603"/>
      <c r="X17" s="603"/>
      <c r="Y17" s="603"/>
      <c r="Z17" s="19"/>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row>
    <row r="18" spans="3:62" s="1" customFormat="1" ht="15" customHeight="1" x14ac:dyDescent="0.15">
      <c r="C18" s="1571"/>
      <c r="D18" s="1571"/>
      <c r="E18" s="1571"/>
      <c r="F18" s="1571"/>
      <c r="G18" s="1571"/>
      <c r="H18" s="1571"/>
      <c r="I18" s="1571"/>
      <c r="J18" s="1571"/>
      <c r="K18" s="1571"/>
      <c r="L18" s="1571"/>
      <c r="M18" s="1571"/>
      <c r="N18" s="1571"/>
      <c r="P18" s="12"/>
      <c r="Q18" s="604"/>
      <c r="R18" s="12"/>
      <c r="S18" s="12"/>
      <c r="T18" s="12"/>
      <c r="U18" s="12"/>
      <c r="V18" s="19"/>
      <c r="W18" s="603"/>
      <c r="X18" s="603"/>
      <c r="Y18" s="603"/>
      <c r="Z18" s="19"/>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row>
    <row r="19" spans="3:62" s="1" customFormat="1" ht="18.75" customHeight="1" x14ac:dyDescent="0.15">
      <c r="C19" s="1530"/>
      <c r="D19" s="1530"/>
      <c r="E19" s="1530"/>
      <c r="F19" s="1530"/>
      <c r="G19" s="1530"/>
      <c r="H19" s="1530"/>
      <c r="I19" s="1530"/>
      <c r="J19" s="1530"/>
      <c r="K19" s="1530"/>
      <c r="L19" s="1530"/>
      <c r="M19" s="1530"/>
      <c r="N19" s="1530"/>
      <c r="O19" s="1109"/>
      <c r="P19" s="1104"/>
      <c r="Q19" s="12"/>
      <c r="R19" s="12"/>
      <c r="S19" s="12"/>
      <c r="T19" s="12"/>
      <c r="U19" s="12"/>
      <c r="V19" s="19"/>
      <c r="W19" s="603"/>
      <c r="X19" s="603"/>
      <c r="Y19" s="603"/>
      <c r="Z19" s="19"/>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row>
    <row r="20" spans="3:62" s="1" customFormat="1" ht="40.5" customHeight="1" x14ac:dyDescent="0.15">
      <c r="D20" s="1531" t="str">
        <f>IF($Q$2=2,"Réconciliation détaillée du compte "&amp;F22&amp;" - "&amp;C22,"Detailed Reconciliation of the Account "&amp;F22&amp;" - "&amp;C22)</f>
        <v>Detailed Reconciliation of the Account 1015 - Main Bank Account</v>
      </c>
      <c r="E20" s="1531"/>
      <c r="F20" s="1531"/>
      <c r="G20" s="1531"/>
      <c r="H20" s="1531"/>
      <c r="I20" s="1531"/>
      <c r="J20" s="1531"/>
      <c r="K20" s="1531"/>
      <c r="L20" s="1531"/>
      <c r="M20" s="1531"/>
      <c r="N20" s="1111"/>
      <c r="P20" s="12"/>
      <c r="R20" s="12"/>
      <c r="S20" s="12"/>
      <c r="U20" s="12"/>
      <c r="V20" s="19"/>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row>
    <row r="21" spans="3:62" s="1" customFormat="1" ht="29.25" customHeight="1" x14ac:dyDescent="0.15">
      <c r="C21" s="1523" t="str">
        <f>IF($Q$2=2,"Réconciliation selon les livres comptables","Reconciliation as per BookKeeping")</f>
        <v>Reconciliation as per BookKeeping</v>
      </c>
      <c r="D21" s="1523"/>
      <c r="E21" s="1523"/>
      <c r="F21" s="1523"/>
      <c r="G21" s="1523"/>
      <c r="I21" s="1523" t="str">
        <f>IF($Q$2=2,"Réconciliation selon l'état de compte","Reconciliation as per Account Statement")</f>
        <v>Reconciliation as per Account Statement</v>
      </c>
      <c r="J21" s="1523"/>
      <c r="K21" s="1523"/>
      <c r="L21" s="1523"/>
      <c r="M21" s="1523"/>
      <c r="N21" s="1112" t="str">
        <f>F22</f>
        <v>1015</v>
      </c>
      <c r="P21" s="188"/>
      <c r="Q21" s="188"/>
      <c r="R21" s="188"/>
      <c r="S21" s="188"/>
      <c r="T21" s="188"/>
      <c r="U21" s="188"/>
      <c r="V21" s="502"/>
      <c r="W21" s="188"/>
      <c r="X21" s="188"/>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row>
    <row r="22" spans="3:62" s="1" customFormat="1" ht="25.5" customHeight="1" x14ac:dyDescent="0.15">
      <c r="C22" s="1532" t="str">
        <f>'Set up ~ Config'!G46</f>
        <v>Main Bank Account</v>
      </c>
      <c r="D22" s="1532"/>
      <c r="E22" s="1532"/>
      <c r="F22" s="1113" t="str">
        <f>LEFT('Set up ~ Config'!F46,4)</f>
        <v>1015</v>
      </c>
      <c r="G22" s="82"/>
      <c r="I22" s="1534"/>
      <c r="J22" s="1534"/>
      <c r="K22" s="1534"/>
      <c r="L22" s="1534"/>
      <c r="M22" s="1534"/>
      <c r="N22" s="1534"/>
      <c r="P22" s="12"/>
      <c r="Q22" s="12"/>
      <c r="R22" s="12"/>
      <c r="S22" s="12"/>
      <c r="T22" s="12"/>
      <c r="U22" s="12"/>
      <c r="V22" s="19"/>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row>
    <row r="23" spans="3:62" s="1" customFormat="1" ht="25.5" customHeight="1" thickTop="1" thickBot="1" x14ac:dyDescent="0.2">
      <c r="C23" s="1535" t="str">
        <f>IF($Q$2=2,"Solde du compte au ","Account Balance on ")</f>
        <v xml:space="preserve">Account Balance on </v>
      </c>
      <c r="D23" s="1535"/>
      <c r="E23" s="1535"/>
      <c r="F23" s="1114" t="e">
        <f>DATEVALUE('Set up ~ Config'!$L$5)</f>
        <v>#VALUE!</v>
      </c>
      <c r="G23" s="1115">
        <f>'Set up ~ Config'!D46</f>
        <v>0</v>
      </c>
      <c r="I23" s="1116" t="str">
        <f>IF($Q$2=2,"Date (aaaa-mm-jj):","Date (yyyy-mm-dd):")</f>
        <v>Date (yyyy-mm-dd):</v>
      </c>
      <c r="J23" s="957"/>
      <c r="K23" s="1538" t="str">
        <f>IF($Q$2=2,"Solde au compte :","Statement Balance :")</f>
        <v>Statement Balance :</v>
      </c>
      <c r="L23" s="1538"/>
      <c r="M23" s="1538"/>
      <c r="N23" s="942"/>
      <c r="P23" s="12"/>
      <c r="Q23" s="1540"/>
      <c r="R23" s="1540"/>
      <c r="S23" s="1540"/>
      <c r="T23" s="12"/>
      <c r="U23" s="1117"/>
      <c r="V23" s="19"/>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row>
    <row r="24" spans="3:62" s="1" customFormat="1" ht="25.5" customHeight="1" thickTop="1" thickBot="1" x14ac:dyDescent="0.2">
      <c r="C24" s="1539" t="str">
        <f>IF($Q$2=2,"Plus: Dépôts (Jrnl des revenus)","Plus: Deposits (Revenue Jrnl)")</f>
        <v>Plus: Deposits (Revenue Jrnl)</v>
      </c>
      <c r="D24" s="1539"/>
      <c r="E24" s="1539"/>
      <c r="F24" s="1539"/>
      <c r="G24" s="1115">
        <f>'Jrnl Rev'!G524</f>
        <v>0</v>
      </c>
      <c r="H24" s="1118"/>
      <c r="I24" s="1554"/>
      <c r="J24" s="1555"/>
      <c r="K24" s="1555"/>
      <c r="L24" s="1555"/>
      <c r="M24" s="1555"/>
      <c r="N24" s="1556"/>
      <c r="P24" s="12"/>
      <c r="Q24" s="12"/>
      <c r="R24" s="12"/>
      <c r="S24" s="12"/>
      <c r="T24" s="12"/>
      <c r="U24" s="12"/>
      <c r="V24" s="19"/>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row>
    <row r="25" spans="3:62" s="1" customFormat="1" ht="25.5" customHeight="1" thickBot="1" x14ac:dyDescent="0.2">
      <c r="C25" s="1539" t="str">
        <f>IF($Q$2=2," Moins: Chèques (Jrnl des dépenses)","Less: Cheques (Expense Jrnl)")</f>
        <v>Less: Cheques (Expense Jrnl)</v>
      </c>
      <c r="D25" s="1539"/>
      <c r="E25" s="1539"/>
      <c r="F25" s="1539"/>
      <c r="G25" s="1115">
        <f>'Jrnl Exp ~ Dép'!G524</f>
        <v>0</v>
      </c>
      <c r="I25" s="1557" t="str">
        <f>IF($Q$2=2,"Moins: chèques émis mais non encore encaissés","Less: Cheques Issued but not processed by bank")</f>
        <v>Less: Cheques Issued but not processed by bank</v>
      </c>
      <c r="J25" s="1558"/>
      <c r="K25" s="1558"/>
      <c r="L25" s="1558"/>
      <c r="M25" s="1559"/>
      <c r="N25" s="1126">
        <f>'Jrnl Exp ~ Dép'!H524</f>
        <v>0</v>
      </c>
      <c r="P25" s="12"/>
      <c r="Q25" s="12"/>
      <c r="R25" s="12"/>
      <c r="S25" s="12"/>
      <c r="T25" s="12"/>
      <c r="U25" s="12"/>
      <c r="V25" s="19"/>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row>
    <row r="26" spans="3:62" s="1" customFormat="1" ht="25.5" customHeight="1" thickBot="1" x14ac:dyDescent="0.2">
      <c r="C26" s="1560"/>
      <c r="D26" s="1560"/>
      <c r="E26" s="1560"/>
      <c r="F26" s="1560"/>
      <c r="H26" s="1118"/>
      <c r="I26" s="1564"/>
      <c r="J26" s="1564"/>
      <c r="K26" s="1564"/>
      <c r="L26" s="1564"/>
      <c r="M26" s="1564"/>
      <c r="N26" s="1564"/>
      <c r="P26" s="12"/>
      <c r="Q26" s="12"/>
      <c r="V26" s="26"/>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row>
    <row r="27" spans="3:62" s="1" customFormat="1" ht="25.5" customHeight="1" thickBot="1" x14ac:dyDescent="0.2">
      <c r="C27" s="1565" t="str">
        <f>IF($Q$2=2,"Les chèques de l'année précédente (non traités dans l'année précédente)","Previous Year's Cheques (not processed in prev year)")</f>
        <v>Previous Year's Cheques (not processed in prev year)</v>
      </c>
      <c r="D27" s="1566"/>
      <c r="E27" s="1566"/>
      <c r="F27" s="1566"/>
      <c r="G27" s="1567"/>
      <c r="I27" s="1545" t="str">
        <f>IF($Q$2=2,"Solde disponible actuel du compte (reconcilié)","Actual Account balance available (reconciled)")</f>
        <v>Actual Account balance available (reconciled)</v>
      </c>
      <c r="J27" s="1545"/>
      <c r="K27" s="1545"/>
      <c r="L27" s="1545"/>
      <c r="M27" s="1545"/>
      <c r="N27" s="1122">
        <f>N23-N25</f>
        <v>0</v>
      </c>
      <c r="P27" s="12"/>
      <c r="Q27" s="12"/>
      <c r="R27" s="12"/>
      <c r="S27" s="12"/>
      <c r="T27" s="12"/>
      <c r="U27" s="12"/>
      <c r="V27" s="19"/>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row>
    <row r="28" spans="3:62" s="1" customFormat="1" ht="25.5" customHeight="1" x14ac:dyDescent="0.15">
      <c r="C28" s="1127" t="str">
        <f>IF($Q$2=2,"Chèque #","Cheque #")</f>
        <v>Cheque #</v>
      </c>
      <c r="D28" s="1561" t="str">
        <f>IF($Q$2=2,"À l'ordre de","Payable to")</f>
        <v>Payable to</v>
      </c>
      <c r="E28" s="1562"/>
      <c r="F28" s="1563"/>
      <c r="G28" s="1128" t="str">
        <f>IF($Q$2=2,"Montant","Amount")</f>
        <v>Amount</v>
      </c>
      <c r="P28" s="12"/>
      <c r="Q28" s="12"/>
      <c r="R28" s="12"/>
      <c r="S28" s="12"/>
      <c r="T28" s="12"/>
      <c r="U28" s="12"/>
      <c r="V28" s="19"/>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row>
    <row r="29" spans="3:62" s="1" customFormat="1" ht="25.5" customHeight="1" x14ac:dyDescent="0.15">
      <c r="C29" s="1129">
        <f>'Set up ~ Config'!C109</f>
        <v>0</v>
      </c>
      <c r="D29" s="1542">
        <f>'Set up ~ Config'!D109</f>
        <v>0</v>
      </c>
      <c r="E29" s="1543"/>
      <c r="F29" s="1544"/>
      <c r="G29" s="190">
        <f>'Set up ~ Config'!G109</f>
        <v>0</v>
      </c>
      <c r="P29" s="12"/>
      <c r="Q29" s="12"/>
      <c r="R29" s="12"/>
      <c r="S29" s="12"/>
      <c r="T29" s="12"/>
      <c r="U29" s="12"/>
      <c r="V29" s="19"/>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row>
    <row r="30" spans="3:62" s="1" customFormat="1" ht="25.5" customHeight="1" x14ac:dyDescent="0.15">
      <c r="C30" s="1129">
        <f>'Set up ~ Config'!C110</f>
        <v>0</v>
      </c>
      <c r="D30" s="1542">
        <f>'Set up ~ Config'!D110</f>
        <v>0</v>
      </c>
      <c r="E30" s="1543"/>
      <c r="F30" s="1544"/>
      <c r="G30" s="190">
        <f>'Set up ~ Config'!G110</f>
        <v>0</v>
      </c>
      <c r="I30" s="4"/>
      <c r="J30" s="4"/>
      <c r="K30" s="4"/>
      <c r="L30" s="4"/>
      <c r="M30" s="4"/>
      <c r="N30" s="1130"/>
      <c r="P30" s="12"/>
      <c r="Q30" s="12"/>
      <c r="R30" s="12"/>
      <c r="S30" s="12"/>
      <c r="T30" s="12"/>
      <c r="U30" s="12"/>
      <c r="V30" s="19"/>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row>
    <row r="31" spans="3:62" s="1" customFormat="1" ht="25.5" customHeight="1" x14ac:dyDescent="0.15">
      <c r="C31" s="1129">
        <f>'Set up ~ Config'!C111</f>
        <v>0</v>
      </c>
      <c r="D31" s="1542">
        <f>'Set up ~ Config'!D111</f>
        <v>0</v>
      </c>
      <c r="E31" s="1543"/>
      <c r="F31" s="1544"/>
      <c r="G31" s="190">
        <f>'Set up ~ Config'!G111</f>
        <v>0</v>
      </c>
      <c r="I31" s="4"/>
      <c r="J31" s="4"/>
      <c r="K31" s="4"/>
      <c r="L31" s="4"/>
      <c r="M31" s="4"/>
      <c r="N31" s="1130"/>
      <c r="P31" s="12"/>
      <c r="Q31" s="12"/>
      <c r="R31" s="12"/>
      <c r="S31" s="12"/>
      <c r="T31" s="12"/>
      <c r="U31" s="12"/>
      <c r="V31" s="19"/>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row>
    <row r="32" spans="3:62" s="1" customFormat="1" ht="25.5" customHeight="1" x14ac:dyDescent="0.15">
      <c r="C32" s="1129">
        <f>'Set up ~ Config'!C112</f>
        <v>0</v>
      </c>
      <c r="D32" s="1542">
        <f>'Set up ~ Config'!D112</f>
        <v>0</v>
      </c>
      <c r="E32" s="1543"/>
      <c r="F32" s="1544"/>
      <c r="G32" s="190">
        <f>'Set up ~ Config'!G112</f>
        <v>0</v>
      </c>
      <c r="I32" s="4"/>
      <c r="J32" s="4"/>
      <c r="K32" s="4"/>
      <c r="L32" s="4"/>
      <c r="M32" s="4"/>
      <c r="N32" s="1130"/>
      <c r="P32" s="12"/>
      <c r="Q32" s="12"/>
      <c r="R32" s="12"/>
      <c r="S32" s="12"/>
      <c r="T32" s="12"/>
      <c r="U32" s="12"/>
      <c r="V32" s="19"/>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row>
    <row r="33" spans="3:62" s="1" customFormat="1" ht="25.5" customHeight="1" x14ac:dyDescent="0.15">
      <c r="C33" s="1129">
        <f>'Set up ~ Config'!C113</f>
        <v>0</v>
      </c>
      <c r="D33" s="1542">
        <f>'Set up ~ Config'!D113</f>
        <v>0</v>
      </c>
      <c r="E33" s="1543"/>
      <c r="F33" s="1544"/>
      <c r="G33" s="190">
        <f>'Set up ~ Config'!G113</f>
        <v>0</v>
      </c>
      <c r="I33" s="4"/>
      <c r="J33" s="4"/>
      <c r="K33" s="4"/>
      <c r="L33" s="4"/>
      <c r="M33" s="4"/>
      <c r="N33" s="1130"/>
      <c r="P33" s="12"/>
      <c r="Q33" s="12"/>
      <c r="R33" s="12"/>
      <c r="S33" s="12"/>
      <c r="T33" s="12"/>
      <c r="U33" s="12"/>
      <c r="V33" s="19"/>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row>
    <row r="34" spans="3:62" s="1" customFormat="1" ht="25.5" customHeight="1" x14ac:dyDescent="0.15">
      <c r="C34" s="1129">
        <f>'Set up ~ Config'!C114</f>
        <v>0</v>
      </c>
      <c r="D34" s="1542">
        <f>'Set up ~ Config'!D114</f>
        <v>0</v>
      </c>
      <c r="E34" s="1543"/>
      <c r="F34" s="1544"/>
      <c r="G34" s="190">
        <f>'Set up ~ Config'!G114</f>
        <v>0</v>
      </c>
      <c r="I34" s="4"/>
      <c r="J34" s="4"/>
      <c r="K34" s="4"/>
      <c r="L34" s="4"/>
      <c r="M34" s="4"/>
      <c r="N34" s="1130"/>
      <c r="P34" s="12"/>
      <c r="Q34" s="12"/>
      <c r="R34" s="12"/>
      <c r="S34" s="12"/>
      <c r="T34" s="12"/>
      <c r="U34" s="12"/>
      <c r="V34" s="19"/>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row>
    <row r="35" spans="3:62" s="1" customFormat="1" ht="25.5" customHeight="1" x14ac:dyDescent="0.15">
      <c r="C35" s="1129">
        <f>'Set up ~ Config'!C115</f>
        <v>0</v>
      </c>
      <c r="D35" s="1542">
        <f>'Set up ~ Config'!D115</f>
        <v>0</v>
      </c>
      <c r="E35" s="1543"/>
      <c r="F35" s="1544"/>
      <c r="G35" s="190">
        <f>'Set up ~ Config'!G115</f>
        <v>0</v>
      </c>
      <c r="I35" s="4"/>
      <c r="J35" s="4"/>
      <c r="K35" s="4"/>
      <c r="L35" s="4"/>
      <c r="M35" s="4"/>
      <c r="N35" s="1130"/>
      <c r="P35" s="12"/>
      <c r="Q35" s="12"/>
      <c r="R35" s="12"/>
      <c r="S35" s="12"/>
      <c r="T35" s="12"/>
      <c r="U35" s="12"/>
      <c r="V35" s="19"/>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row>
    <row r="36" spans="3:62" s="1" customFormat="1" ht="25.5" customHeight="1" x14ac:dyDescent="0.15">
      <c r="C36" s="1129">
        <f>'Set up ~ Config'!C116</f>
        <v>0</v>
      </c>
      <c r="D36" s="1542">
        <f>'Set up ~ Config'!D116</f>
        <v>0</v>
      </c>
      <c r="E36" s="1543"/>
      <c r="F36" s="1544"/>
      <c r="G36" s="190">
        <f>'Set up ~ Config'!G116</f>
        <v>0</v>
      </c>
      <c r="I36" s="82"/>
      <c r="J36" s="82"/>
      <c r="K36" s="82"/>
      <c r="L36" s="82"/>
      <c r="M36" s="82"/>
      <c r="N36" s="82"/>
      <c r="P36" s="12"/>
      <c r="Q36" s="12"/>
      <c r="R36" s="12"/>
      <c r="S36" s="12"/>
      <c r="T36" s="12"/>
      <c r="U36" s="12"/>
      <c r="V36" s="19"/>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row>
    <row r="37" spans="3:62" s="1" customFormat="1" ht="25.5" customHeight="1" x14ac:dyDescent="0.15">
      <c r="C37" s="1129">
        <f>'Set up ~ Config'!C117</f>
        <v>0</v>
      </c>
      <c r="D37" s="1542">
        <f>'Set up ~ Config'!D117</f>
        <v>0</v>
      </c>
      <c r="E37" s="1543"/>
      <c r="F37" s="1544"/>
      <c r="G37" s="190">
        <f>'Set up ~ Config'!G117</f>
        <v>0</v>
      </c>
      <c r="I37" s="19"/>
      <c r="J37" s="12"/>
      <c r="K37" s="12"/>
      <c r="L37" s="12"/>
      <c r="M37" s="12"/>
      <c r="N37" s="19"/>
      <c r="P37" s="12"/>
      <c r="Q37" s="12"/>
      <c r="R37" s="12"/>
      <c r="S37" s="12"/>
      <c r="T37" s="12"/>
      <c r="U37" s="12"/>
      <c r="V37" s="19"/>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row>
    <row r="38" spans="3:62" s="1" customFormat="1" ht="25.5" customHeight="1" x14ac:dyDescent="0.15">
      <c r="C38" s="1129">
        <f>'Set up ~ Config'!C118</f>
        <v>0</v>
      </c>
      <c r="D38" s="1542">
        <f>'Set up ~ Config'!D118</f>
        <v>0</v>
      </c>
      <c r="E38" s="1543"/>
      <c r="F38" s="1544"/>
      <c r="G38" s="190">
        <f>'Set up ~ Config'!G118</f>
        <v>0</v>
      </c>
      <c r="I38" s="19"/>
      <c r="J38" s="12"/>
      <c r="K38" s="12"/>
      <c r="L38" s="12"/>
      <c r="M38" s="12"/>
      <c r="N38" s="19"/>
      <c r="P38" s="12"/>
      <c r="Q38" s="12"/>
      <c r="R38" s="12"/>
      <c r="S38" s="12"/>
      <c r="T38" s="12"/>
      <c r="U38" s="12"/>
      <c r="V38" s="19"/>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row>
    <row r="39" spans="3:62" s="1" customFormat="1" ht="25.5" customHeight="1" x14ac:dyDescent="0.15">
      <c r="C39" s="1546" t="str">
        <f>IF($Q$2=2,"Montant non-comptabilisé de l'année précédente","Previous Year's non-accounted Amount")</f>
        <v>Previous Year's non-accounted Amount</v>
      </c>
      <c r="D39" s="1547"/>
      <c r="E39" s="1547"/>
      <c r="F39" s="1548"/>
      <c r="G39" s="1115">
        <f>SUM(G29:G38)</f>
        <v>0</v>
      </c>
      <c r="I39" s="1131"/>
      <c r="J39" s="191"/>
      <c r="K39" s="191"/>
      <c r="L39" s="191"/>
      <c r="M39" s="191"/>
      <c r="N39" s="603"/>
      <c r="P39" s="12"/>
      <c r="Q39" s="12"/>
      <c r="R39" s="12"/>
      <c r="S39" s="12"/>
      <c r="T39" s="12"/>
      <c r="U39" s="12"/>
      <c r="V39" s="19"/>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row>
    <row r="40" spans="3:62" s="1" customFormat="1" ht="25.5" customHeight="1" thickBot="1" x14ac:dyDescent="0.2">
      <c r="C40" s="1552" t="str">
        <f>IF($Q$2=2,F22&amp;" Fonds disponible du compte",F22&amp;" Account Available Funds")</f>
        <v>1015 Account Available Funds</v>
      </c>
      <c r="D40" s="1553"/>
      <c r="E40" s="1553"/>
      <c r="F40" s="1553"/>
      <c r="G40" s="1120"/>
      <c r="H40" s="1118"/>
      <c r="I40" s="192"/>
      <c r="J40" s="191"/>
      <c r="K40" s="191"/>
      <c r="L40" s="191"/>
      <c r="M40" s="191"/>
      <c r="N40" s="603"/>
      <c r="P40" s="12"/>
      <c r="Q40" s="19"/>
      <c r="V40" s="19"/>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row>
    <row r="41" spans="3:62" s="1" customFormat="1" ht="25.5" customHeight="1" thickBot="1" x14ac:dyDescent="0.2">
      <c r="C41" s="1549" t="str">
        <f>IF($Q$2=2,"Solde reporté à la ligne "&amp;F22&amp;" du Bilan - page 7","This balance fwrd'd to line "&amp;F22&amp;" of Balance Sheet -  page 7")</f>
        <v>This balance fwrd'd to line 1015 of Balance Sheet -  page 7</v>
      </c>
      <c r="D41" s="1550"/>
      <c r="E41" s="1550"/>
      <c r="F41" s="1551"/>
      <c r="G41" s="1122">
        <f>IF(AND(SUM(G23+G24-G25-G39)&lt;0.001,SUM(G23+G24-G25-G39)&gt;-0.001),0,SUM(G23+G24-G25-G39))</f>
        <v>0</v>
      </c>
      <c r="H41" s="1118"/>
      <c r="I41" s="26"/>
      <c r="N41" s="1122">
        <f>N27</f>
        <v>0</v>
      </c>
      <c r="P41" s="12"/>
      <c r="Q41" s="12"/>
      <c r="R41" s="12"/>
      <c r="S41" s="12"/>
      <c r="T41" s="12"/>
      <c r="U41" s="12"/>
      <c r="V41" s="19"/>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row>
    <row r="42" spans="3:62" s="1" customFormat="1" ht="9.75" customHeight="1" thickBot="1" x14ac:dyDescent="0.2">
      <c r="F42" s="189"/>
      <c r="I42" s="82"/>
      <c r="J42" s="82"/>
      <c r="K42" s="82"/>
      <c r="L42" s="82"/>
      <c r="M42" s="82"/>
      <c r="N42" s="82"/>
      <c r="P42" s="12"/>
      <c r="Q42" s="12"/>
      <c r="R42" s="12"/>
      <c r="S42" s="12"/>
      <c r="T42" s="12"/>
      <c r="U42" s="12"/>
      <c r="V42" s="19"/>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row>
    <row r="43" spans="3:62" s="1" customFormat="1" ht="44.25" customHeight="1" thickBot="1" x14ac:dyDescent="0.2">
      <c r="G43" s="1125">
        <f>IF(AND(G41-N41&lt;0.001,G41-N41&gt;-0.001),0,G41-N41)</f>
        <v>0</v>
      </c>
      <c r="H43" s="1527">
        <f>IF($Q$2=2,IF(G43=0,$T$8,$T$5),IF(G43=0,$T$9,$T$7))</f>
        <v>0</v>
      </c>
      <c r="I43" s="1527"/>
      <c r="J43" s="1527"/>
      <c r="K43" s="1527"/>
      <c r="L43" s="1527"/>
      <c r="M43" s="1527"/>
      <c r="N43" s="1528"/>
      <c r="P43" s="12"/>
      <c r="Q43" s="12"/>
      <c r="R43" s="12"/>
      <c r="S43" s="12"/>
      <c r="T43" s="12"/>
      <c r="U43" s="12"/>
      <c r="V43" s="19"/>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row>
    <row r="44" spans="3:62" s="1" customFormat="1" ht="15" customHeight="1" x14ac:dyDescent="0.15">
      <c r="C44" s="1529"/>
      <c r="D44" s="1529"/>
      <c r="E44" s="1529"/>
      <c r="F44" s="1529"/>
      <c r="G44" s="1529"/>
      <c r="H44" s="1529"/>
      <c r="I44" s="1529"/>
      <c r="J44" s="1529"/>
      <c r="K44" s="1529"/>
      <c r="L44" s="1529"/>
      <c r="M44" s="1529"/>
      <c r="N44" s="1529"/>
      <c r="O44" s="1109"/>
      <c r="P44" s="1104"/>
      <c r="R44" s="12"/>
      <c r="S44" s="12"/>
      <c r="T44" s="12"/>
      <c r="U44" s="12"/>
      <c r="V44" s="19"/>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row>
    <row r="45" spans="3:62" s="1" customFormat="1" ht="19.5" customHeight="1" x14ac:dyDescent="0.15">
      <c r="C45" s="1530"/>
      <c r="D45" s="1530"/>
      <c r="E45" s="1530"/>
      <c r="F45" s="1530"/>
      <c r="G45" s="1530"/>
      <c r="H45" s="1530"/>
      <c r="I45" s="1530"/>
      <c r="J45" s="1530"/>
      <c r="K45" s="1530"/>
      <c r="L45" s="1530"/>
      <c r="M45" s="1530"/>
      <c r="N45" s="1530"/>
      <c r="O45" s="1109"/>
      <c r="P45" s="1104"/>
      <c r="R45" s="12"/>
      <c r="S45" s="12"/>
      <c r="T45" s="12"/>
      <c r="U45" s="12"/>
      <c r="V45" s="19"/>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row>
    <row r="46" spans="3:62" s="1" customFormat="1" ht="40.5" customHeight="1" x14ac:dyDescent="0.15">
      <c r="D46" s="1531" t="str">
        <f>IF($Q$2=2,"Réconciliation détaillée du compte "&amp;F48&amp;" - "&amp;C48,"Detailed Reconciliation of the Account "&amp;F48&amp;" - "&amp;C48)</f>
        <v>Detailed Reconciliation of the Account 1020 - Canteen</v>
      </c>
      <c r="E46" s="1531"/>
      <c r="F46" s="1531"/>
      <c r="G46" s="1531"/>
      <c r="H46" s="1531"/>
      <c r="I46" s="1531"/>
      <c r="J46" s="1531"/>
      <c r="K46" s="1531"/>
      <c r="L46" s="1531"/>
      <c r="M46" s="1531"/>
      <c r="N46" s="1111"/>
      <c r="P46" s="12"/>
      <c r="R46" s="12"/>
      <c r="S46" s="12"/>
      <c r="T46" s="12"/>
      <c r="U46" s="12"/>
      <c r="V46" s="19"/>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row>
    <row r="47" spans="3:62" s="1" customFormat="1" ht="29.25" customHeight="1" x14ac:dyDescent="0.15">
      <c r="C47" s="1523" t="str">
        <f>IF($Q$2=2,"Réconciliation selon les livres comptables","Reconciliation as per BookKeeping")</f>
        <v>Reconciliation as per BookKeeping</v>
      </c>
      <c r="D47" s="1523"/>
      <c r="E47" s="1523"/>
      <c r="F47" s="1523"/>
      <c r="G47" s="1523"/>
      <c r="I47" s="1523" t="str">
        <f>IF($Q$2=2,"Réconciliation selon le décompte","Reconciliation as per counting")</f>
        <v>Reconciliation as per counting</v>
      </c>
      <c r="J47" s="1523"/>
      <c r="K47" s="1523"/>
      <c r="L47" s="1523"/>
      <c r="M47" s="1523"/>
      <c r="N47" s="1112" t="str">
        <f>F48</f>
        <v>1020</v>
      </c>
      <c r="P47" s="188"/>
      <c r="R47" s="188"/>
      <c r="S47" s="188"/>
      <c r="T47" s="12"/>
      <c r="U47" s="12"/>
      <c r="V47" s="19"/>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row>
    <row r="48" spans="3:62" s="1" customFormat="1" ht="25.5" customHeight="1" thickBot="1" x14ac:dyDescent="0.2">
      <c r="C48" s="1532" t="str">
        <f>'Set up ~ Config'!G47</f>
        <v>Canteen</v>
      </c>
      <c r="D48" s="1532"/>
      <c r="E48" s="1532"/>
      <c r="F48" s="1113" t="str">
        <f>LEFT('Set up ~ Config'!F47,4)</f>
        <v>1020</v>
      </c>
      <c r="G48" s="82"/>
      <c r="I48" s="1534"/>
      <c r="J48" s="1534"/>
      <c r="K48" s="1534"/>
      <c r="L48" s="1534"/>
      <c r="M48" s="1534"/>
      <c r="N48" s="1534"/>
      <c r="P48" s="12"/>
      <c r="R48" s="12"/>
      <c r="S48" s="12"/>
      <c r="T48" s="12"/>
      <c r="U48" s="12"/>
      <c r="V48" s="19"/>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row>
    <row r="49" spans="3:62" s="1" customFormat="1" ht="25.5" customHeight="1" thickTop="1" thickBot="1" x14ac:dyDescent="0.2">
      <c r="C49" s="1535" t="str">
        <f>IF($Q$2=2,"Solde du compte au ","Account Balance on ")</f>
        <v xml:space="preserve">Account Balance on </v>
      </c>
      <c r="D49" s="1535"/>
      <c r="E49" s="1535"/>
      <c r="F49" s="1114" t="e">
        <f>DATEVALUE('Set up ~ Config'!$L$5)</f>
        <v>#VALUE!</v>
      </c>
      <c r="G49" s="1115">
        <f>'Set up ~ Config'!D47</f>
        <v>0</v>
      </c>
      <c r="I49" s="1116" t="str">
        <f>IF($Q$2=2,"Date (aaaa-mm-jj):","Date (yyyy-mm-dd):")</f>
        <v>Date (yyyy-mm-dd):</v>
      </c>
      <c r="J49" s="957"/>
      <c r="K49" s="1536" t="str">
        <f>IF($Q$2=2,"Solde en main :","Balance in hand :")</f>
        <v>Balance in hand :</v>
      </c>
      <c r="L49" s="1537"/>
      <c r="M49" s="1538"/>
      <c r="N49" s="942"/>
      <c r="P49" s="12"/>
      <c r="Q49" s="1540"/>
      <c r="R49" s="1540"/>
      <c r="S49" s="1540"/>
      <c r="T49" s="12"/>
      <c r="U49" s="12"/>
      <c r="V49" s="19"/>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row>
    <row r="50" spans="3:62" s="1" customFormat="1" ht="25.5" customHeight="1" thickTop="1" x14ac:dyDescent="0.15">
      <c r="C50" s="1539" t="str">
        <f>IF($Q$2=2,"Plus: Accroissements (Jrnl des revenus)","Plus: Increases (Revenue Jrnl)")</f>
        <v>Plus: Increases (Revenue Jrnl)</v>
      </c>
      <c r="D50" s="1539"/>
      <c r="E50" s="1539"/>
      <c r="F50" s="1539"/>
      <c r="G50" s="1115">
        <f>'Jrnl Rev'!G525</f>
        <v>0</v>
      </c>
      <c r="H50" s="1118"/>
      <c r="P50" s="12"/>
      <c r="Q50" s="12"/>
      <c r="R50" s="12"/>
      <c r="S50" s="12"/>
      <c r="T50" s="12"/>
      <c r="U50" s="12"/>
      <c r="V50" s="19"/>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row>
    <row r="51" spans="3:62" s="1" customFormat="1" ht="25.5" customHeight="1" x14ac:dyDescent="0.15">
      <c r="C51" s="1539" t="str">
        <f>IF($Q$2=2," Moins: Décroissements (Jrnl des dépenses)","Less: Decreases (Expense Jrnl)")</f>
        <v>Less: Decreases (Expense Jrnl)</v>
      </c>
      <c r="D51" s="1539"/>
      <c r="E51" s="1539"/>
      <c r="F51" s="1539"/>
      <c r="G51" s="1115">
        <f>'Jrnl Exp ~ Dép'!G525</f>
        <v>0</v>
      </c>
      <c r="I51" s="188"/>
      <c r="J51" s="188"/>
      <c r="K51" s="188"/>
      <c r="L51" s="188"/>
      <c r="M51" s="188"/>
      <c r="N51" s="1119"/>
      <c r="P51" s="12"/>
      <c r="Q51" s="12"/>
      <c r="R51" s="12"/>
      <c r="S51" s="12"/>
      <c r="T51" s="12"/>
      <c r="U51" s="12"/>
      <c r="V51" s="19"/>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row>
    <row r="52" spans="3:62" s="1" customFormat="1" ht="25.5" customHeight="1" x14ac:dyDescent="0.15">
      <c r="C52" s="1533"/>
      <c r="D52" s="1533"/>
      <c r="E52" s="1533"/>
      <c r="F52" s="1533"/>
      <c r="H52" s="1118"/>
      <c r="P52" s="12"/>
      <c r="Q52" s="12"/>
      <c r="R52" s="12"/>
      <c r="S52" s="12"/>
      <c r="T52" s="188"/>
      <c r="U52" s="188"/>
      <c r="V52" s="502"/>
      <c r="W52" s="188"/>
      <c r="X52" s="188"/>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row>
    <row r="53" spans="3:62" s="1" customFormat="1" ht="25.5" customHeight="1" thickBot="1" x14ac:dyDescent="0.2">
      <c r="C53" s="1524" t="str">
        <f>IF($Q$2=2,F48&amp;" Fonds disponible du compte",F48&amp;" Account Available Funds")</f>
        <v>1020 Account Available Funds</v>
      </c>
      <c r="D53" s="1524"/>
      <c r="E53" s="1524"/>
      <c r="F53" s="1524"/>
      <c r="G53" s="1120"/>
      <c r="I53" s="18"/>
      <c r="J53" s="12"/>
      <c r="K53" s="12"/>
      <c r="L53" s="12"/>
      <c r="M53" s="12"/>
      <c r="N53" s="1121"/>
      <c r="P53" s="12"/>
      <c r="Q53" s="12"/>
      <c r="R53" s="12"/>
      <c r="S53" s="12"/>
      <c r="T53" s="12"/>
      <c r="U53" s="12"/>
      <c r="V53" s="19"/>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row>
    <row r="54" spans="3:62" s="1" customFormat="1" ht="25.5" customHeight="1" thickBot="1" x14ac:dyDescent="0.2">
      <c r="C54" s="1525" t="str">
        <f>IF($Q$2=2,"Solde reporté à la ligne "&amp;F48&amp;" du Bilan - page 7","This balance fwrd'd to line "&amp;F48&amp;" of Balance Sheet -  page 7")</f>
        <v>This balance fwrd'd to line 1020 of Balance Sheet -  page 7</v>
      </c>
      <c r="D54" s="1525"/>
      <c r="E54" s="1525"/>
      <c r="F54" s="1525"/>
      <c r="G54" s="1122">
        <f>IF(AND(SUM(G49+G50-G51)&lt;0.001,SUM(G49+G50-G51)&gt;-0.001),0,SUM(G49+G50-G51))</f>
        <v>0</v>
      </c>
      <c r="H54" s="605"/>
      <c r="J54" s="82"/>
      <c r="K54" s="82"/>
      <c r="L54" s="82"/>
      <c r="M54" s="1123"/>
      <c r="N54" s="1122">
        <f>N49</f>
        <v>0</v>
      </c>
      <c r="P54" s="12"/>
      <c r="Q54" s="12"/>
      <c r="R54" s="12"/>
      <c r="S54" s="12"/>
      <c r="T54" s="12"/>
      <c r="U54" s="1117"/>
      <c r="V54" s="19"/>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row>
    <row r="55" spans="3:62" s="1" customFormat="1" ht="9.75" customHeight="1" thickBot="1" x14ac:dyDescent="0.2">
      <c r="F55" s="189"/>
      <c r="J55" s="1118"/>
      <c r="M55" s="1124"/>
      <c r="P55" s="12"/>
      <c r="Q55" s="12"/>
      <c r="R55" s="12"/>
      <c r="S55" s="12"/>
      <c r="T55" s="12"/>
      <c r="U55" s="12"/>
      <c r="V55" s="19"/>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row>
    <row r="56" spans="3:62" s="1" customFormat="1" ht="25.5" customHeight="1" thickBot="1" x14ac:dyDescent="0.2">
      <c r="C56" s="1526"/>
      <c r="D56" s="1526"/>
      <c r="E56" s="1526"/>
      <c r="F56" s="1526"/>
      <c r="G56" s="1125">
        <f>IF(AND(G54-N54&lt;0.001,G54-N54&gt;-0.001),0,G54-N54)</f>
        <v>0</v>
      </c>
      <c r="H56" s="1527">
        <f>IF($Q$2=2,IF(G56=0,$T$8,$T$5),IF(G56=0,$T$9,$T$7))</f>
        <v>0</v>
      </c>
      <c r="I56" s="1527"/>
      <c r="J56" s="1527"/>
      <c r="K56" s="1527"/>
      <c r="L56" s="1527"/>
      <c r="M56" s="1527"/>
      <c r="N56" s="1528"/>
      <c r="P56" s="12"/>
      <c r="Q56" s="12"/>
      <c r="R56" s="12"/>
      <c r="S56" s="12"/>
      <c r="T56" s="12"/>
      <c r="U56" s="12"/>
      <c r="V56" s="19"/>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row>
    <row r="57" spans="3:62" s="1" customFormat="1" ht="15" customHeight="1" x14ac:dyDescent="0.15">
      <c r="C57" s="1529"/>
      <c r="D57" s="1529"/>
      <c r="E57" s="1529"/>
      <c r="F57" s="1529"/>
      <c r="G57" s="1529"/>
      <c r="H57" s="1529"/>
      <c r="I57" s="1529"/>
      <c r="J57" s="1529"/>
      <c r="K57" s="1529"/>
      <c r="L57" s="1529"/>
      <c r="M57" s="1529"/>
      <c r="N57" s="1529"/>
      <c r="O57" s="1109"/>
      <c r="P57" s="1104"/>
      <c r="R57" s="12"/>
      <c r="S57" s="12"/>
      <c r="T57" s="12"/>
      <c r="U57" s="12"/>
      <c r="V57" s="19"/>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row>
    <row r="58" spans="3:62" s="1" customFormat="1" ht="19.5" customHeight="1" x14ac:dyDescent="0.15">
      <c r="C58" s="1530"/>
      <c r="D58" s="1530"/>
      <c r="E58" s="1530"/>
      <c r="F58" s="1530"/>
      <c r="G58" s="1530"/>
      <c r="H58" s="1530"/>
      <c r="I58" s="1530"/>
      <c r="J58" s="1530"/>
      <c r="K58" s="1530"/>
      <c r="L58" s="1530"/>
      <c r="M58" s="1530"/>
      <c r="N58" s="1530"/>
      <c r="O58" s="1109"/>
      <c r="P58" s="1104"/>
      <c r="R58" s="12"/>
      <c r="S58" s="12"/>
      <c r="T58" s="12"/>
      <c r="U58" s="12"/>
      <c r="V58" s="19"/>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row>
    <row r="59" spans="3:62" s="1" customFormat="1" ht="40.5" customHeight="1" x14ac:dyDescent="0.15">
      <c r="D59" s="1531" t="str">
        <f>IF($Q$2=2,"Réconciliation détaillée du compte "&amp;F61&amp;" - "&amp;C61,"Detailed Reconciliation of the Account "&amp;F61&amp;" - "&amp;C61)</f>
        <v>Detailed Reconciliation of the Account 1025 - Petty Cash</v>
      </c>
      <c r="E59" s="1531"/>
      <c r="F59" s="1531"/>
      <c r="G59" s="1531"/>
      <c r="H59" s="1531"/>
      <c r="I59" s="1531"/>
      <c r="J59" s="1531"/>
      <c r="K59" s="1531"/>
      <c r="L59" s="1531"/>
      <c r="M59" s="1531"/>
      <c r="N59" s="1111"/>
      <c r="P59" s="12"/>
      <c r="R59" s="12"/>
      <c r="S59" s="12"/>
      <c r="T59" s="12"/>
      <c r="U59" s="12"/>
      <c r="V59" s="19"/>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row>
    <row r="60" spans="3:62" s="1" customFormat="1" ht="29.25" customHeight="1" x14ac:dyDescent="0.15">
      <c r="C60" s="1523" t="str">
        <f>IF($Q$2=2,"Réconciliation selon les livres comptables","Reconciliation as per BookKeeping")</f>
        <v>Reconciliation as per BookKeeping</v>
      </c>
      <c r="D60" s="1523"/>
      <c r="E60" s="1523"/>
      <c r="F60" s="1523"/>
      <c r="G60" s="1523"/>
      <c r="I60" s="1523" t="str">
        <f>IF($Q$2=2,"Réconciliation selon le décompte","Reconciliation as per counting")</f>
        <v>Reconciliation as per counting</v>
      </c>
      <c r="J60" s="1523"/>
      <c r="K60" s="1523"/>
      <c r="L60" s="1523"/>
      <c r="M60" s="1523"/>
      <c r="N60" s="1112" t="str">
        <f>F61</f>
        <v>1025</v>
      </c>
      <c r="P60" s="188"/>
      <c r="R60" s="188"/>
      <c r="S60" s="188"/>
      <c r="T60" s="12"/>
      <c r="U60" s="12"/>
      <c r="V60" s="19"/>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row>
    <row r="61" spans="3:62" s="1" customFormat="1" ht="25.5" customHeight="1" thickBot="1" x14ac:dyDescent="0.2">
      <c r="C61" s="1532" t="str">
        <f>'Set up ~ Config'!G48</f>
        <v>Petty Cash</v>
      </c>
      <c r="D61" s="1532"/>
      <c r="E61" s="1532"/>
      <c r="F61" s="1113" t="str">
        <f>LEFT('Set up ~ Config'!F48,4)</f>
        <v>1025</v>
      </c>
      <c r="G61" s="82"/>
      <c r="I61" s="1534"/>
      <c r="J61" s="1534"/>
      <c r="K61" s="1534"/>
      <c r="L61" s="1534"/>
      <c r="M61" s="1534"/>
      <c r="N61" s="1534"/>
      <c r="P61" s="12"/>
      <c r="R61" s="12"/>
      <c r="S61" s="12"/>
      <c r="T61" s="12"/>
      <c r="U61" s="12"/>
      <c r="V61" s="19"/>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row>
    <row r="62" spans="3:62" s="1" customFormat="1" ht="25.5" customHeight="1" thickTop="1" thickBot="1" x14ac:dyDescent="0.2">
      <c r="C62" s="1535" t="str">
        <f>IF($Q$2=2,"Solde du compte au ","Account Balance on ")</f>
        <v xml:space="preserve">Account Balance on </v>
      </c>
      <c r="D62" s="1535"/>
      <c r="E62" s="1535"/>
      <c r="F62" s="1114" t="e">
        <f>DATEVALUE('Set up ~ Config'!$L$5)</f>
        <v>#VALUE!</v>
      </c>
      <c r="G62" s="1115">
        <f>'Set up ~ Config'!D48</f>
        <v>0</v>
      </c>
      <c r="I62" s="1116" t="str">
        <f>IF($Q$2=2,"Date (aaaa-mm-jj):","Date (yyyy-mm-dd):")</f>
        <v>Date (yyyy-mm-dd):</v>
      </c>
      <c r="J62" s="957"/>
      <c r="K62" s="1536" t="str">
        <f>IF($Q$2=2,"Solde en main :","Balance in hand :")</f>
        <v>Balance in hand :</v>
      </c>
      <c r="L62" s="1537"/>
      <c r="M62" s="1538"/>
      <c r="N62" s="942"/>
      <c r="P62" s="12"/>
      <c r="Q62" s="1540"/>
      <c r="R62" s="1540"/>
      <c r="S62" s="1540"/>
      <c r="T62" s="12"/>
      <c r="U62" s="12"/>
      <c r="V62" s="19"/>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row>
    <row r="63" spans="3:62" s="1" customFormat="1" ht="25.5" customHeight="1" thickTop="1" x14ac:dyDescent="0.15">
      <c r="C63" s="1539" t="str">
        <f>IF($Q$2=2,"Plus: Remboursements (Jrnl des revenus)","Plus: Reimbursements (Revenue Jrnl)")</f>
        <v>Plus: Reimbursements (Revenue Jrnl)</v>
      </c>
      <c r="D63" s="1539"/>
      <c r="E63" s="1539"/>
      <c r="F63" s="1539"/>
      <c r="G63" s="1115">
        <f>'Jrnl Rev'!G526</f>
        <v>0</v>
      </c>
      <c r="H63" s="1118"/>
      <c r="P63" s="12"/>
      <c r="Q63" s="12"/>
      <c r="R63" s="12"/>
      <c r="S63" s="12"/>
      <c r="T63" s="12"/>
      <c r="U63" s="12"/>
      <c r="V63" s="19"/>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row>
    <row r="64" spans="3:62" ht="25.5" customHeight="1" x14ac:dyDescent="0.15">
      <c r="C64" s="1539" t="str">
        <f>IF($Q$2=2," Moins: Dépenses (Jrnl des dépenses)","Less: Expenses (Expense Jrnl)")</f>
        <v>Less: Expenses (Expense Jrnl)</v>
      </c>
      <c r="D64" s="1539"/>
      <c r="E64" s="1539"/>
      <c r="F64" s="1539"/>
      <c r="G64" s="1115">
        <f>'Jrnl Exp ~ Dép'!G526</f>
        <v>0</v>
      </c>
      <c r="H64" s="1"/>
      <c r="I64" s="188"/>
      <c r="J64" s="188"/>
      <c r="K64" s="188"/>
      <c r="L64" s="188"/>
      <c r="M64" s="188"/>
      <c r="N64" s="1119"/>
      <c r="O64" s="1"/>
      <c r="P64" s="12"/>
      <c r="Q64" s="12"/>
      <c r="R64" s="12"/>
      <c r="S64" s="12"/>
    </row>
    <row r="65" spans="3:62" s="1" customFormat="1" ht="25.5" customHeight="1" x14ac:dyDescent="0.15">
      <c r="C65" s="1533"/>
      <c r="D65" s="1533"/>
      <c r="E65" s="1533"/>
      <c r="F65" s="1533"/>
      <c r="H65" s="1118"/>
      <c r="P65" s="12"/>
      <c r="Q65" s="12"/>
      <c r="R65" s="12"/>
      <c r="S65" s="12"/>
      <c r="T65" s="12"/>
      <c r="U65" s="12"/>
      <c r="V65" s="19"/>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row>
    <row r="66" spans="3:62" s="1" customFormat="1" ht="25.5" customHeight="1" thickBot="1" x14ac:dyDescent="0.2">
      <c r="C66" s="1524" t="str">
        <f>IF($Q$2=2,F61&amp;" Fonds disponible du compte",F61&amp;" Account Available Funds")</f>
        <v>1025 Account Available Funds</v>
      </c>
      <c r="D66" s="1524"/>
      <c r="E66" s="1524"/>
      <c r="F66" s="1524"/>
      <c r="G66" s="1120"/>
      <c r="I66" s="18"/>
      <c r="J66" s="12"/>
      <c r="K66" s="12"/>
      <c r="L66" s="12"/>
      <c r="M66" s="12"/>
      <c r="N66" s="1121"/>
      <c r="P66" s="12"/>
      <c r="Q66" s="12"/>
      <c r="R66" s="12"/>
      <c r="S66" s="12"/>
      <c r="T66" s="188"/>
      <c r="U66" s="188"/>
      <c r="V66" s="502"/>
      <c r="W66" s="188"/>
      <c r="X66" s="188"/>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row>
    <row r="67" spans="3:62" s="1" customFormat="1" ht="25.5" customHeight="1" thickBot="1" x14ac:dyDescent="0.2">
      <c r="C67" s="1525" t="str">
        <f>IF($Q$2=2,"Solde reporté à la ligne "&amp;F61&amp;" du Bilan - page 7","This balance fwrd'd to line "&amp;F61&amp;" of Balance Sheet -  page 7")</f>
        <v>This balance fwrd'd to line 1025 of Balance Sheet -  page 7</v>
      </c>
      <c r="D67" s="1525"/>
      <c r="E67" s="1525"/>
      <c r="F67" s="1525"/>
      <c r="G67" s="1122">
        <f>IF(AND(SUM(G62+G63-G64)&lt;0.001,SUM(G62+G63-G64)&gt;-0.001),0,SUM(G62+G63-G64))</f>
        <v>0</v>
      </c>
      <c r="H67" s="605"/>
      <c r="J67" s="82"/>
      <c r="K67" s="82"/>
      <c r="L67" s="82"/>
      <c r="M67" s="1123"/>
      <c r="N67" s="1122">
        <f>N62</f>
        <v>0</v>
      </c>
      <c r="P67" s="12"/>
      <c r="Q67" s="12"/>
      <c r="R67" s="12"/>
      <c r="S67" s="12"/>
      <c r="T67" s="12"/>
      <c r="U67" s="12"/>
      <c r="V67" s="19"/>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row>
    <row r="68" spans="3:62" s="1" customFormat="1" ht="9.75" customHeight="1" thickBot="1" x14ac:dyDescent="0.2">
      <c r="F68" s="189"/>
      <c r="J68" s="1118"/>
      <c r="M68" s="1124"/>
      <c r="P68" s="12"/>
      <c r="Q68" s="12"/>
      <c r="R68" s="12"/>
      <c r="S68" s="12"/>
      <c r="T68" s="12"/>
      <c r="U68" s="1117"/>
      <c r="V68" s="19"/>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row>
    <row r="69" spans="3:62" s="1" customFormat="1" ht="25.5" customHeight="1" thickBot="1" x14ac:dyDescent="0.2">
      <c r="C69" s="1526"/>
      <c r="D69" s="1526"/>
      <c r="E69" s="1526"/>
      <c r="F69" s="1526"/>
      <c r="G69" s="1125">
        <f>IF(AND(G67-N67&lt;0.001,G67-N67&gt;-0.001),0,G67-N67)</f>
        <v>0</v>
      </c>
      <c r="H69" s="1527">
        <f>IF($Q$2=2,IF(G69=0,$T$8,$T$5),IF(G69=0,$T$9,$T$7))</f>
        <v>0</v>
      </c>
      <c r="I69" s="1527"/>
      <c r="J69" s="1527"/>
      <c r="K69" s="1527"/>
      <c r="L69" s="1527"/>
      <c r="M69" s="1527"/>
      <c r="N69" s="1528"/>
      <c r="P69" s="12"/>
      <c r="Q69" s="12"/>
      <c r="R69" s="12"/>
      <c r="S69" s="12"/>
      <c r="T69" s="12"/>
      <c r="U69" s="12"/>
      <c r="V69" s="19"/>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row>
    <row r="70" spans="3:62" s="1" customFormat="1" ht="15" customHeight="1" x14ac:dyDescent="0.15">
      <c r="C70" s="1529"/>
      <c r="D70" s="1529"/>
      <c r="E70" s="1529"/>
      <c r="F70" s="1529"/>
      <c r="G70" s="1529"/>
      <c r="H70" s="1529"/>
      <c r="I70" s="1529"/>
      <c r="J70" s="1529"/>
      <c r="K70" s="1529"/>
      <c r="L70" s="1529"/>
      <c r="M70" s="1529"/>
      <c r="N70" s="1529"/>
      <c r="O70" s="1109"/>
      <c r="P70" s="1104"/>
      <c r="R70" s="12"/>
      <c r="S70" s="12"/>
      <c r="T70" s="12"/>
      <c r="U70" s="12"/>
      <c r="V70" s="19"/>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row>
    <row r="71" spans="3:62" s="1" customFormat="1" ht="19.5" customHeight="1" x14ac:dyDescent="0.15">
      <c r="C71" s="1530"/>
      <c r="D71" s="1530"/>
      <c r="E71" s="1530"/>
      <c r="F71" s="1530"/>
      <c r="G71" s="1530"/>
      <c r="H71" s="1530"/>
      <c r="I71" s="1530"/>
      <c r="J71" s="1530"/>
      <c r="K71" s="1530"/>
      <c r="L71" s="1530"/>
      <c r="M71" s="1530"/>
      <c r="N71" s="1530"/>
      <c r="O71" s="1109"/>
      <c r="P71" s="1104"/>
      <c r="R71" s="12"/>
      <c r="S71" s="12"/>
      <c r="T71" s="12"/>
      <c r="U71" s="12"/>
      <c r="V71" s="19"/>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row>
    <row r="72" spans="3:62" s="1" customFormat="1" ht="40.5" customHeight="1" x14ac:dyDescent="0.15">
      <c r="D72" s="1531" t="str">
        <f>IF($Q$2=2,"Réconciliation détaillée du compte "&amp;F74&amp;" - "&amp;C74,"Detailed Reconciliation of the Account "&amp;F74&amp;" - "&amp;C74)</f>
        <v>Detailed Reconciliation of the Account 1030 - Receivables - Short Term</v>
      </c>
      <c r="E72" s="1531"/>
      <c r="F72" s="1531"/>
      <c r="G72" s="1531"/>
      <c r="H72" s="1531"/>
      <c r="I72" s="1531"/>
      <c r="J72" s="1531"/>
      <c r="K72" s="1531"/>
      <c r="L72" s="1531"/>
      <c r="M72" s="1531"/>
      <c r="N72" s="1111"/>
      <c r="P72" s="12"/>
      <c r="R72" s="12"/>
      <c r="S72" s="12"/>
      <c r="T72" s="12"/>
      <c r="U72" s="12"/>
      <c r="V72" s="19"/>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row>
    <row r="73" spans="3:62" s="1" customFormat="1" ht="29.25" customHeight="1" x14ac:dyDescent="0.15">
      <c r="C73" s="1523" t="str">
        <f>IF($Q$2=2,"Réconciliation selon les livres comptables","Reconciliation as per BookKeeping")</f>
        <v>Reconciliation as per BookKeeping</v>
      </c>
      <c r="D73" s="1523"/>
      <c r="E73" s="1523"/>
      <c r="F73" s="1523"/>
      <c r="G73" s="1523"/>
      <c r="I73" s="1523" t="str">
        <f>IF($Q$2=2,"Réconciliation selon le décompte","Reconciliation as per counting")</f>
        <v>Reconciliation as per counting</v>
      </c>
      <c r="J73" s="1523"/>
      <c r="K73" s="1523"/>
      <c r="L73" s="1523"/>
      <c r="M73" s="1523"/>
      <c r="N73" s="1112" t="str">
        <f>F74</f>
        <v>1030</v>
      </c>
      <c r="P73" s="188"/>
      <c r="R73" s="188"/>
      <c r="S73" s="188"/>
      <c r="T73" s="12"/>
      <c r="U73" s="12"/>
      <c r="V73" s="19"/>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row>
    <row r="74" spans="3:62" s="1" customFormat="1" ht="25.5" customHeight="1" thickBot="1" x14ac:dyDescent="0.2">
      <c r="C74" s="1532" t="str">
        <f>'Set up ~ Config'!G49</f>
        <v>Receivables - Short Term</v>
      </c>
      <c r="D74" s="1532"/>
      <c r="E74" s="1532"/>
      <c r="F74" s="1113" t="str">
        <f>LEFT('Set up ~ Config'!F49,4)</f>
        <v>1030</v>
      </c>
      <c r="G74" s="82"/>
      <c r="I74" s="1534"/>
      <c r="J74" s="1534"/>
      <c r="K74" s="1534"/>
      <c r="L74" s="1534"/>
      <c r="M74" s="1534"/>
      <c r="N74" s="1534"/>
      <c r="P74" s="12"/>
      <c r="R74" s="12"/>
      <c r="S74" s="12"/>
      <c r="T74" s="12"/>
      <c r="U74" s="12"/>
      <c r="V74" s="19"/>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row>
    <row r="75" spans="3:62" s="1" customFormat="1" ht="25.5" customHeight="1" thickTop="1" thickBot="1" x14ac:dyDescent="0.2">
      <c r="C75" s="1535" t="str">
        <f>IF($Q$2=2,"Solde du compte au ","Account Balance on ")</f>
        <v xml:space="preserve">Account Balance on </v>
      </c>
      <c r="D75" s="1535"/>
      <c r="E75" s="1535"/>
      <c r="F75" s="1114" t="e">
        <f>DATEVALUE('Set up ~ Config'!$L$5)</f>
        <v>#VALUE!</v>
      </c>
      <c r="G75" s="1115">
        <f>'Set up ~ Config'!D49</f>
        <v>0</v>
      </c>
      <c r="I75" s="1116" t="str">
        <f>IF($Q$2=2,"Date (aaaa-mm-jj):","Date (yyyy-mm-dd):")</f>
        <v>Date (yyyy-mm-dd):</v>
      </c>
      <c r="J75" s="957"/>
      <c r="K75" s="1536" t="str">
        <f>IF($Q$2=2,"Solde :","Balance :")</f>
        <v>Balance :</v>
      </c>
      <c r="L75" s="1537"/>
      <c r="M75" s="1538"/>
      <c r="N75" s="942"/>
      <c r="P75" s="12"/>
      <c r="Q75" s="1540"/>
      <c r="R75" s="1540"/>
      <c r="S75" s="1540"/>
      <c r="T75" s="12"/>
      <c r="U75" s="12"/>
      <c r="V75" s="19"/>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row>
    <row r="76" spans="3:62" s="1" customFormat="1" ht="25.5" customHeight="1" thickTop="1" x14ac:dyDescent="0.15">
      <c r="C76" s="1539" t="str">
        <f>IF($Q$2=2,"Plus: Accroissements (Jrnl des revenus)","Plus: Increases (Revenue Jrnl)")</f>
        <v>Plus: Increases (Revenue Jrnl)</v>
      </c>
      <c r="D76" s="1539"/>
      <c r="E76" s="1539"/>
      <c r="F76" s="1539"/>
      <c r="G76" s="1115">
        <f>'Jrnl Rev'!G527</f>
        <v>0</v>
      </c>
      <c r="H76" s="1118"/>
      <c r="P76" s="12"/>
      <c r="Q76" s="12"/>
      <c r="R76" s="12"/>
      <c r="S76" s="12"/>
      <c r="T76" s="12"/>
      <c r="U76" s="12"/>
      <c r="V76" s="19"/>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row>
    <row r="77" spans="3:62" s="1" customFormat="1" ht="25.5" customHeight="1" x14ac:dyDescent="0.15">
      <c r="C77" s="1539" t="str">
        <f>IF($Q$2=2," Moins: Décroissements (Jrnl des dépenses)","Less: Decreases (Expense Jrnl)")</f>
        <v>Less: Decreases (Expense Jrnl)</v>
      </c>
      <c r="D77" s="1539"/>
      <c r="E77" s="1539"/>
      <c r="F77" s="1539"/>
      <c r="G77" s="1115">
        <f>'Jrnl Exp ~ Dép'!G527</f>
        <v>0</v>
      </c>
      <c r="I77" s="188"/>
      <c r="J77" s="188"/>
      <c r="K77" s="188"/>
      <c r="L77" s="188"/>
      <c r="M77" s="188"/>
      <c r="N77" s="1119"/>
      <c r="P77" s="12"/>
      <c r="Q77" s="12"/>
      <c r="R77" s="12"/>
      <c r="S77" s="12"/>
      <c r="T77" s="12"/>
      <c r="U77" s="12"/>
      <c r="V77" s="19"/>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row>
    <row r="78" spans="3:62" ht="25.5" customHeight="1" x14ac:dyDescent="0.15">
      <c r="C78" s="1533"/>
      <c r="D78" s="1533"/>
      <c r="E78" s="1533"/>
      <c r="F78" s="1533"/>
      <c r="G78" s="1"/>
      <c r="H78" s="1118"/>
      <c r="I78" s="1"/>
      <c r="J78" s="1"/>
      <c r="K78" s="1"/>
      <c r="L78" s="1"/>
      <c r="M78" s="1"/>
      <c r="N78" s="1"/>
      <c r="O78" s="1"/>
      <c r="P78" s="12"/>
      <c r="Q78" s="12"/>
      <c r="R78" s="12"/>
      <c r="S78" s="12"/>
    </row>
    <row r="79" spans="3:62" s="1" customFormat="1" ht="25.5" customHeight="1" thickBot="1" x14ac:dyDescent="0.2">
      <c r="C79" s="1524" t="str">
        <f>IF($Q$2=2,F74&amp;" Fonds disponible du compte",F74&amp;" Account Available Funds")</f>
        <v>1030 Account Available Funds</v>
      </c>
      <c r="D79" s="1524"/>
      <c r="E79" s="1524"/>
      <c r="F79" s="1524"/>
      <c r="G79" s="1120"/>
      <c r="I79" s="18"/>
      <c r="J79" s="12"/>
      <c r="K79" s="12"/>
      <c r="L79" s="12"/>
      <c r="M79" s="12"/>
      <c r="N79" s="1121"/>
      <c r="P79" s="12"/>
      <c r="Q79" s="12"/>
      <c r="R79" s="12"/>
      <c r="S79" s="12"/>
      <c r="T79" s="12"/>
      <c r="U79" s="12"/>
      <c r="V79" s="19"/>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row>
    <row r="80" spans="3:62" s="1" customFormat="1" ht="25.5" customHeight="1" thickBot="1" x14ac:dyDescent="0.2">
      <c r="C80" s="1525" t="str">
        <f>IF($Q$2=2,"Solde reporté à la ligne "&amp;F74&amp;" du Bilan - page 7","This balance fwrd'd to line "&amp;F74&amp;" of Balance Sheet -  page 7")</f>
        <v>This balance fwrd'd to line 1030 of Balance Sheet -  page 7</v>
      </c>
      <c r="D80" s="1525"/>
      <c r="E80" s="1525"/>
      <c r="F80" s="1525"/>
      <c r="G80" s="1122">
        <f>IF(AND(SUM(G75+G76-G77)&lt;0.001,SUM(G75+G76-G77)&gt;-0.001),0,SUM(G75+G76-G77))</f>
        <v>0</v>
      </c>
      <c r="H80" s="605"/>
      <c r="J80" s="82"/>
      <c r="K80" s="82"/>
      <c r="L80" s="82"/>
      <c r="M80" s="1123"/>
      <c r="N80" s="1122">
        <f>N75</f>
        <v>0</v>
      </c>
      <c r="P80" s="12"/>
      <c r="Q80" s="12"/>
      <c r="R80" s="12"/>
      <c r="S80" s="12"/>
      <c r="T80" s="188"/>
      <c r="U80" s="188"/>
      <c r="V80" s="502"/>
      <c r="W80" s="188"/>
      <c r="X80" s="188"/>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row>
    <row r="81" spans="3:62" s="1" customFormat="1" ht="9.75" customHeight="1" thickBot="1" x14ac:dyDescent="0.2">
      <c r="F81" s="189"/>
      <c r="J81" s="1118"/>
      <c r="M81" s="1124"/>
      <c r="P81" s="12"/>
      <c r="Q81" s="12"/>
      <c r="R81" s="12"/>
      <c r="S81" s="12"/>
      <c r="T81" s="12"/>
      <c r="U81" s="12"/>
      <c r="V81" s="19"/>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row>
    <row r="82" spans="3:62" s="1" customFormat="1" ht="25.5" customHeight="1" thickBot="1" x14ac:dyDescent="0.2">
      <c r="C82" s="1526"/>
      <c r="D82" s="1526"/>
      <c r="E82" s="1526"/>
      <c r="F82" s="1526"/>
      <c r="G82" s="1125">
        <f>IF(AND(G80-N80&lt;0.001,G80-N80&gt;-0.001),0,G80-N80)</f>
        <v>0</v>
      </c>
      <c r="H82" s="1527">
        <f>IF($Q$2=2,IF(G82=0,$T$8,$T$5),IF(G82=0,$T$9,$T$7))</f>
        <v>0</v>
      </c>
      <c r="I82" s="1527"/>
      <c r="J82" s="1527"/>
      <c r="K82" s="1527"/>
      <c r="L82" s="1527"/>
      <c r="M82" s="1527"/>
      <c r="N82" s="1528"/>
      <c r="P82" s="12"/>
      <c r="Q82" s="12"/>
      <c r="R82" s="12"/>
      <c r="S82" s="12"/>
      <c r="T82" s="12"/>
      <c r="U82" s="1117"/>
      <c r="V82" s="19"/>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row>
    <row r="83" spans="3:62" s="1" customFormat="1" ht="15" customHeight="1" x14ac:dyDescent="0.15">
      <c r="C83" s="1529"/>
      <c r="D83" s="1529"/>
      <c r="E83" s="1529"/>
      <c r="F83" s="1529"/>
      <c r="G83" s="1529"/>
      <c r="H83" s="1529"/>
      <c r="I83" s="1529"/>
      <c r="J83" s="1529"/>
      <c r="K83" s="1529"/>
      <c r="L83" s="1529"/>
      <c r="M83" s="1529"/>
      <c r="N83" s="1529"/>
      <c r="O83" s="1109"/>
      <c r="P83" s="1104"/>
      <c r="R83" s="12"/>
      <c r="S83" s="12"/>
      <c r="T83" s="12"/>
      <c r="U83" s="12"/>
      <c r="V83" s="19"/>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row>
    <row r="84" spans="3:62" s="1" customFormat="1" ht="19.5" customHeight="1" x14ac:dyDescent="0.15">
      <c r="C84" s="1530"/>
      <c r="D84" s="1530"/>
      <c r="E84" s="1530"/>
      <c r="F84" s="1530"/>
      <c r="G84" s="1530"/>
      <c r="H84" s="1530"/>
      <c r="I84" s="1530"/>
      <c r="J84" s="1530"/>
      <c r="K84" s="1530"/>
      <c r="L84" s="1530"/>
      <c r="M84" s="1530"/>
      <c r="N84" s="1530"/>
      <c r="O84" s="1109"/>
      <c r="P84" s="1104"/>
      <c r="R84" s="12"/>
      <c r="S84" s="12"/>
      <c r="T84" s="12"/>
      <c r="U84" s="12"/>
      <c r="V84" s="19"/>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row>
    <row r="85" spans="3:62" s="1" customFormat="1" ht="40.5" customHeight="1" x14ac:dyDescent="0.15">
      <c r="D85" s="1531" t="str">
        <f>IF($Q$2=2,"Réconciliation détaillée du compte "&amp;F87&amp;" - "&amp;C87,"Detailed Reconciliation of the Account "&amp;F87&amp;" - "&amp;C87)</f>
        <v>Detailed Reconciliation of the Account 1035 - Disponible ~ Available</v>
      </c>
      <c r="E85" s="1531"/>
      <c r="F85" s="1531"/>
      <c r="G85" s="1531"/>
      <c r="H85" s="1531"/>
      <c r="I85" s="1531"/>
      <c r="J85" s="1531"/>
      <c r="K85" s="1531"/>
      <c r="L85" s="1531"/>
      <c r="M85" s="1531"/>
      <c r="N85" s="1111"/>
      <c r="P85" s="12"/>
      <c r="R85" s="12"/>
      <c r="S85" s="12"/>
      <c r="T85" s="12"/>
      <c r="U85" s="12"/>
      <c r="V85" s="19"/>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row>
    <row r="86" spans="3:62" s="1" customFormat="1" ht="29.25" customHeight="1" x14ac:dyDescent="0.15">
      <c r="C86" s="1523" t="str">
        <f>IF($Q$2=2,"Réconciliation selon les livres comptables","Reconciliation as per BookKeeping")</f>
        <v>Reconciliation as per BookKeeping</v>
      </c>
      <c r="D86" s="1523"/>
      <c r="E86" s="1523"/>
      <c r="F86" s="1523"/>
      <c r="G86" s="1523"/>
      <c r="I86" s="1523" t="str">
        <f>IF($Q$2=2,"Réconciliation selon le décompte","Reconciliation as per counting")</f>
        <v>Reconciliation as per counting</v>
      </c>
      <c r="J86" s="1523"/>
      <c r="K86" s="1523"/>
      <c r="L86" s="1523"/>
      <c r="M86" s="1523"/>
      <c r="N86" s="1112" t="str">
        <f>F87</f>
        <v>1035</v>
      </c>
      <c r="P86" s="188"/>
      <c r="R86" s="188"/>
      <c r="S86" s="188"/>
      <c r="T86" s="12"/>
      <c r="U86" s="12"/>
      <c r="V86" s="19"/>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row>
    <row r="87" spans="3:62" s="1" customFormat="1" ht="25.5" customHeight="1" thickBot="1" x14ac:dyDescent="0.2">
      <c r="C87" s="1532" t="str">
        <f>'Set up ~ Config'!G50</f>
        <v>Disponible ~ Available</v>
      </c>
      <c r="D87" s="1532"/>
      <c r="E87" s="1532"/>
      <c r="F87" s="1113" t="str">
        <f>LEFT('Set up ~ Config'!F50,4)</f>
        <v>1035</v>
      </c>
      <c r="G87" s="82"/>
      <c r="I87" s="1534"/>
      <c r="J87" s="1534"/>
      <c r="K87" s="1534"/>
      <c r="L87" s="1534"/>
      <c r="M87" s="1534"/>
      <c r="N87" s="1534"/>
      <c r="P87" s="12"/>
      <c r="R87" s="12"/>
      <c r="S87" s="12"/>
      <c r="T87" s="12"/>
      <c r="U87" s="12"/>
      <c r="V87" s="19"/>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row>
    <row r="88" spans="3:62" s="1" customFormat="1" ht="25.5" customHeight="1" thickTop="1" thickBot="1" x14ac:dyDescent="0.2">
      <c r="C88" s="1535" t="str">
        <f>IF($Q$2=2,"Solde du compte au ","Account Balance on ")</f>
        <v xml:space="preserve">Account Balance on </v>
      </c>
      <c r="D88" s="1535"/>
      <c r="E88" s="1535"/>
      <c r="F88" s="1114" t="e">
        <f>DATEVALUE('Set up ~ Config'!$L$5)</f>
        <v>#VALUE!</v>
      </c>
      <c r="G88" s="1115">
        <f>'Set up ~ Config'!D50</f>
        <v>0</v>
      </c>
      <c r="I88" s="1116" t="str">
        <f>IF($Q$2=2,"Date (aaaa-mm-jj):","Date (yyyy-mm-dd):")</f>
        <v>Date (yyyy-mm-dd):</v>
      </c>
      <c r="J88" s="957"/>
      <c r="K88" s="1536" t="str">
        <f>IF($Q$2=2,"Solde :","Balance :")</f>
        <v>Balance :</v>
      </c>
      <c r="L88" s="1537"/>
      <c r="M88" s="1538"/>
      <c r="N88" s="942"/>
      <c r="P88" s="12"/>
      <c r="Q88" s="1540"/>
      <c r="R88" s="1540"/>
      <c r="S88" s="1540"/>
      <c r="T88" s="12"/>
      <c r="U88" s="12"/>
      <c r="V88" s="19"/>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row>
    <row r="89" spans="3:62" s="1" customFormat="1" ht="25.5" customHeight="1" thickTop="1" x14ac:dyDescent="0.15">
      <c r="C89" s="1539" t="str">
        <f>IF($Q$2=2,"Plus: Accroissements (Jrnl des revenus)","Plus: Increases (Revenue Jrnl)")</f>
        <v>Plus: Increases (Revenue Jrnl)</v>
      </c>
      <c r="D89" s="1539"/>
      <c r="E89" s="1539"/>
      <c r="F89" s="1539"/>
      <c r="G89" s="1115">
        <f>'Jrnl Rev'!G528</f>
        <v>0</v>
      </c>
      <c r="H89" s="1118"/>
      <c r="P89" s="12"/>
      <c r="Q89" s="12"/>
      <c r="R89" s="12"/>
      <c r="S89" s="12"/>
      <c r="T89" s="12"/>
      <c r="U89" s="12"/>
      <c r="V89" s="19"/>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row>
    <row r="90" spans="3:62" s="1" customFormat="1" ht="25.5" customHeight="1" x14ac:dyDescent="0.15">
      <c r="C90" s="1539" t="str">
        <f>IF($Q$2=2," Moins: Décroissements (Jrnl des dépenses)","Less: Decreases (Expense Jrnl)")</f>
        <v>Less: Decreases (Expense Jrnl)</v>
      </c>
      <c r="D90" s="1539"/>
      <c r="E90" s="1539"/>
      <c r="F90" s="1539"/>
      <c r="G90" s="1115">
        <f>'Jrnl Exp ~ Dép'!G528</f>
        <v>0</v>
      </c>
      <c r="I90" s="188"/>
      <c r="J90" s="188"/>
      <c r="K90" s="188"/>
      <c r="L90" s="188"/>
      <c r="M90" s="188"/>
      <c r="N90" s="1119"/>
      <c r="P90" s="12"/>
      <c r="Q90" s="12"/>
      <c r="R90" s="12"/>
      <c r="S90" s="12"/>
      <c r="T90" s="12"/>
      <c r="U90" s="12"/>
      <c r="V90" s="19"/>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row>
    <row r="91" spans="3:62" s="1" customFormat="1" ht="25.5" customHeight="1" x14ac:dyDescent="0.15">
      <c r="C91" s="1533"/>
      <c r="D91" s="1533"/>
      <c r="E91" s="1533"/>
      <c r="F91" s="1533"/>
      <c r="H91" s="1118"/>
      <c r="P91" s="12"/>
      <c r="Q91" s="12"/>
      <c r="R91" s="12"/>
      <c r="S91" s="12"/>
      <c r="T91" s="12"/>
      <c r="U91" s="12"/>
      <c r="V91" s="19"/>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row>
    <row r="92" spans="3:62" ht="25.5" customHeight="1" thickBot="1" x14ac:dyDescent="0.2">
      <c r="C92" s="1524" t="str">
        <f>IF($Q$2=2,F87&amp;" Fonds disponible du compte",F87&amp;" Account Available Funds")</f>
        <v>1035 Account Available Funds</v>
      </c>
      <c r="D92" s="1524"/>
      <c r="E92" s="1524"/>
      <c r="F92" s="1524"/>
      <c r="G92" s="1120"/>
      <c r="H92" s="1"/>
      <c r="I92" s="18"/>
      <c r="J92" s="12"/>
      <c r="K92" s="12"/>
      <c r="L92" s="12"/>
      <c r="M92" s="12"/>
      <c r="N92" s="1121"/>
      <c r="O92" s="1"/>
      <c r="P92" s="12"/>
      <c r="Q92" s="12"/>
      <c r="R92" s="12"/>
      <c r="S92" s="12"/>
    </row>
    <row r="93" spans="3:62" s="1" customFormat="1" ht="25.5" customHeight="1" thickBot="1" x14ac:dyDescent="0.2">
      <c r="C93" s="1525" t="str">
        <f>IF($Q$2=2,"Solde reporté à la ligne "&amp;F87&amp;" du Bilan - page 7","This balance fwrd'd to line "&amp;F87&amp;" of Balance Sheet -  page 7")</f>
        <v>This balance fwrd'd to line 1035 of Balance Sheet -  page 7</v>
      </c>
      <c r="D93" s="1525"/>
      <c r="E93" s="1525"/>
      <c r="F93" s="1525"/>
      <c r="G93" s="1122">
        <f>IF(AND(SUM(G88+G89-G90)&lt;0.001,SUM(G88+G89-G90)&gt;-0.001),0,SUM(G88+G89-G90))</f>
        <v>0</v>
      </c>
      <c r="H93" s="605"/>
      <c r="J93" s="82"/>
      <c r="K93" s="82"/>
      <c r="L93" s="82"/>
      <c r="M93" s="1123"/>
      <c r="N93" s="1122">
        <f>N88</f>
        <v>0</v>
      </c>
      <c r="P93" s="12"/>
      <c r="Q93" s="12"/>
      <c r="R93" s="12"/>
      <c r="S93" s="12"/>
      <c r="T93" s="12"/>
      <c r="U93" s="12"/>
      <c r="V93" s="19"/>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row>
    <row r="94" spans="3:62" s="1" customFormat="1" ht="9.75" customHeight="1" thickBot="1" x14ac:dyDescent="0.2">
      <c r="F94" s="189"/>
      <c r="J94" s="1118"/>
      <c r="M94" s="1124"/>
      <c r="P94" s="12"/>
      <c r="Q94" s="12"/>
      <c r="R94" s="12"/>
      <c r="S94" s="12"/>
      <c r="T94" s="188"/>
      <c r="U94" s="188"/>
      <c r="V94" s="502"/>
      <c r="W94" s="188"/>
      <c r="X94" s="188"/>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row>
    <row r="95" spans="3:62" s="1" customFormat="1" ht="25.5" customHeight="1" thickBot="1" x14ac:dyDescent="0.2">
      <c r="C95" s="1526"/>
      <c r="D95" s="1526"/>
      <c r="E95" s="1526"/>
      <c r="F95" s="1526"/>
      <c r="G95" s="1125">
        <f>IF(AND(G93-N93&lt;0.001,G93-N93&gt;-0.001),0,G93-N93)</f>
        <v>0</v>
      </c>
      <c r="H95" s="1527">
        <f>IF($Q$2=2,IF(G95=0,$T$8,$T$5),IF(G95=0,$T$9,$T$7))</f>
        <v>0</v>
      </c>
      <c r="I95" s="1527"/>
      <c r="J95" s="1527"/>
      <c r="K95" s="1527"/>
      <c r="L95" s="1527"/>
      <c r="M95" s="1527"/>
      <c r="N95" s="1528"/>
      <c r="P95" s="12"/>
      <c r="Q95" s="12"/>
      <c r="R95" s="12"/>
      <c r="S95" s="12"/>
      <c r="T95" s="12"/>
      <c r="U95" s="12"/>
      <c r="V95" s="19"/>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row>
    <row r="96" spans="3:62" s="1" customFormat="1" ht="15" customHeight="1" x14ac:dyDescent="0.15">
      <c r="C96" s="1529"/>
      <c r="D96" s="1529"/>
      <c r="E96" s="1529"/>
      <c r="F96" s="1529"/>
      <c r="G96" s="1529"/>
      <c r="H96" s="1529"/>
      <c r="I96" s="1529"/>
      <c r="J96" s="1529"/>
      <c r="K96" s="1529"/>
      <c r="L96" s="1529"/>
      <c r="M96" s="1529"/>
      <c r="N96" s="1529"/>
      <c r="O96" s="1109"/>
      <c r="P96" s="1104"/>
      <c r="R96" s="12"/>
      <c r="S96" s="12"/>
      <c r="T96" s="12"/>
      <c r="U96" s="1117"/>
      <c r="V96" s="19"/>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row>
    <row r="97" spans="3:62" s="1" customFormat="1" ht="19.5" customHeight="1" x14ac:dyDescent="0.15">
      <c r="C97" s="1530"/>
      <c r="D97" s="1530"/>
      <c r="E97" s="1530"/>
      <c r="F97" s="1530"/>
      <c r="G97" s="1530"/>
      <c r="H97" s="1530"/>
      <c r="I97" s="1530"/>
      <c r="J97" s="1530"/>
      <c r="K97" s="1530"/>
      <c r="L97" s="1530"/>
      <c r="M97" s="1530"/>
      <c r="N97" s="1530"/>
      <c r="O97" s="1109"/>
      <c r="P97" s="1104"/>
      <c r="R97" s="12"/>
      <c r="S97" s="12"/>
      <c r="T97" s="12"/>
      <c r="U97" s="12"/>
      <c r="V97" s="19"/>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row>
    <row r="98" spans="3:62" s="1" customFormat="1" ht="40.5" customHeight="1" x14ac:dyDescent="0.15">
      <c r="D98" s="1531" t="str">
        <f>IF($Q$2=2,"Réconciliation détaillée du compte "&amp;F100&amp;" - "&amp;C100,"Detailed Reconciliation of the Account "&amp;F100&amp;" - "&amp;C100)</f>
        <v>Detailed Reconciliation of the Account 1040 - Disponible ~ Available</v>
      </c>
      <c r="E98" s="1531"/>
      <c r="F98" s="1531"/>
      <c r="G98" s="1531"/>
      <c r="H98" s="1531"/>
      <c r="I98" s="1531"/>
      <c r="J98" s="1531"/>
      <c r="K98" s="1531"/>
      <c r="L98" s="1531"/>
      <c r="M98" s="1531"/>
      <c r="N98" s="1111"/>
      <c r="P98" s="12"/>
      <c r="R98" s="12"/>
      <c r="S98" s="12"/>
      <c r="T98" s="12"/>
      <c r="U98" s="12"/>
      <c r="V98" s="19"/>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row>
    <row r="99" spans="3:62" s="1" customFormat="1" ht="29.25" customHeight="1" x14ac:dyDescent="0.15">
      <c r="C99" s="1523" t="str">
        <f>IF($Q$2=2,"Réconciliation selon les livres comptables","Reconciliation as per BookKeeping")</f>
        <v>Reconciliation as per BookKeeping</v>
      </c>
      <c r="D99" s="1523"/>
      <c r="E99" s="1523"/>
      <c r="F99" s="1523"/>
      <c r="G99" s="1523"/>
      <c r="I99" s="1523" t="str">
        <f>IF($Q$2=2,"Réconciliation selon l'état de compte","Reconciliation as per Account Statement")</f>
        <v>Reconciliation as per Account Statement</v>
      </c>
      <c r="J99" s="1523"/>
      <c r="K99" s="1523"/>
      <c r="L99" s="1523"/>
      <c r="M99" s="1523"/>
      <c r="N99" s="1112" t="str">
        <f>F100</f>
        <v>1040</v>
      </c>
      <c r="P99" s="188"/>
      <c r="R99" s="188"/>
      <c r="S99" s="188"/>
      <c r="T99" s="12"/>
      <c r="U99" s="12"/>
      <c r="V99" s="19"/>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row>
    <row r="100" spans="3:62" s="1" customFormat="1" ht="25.5" customHeight="1" thickBot="1" x14ac:dyDescent="0.2">
      <c r="C100" s="1532" t="str">
        <f>'Set up ~ Config'!G51</f>
        <v>Disponible ~ Available</v>
      </c>
      <c r="D100" s="1532"/>
      <c r="E100" s="1532"/>
      <c r="F100" s="1113" t="str">
        <f>LEFT('Set up ~ Config'!F51,4)</f>
        <v>1040</v>
      </c>
      <c r="G100" s="82"/>
      <c r="I100" s="1534"/>
      <c r="J100" s="1534"/>
      <c r="K100" s="1534"/>
      <c r="L100" s="1534"/>
      <c r="M100" s="1534"/>
      <c r="N100" s="1534"/>
      <c r="P100" s="12"/>
      <c r="R100" s="12"/>
      <c r="S100" s="12"/>
      <c r="T100" s="12"/>
      <c r="U100" s="12"/>
      <c r="V100" s="19"/>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row>
    <row r="101" spans="3:62" s="1" customFormat="1" ht="25.5" customHeight="1" thickTop="1" thickBot="1" x14ac:dyDescent="0.2">
      <c r="C101" s="1535" t="str">
        <f>IF($Q$2=2,"Solde du compte au ","Account Balance on ")</f>
        <v xml:space="preserve">Account Balance on </v>
      </c>
      <c r="D101" s="1535"/>
      <c r="E101" s="1535"/>
      <c r="F101" s="1114" t="e">
        <f>DATEVALUE('Set up ~ Config'!$L$5)</f>
        <v>#VALUE!</v>
      </c>
      <c r="G101" s="1115">
        <f>'Set up ~ Config'!D51</f>
        <v>0</v>
      </c>
      <c r="I101" s="1116" t="str">
        <f>IF($Q$2=2,"Date (aaaa-mm-jj):","Date (yyyy-mm-dd):")</f>
        <v>Date (yyyy-mm-dd):</v>
      </c>
      <c r="J101" s="957"/>
      <c r="K101" s="1536" t="str">
        <f>IF($Q$2=2,"Solde :","Balance :")</f>
        <v>Balance :</v>
      </c>
      <c r="L101" s="1537"/>
      <c r="M101" s="1538"/>
      <c r="N101" s="942"/>
      <c r="P101" s="12"/>
      <c r="Q101" s="1540"/>
      <c r="R101" s="1540"/>
      <c r="S101" s="1540"/>
      <c r="T101" s="12"/>
      <c r="U101" s="12"/>
      <c r="V101" s="19"/>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row>
    <row r="102" spans="3:62" s="1" customFormat="1" ht="25.5" customHeight="1" thickTop="1" x14ac:dyDescent="0.15">
      <c r="C102" s="1539" t="str">
        <f>IF($Q$2=2,"Plus: Accroissements (Jrnl des revenus)","Plus: Increases (Revenue Jrnl)")</f>
        <v>Plus: Increases (Revenue Jrnl)</v>
      </c>
      <c r="D102" s="1539"/>
      <c r="E102" s="1539"/>
      <c r="F102" s="1539"/>
      <c r="G102" s="1115">
        <f>'Jrnl Rev'!G529</f>
        <v>0</v>
      </c>
      <c r="H102" s="1118"/>
      <c r="P102" s="12"/>
      <c r="Q102" s="12"/>
      <c r="R102" s="12"/>
      <c r="S102" s="12"/>
      <c r="T102" s="12"/>
      <c r="U102" s="12"/>
      <c r="V102" s="19"/>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row>
    <row r="103" spans="3:62" s="1" customFormat="1" ht="25.5" customHeight="1" x14ac:dyDescent="0.15">
      <c r="C103" s="1539" t="str">
        <f>IF($Q$2=2," Moins: Décroissements (Jrnl des dépenses)","Less: Decreases (Expense Jrnl)")</f>
        <v>Less: Decreases (Expense Jrnl)</v>
      </c>
      <c r="D103" s="1539"/>
      <c r="E103" s="1539"/>
      <c r="F103" s="1539"/>
      <c r="G103" s="1115">
        <f>'Jrnl Exp ~ Dép'!G529</f>
        <v>0</v>
      </c>
      <c r="I103" s="188"/>
      <c r="J103" s="188"/>
      <c r="K103" s="188"/>
      <c r="L103" s="188"/>
      <c r="M103" s="188"/>
      <c r="N103" s="1119"/>
      <c r="P103" s="12"/>
      <c r="Q103" s="12"/>
      <c r="R103" s="12"/>
      <c r="S103" s="12"/>
      <c r="T103" s="12"/>
      <c r="U103" s="12"/>
      <c r="V103" s="19"/>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row>
    <row r="104" spans="3:62" s="1" customFormat="1" ht="25.5" customHeight="1" x14ac:dyDescent="0.15">
      <c r="C104" s="1533"/>
      <c r="D104" s="1533"/>
      <c r="E104" s="1533"/>
      <c r="F104" s="1533"/>
      <c r="H104" s="1118"/>
      <c r="P104" s="12"/>
      <c r="Q104" s="12"/>
      <c r="R104" s="12"/>
      <c r="S104" s="12"/>
      <c r="T104" s="12"/>
      <c r="U104" s="12"/>
      <c r="V104" s="19"/>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row>
    <row r="105" spans="3:62" s="1" customFormat="1" ht="25.5" customHeight="1" thickBot="1" x14ac:dyDescent="0.2">
      <c r="C105" s="1524" t="str">
        <f>IF($Q$2=2,F100&amp;" Fonds disponible du compte",F100&amp;" Account Available Funds")</f>
        <v>1040 Account Available Funds</v>
      </c>
      <c r="D105" s="1524"/>
      <c r="E105" s="1524"/>
      <c r="F105" s="1524"/>
      <c r="G105" s="1120"/>
      <c r="I105" s="18"/>
      <c r="J105" s="12"/>
      <c r="K105" s="12"/>
      <c r="L105" s="12"/>
      <c r="M105" s="12"/>
      <c r="N105" s="1121"/>
      <c r="P105" s="12"/>
      <c r="Q105" s="12"/>
      <c r="R105" s="12"/>
      <c r="S105" s="12"/>
      <c r="T105" s="12"/>
      <c r="U105" s="12"/>
      <c r="V105" s="19"/>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row>
    <row r="106" spans="3:62" ht="25.5" customHeight="1" thickBot="1" x14ac:dyDescent="0.2">
      <c r="C106" s="1525" t="str">
        <f>IF($Q$2=2,"Solde reporté à la ligne "&amp;F100&amp;" du Bilan - page 7","This balance fwrd'd to line "&amp;F100&amp;" of Balance Sheet -  page 7")</f>
        <v>This balance fwrd'd to line 1040 of Balance Sheet -  page 7</v>
      </c>
      <c r="D106" s="1525"/>
      <c r="E106" s="1525"/>
      <c r="F106" s="1525"/>
      <c r="G106" s="1122">
        <f>IF(AND(SUM(G101+G102-G103)&lt;0.001,SUM(G101+G102-G103)&gt;-0.001),0,SUM(G101+G102-G103))</f>
        <v>0</v>
      </c>
      <c r="H106" s="605"/>
      <c r="I106" s="1"/>
      <c r="J106" s="82"/>
      <c r="K106" s="82"/>
      <c r="L106" s="82"/>
      <c r="M106" s="1123"/>
      <c r="N106" s="1122">
        <f>N101</f>
        <v>0</v>
      </c>
      <c r="O106" s="1"/>
      <c r="P106" s="12"/>
      <c r="Q106" s="12"/>
      <c r="R106" s="12"/>
      <c r="S106" s="12"/>
    </row>
    <row r="107" spans="3:62" s="1" customFormat="1" ht="9.75" customHeight="1" thickBot="1" x14ac:dyDescent="0.2">
      <c r="F107" s="189"/>
      <c r="J107" s="1118"/>
      <c r="M107" s="1124"/>
      <c r="P107" s="12"/>
      <c r="Q107" s="12"/>
      <c r="R107" s="12"/>
      <c r="S107" s="12"/>
      <c r="T107" s="12"/>
      <c r="U107" s="12"/>
      <c r="V107" s="19"/>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row>
    <row r="108" spans="3:62" s="1" customFormat="1" ht="25.5" customHeight="1" thickBot="1" x14ac:dyDescent="0.2">
      <c r="C108" s="1526"/>
      <c r="D108" s="1526"/>
      <c r="E108" s="1526"/>
      <c r="F108" s="1526"/>
      <c r="G108" s="1125">
        <f>IF(AND(G106-N106&lt;0.001,G106-N106&gt;-0.001),0,G106-N106)</f>
        <v>0</v>
      </c>
      <c r="H108" s="1527">
        <f>IF($Q$2=2,IF(G108=0,$T$8,$T$5),IF(G108=0,$T$9,$T$7))</f>
        <v>0</v>
      </c>
      <c r="I108" s="1527"/>
      <c r="J108" s="1527"/>
      <c r="K108" s="1527"/>
      <c r="L108" s="1527"/>
      <c r="M108" s="1527"/>
      <c r="N108" s="1528"/>
      <c r="P108" s="12"/>
      <c r="Q108" s="12"/>
      <c r="R108" s="12"/>
      <c r="S108" s="12"/>
      <c r="T108" s="188"/>
      <c r="U108" s="188"/>
      <c r="V108" s="502"/>
      <c r="W108" s="188"/>
      <c r="X108" s="188"/>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row>
    <row r="109" spans="3:62" s="1" customFormat="1" ht="15" customHeight="1" x14ac:dyDescent="0.15">
      <c r="C109" s="1529"/>
      <c r="D109" s="1529"/>
      <c r="E109" s="1529"/>
      <c r="F109" s="1529"/>
      <c r="G109" s="1529"/>
      <c r="H109" s="1529"/>
      <c r="I109" s="1529"/>
      <c r="J109" s="1529"/>
      <c r="K109" s="1529"/>
      <c r="L109" s="1529"/>
      <c r="M109" s="1529"/>
      <c r="N109" s="1529"/>
      <c r="O109" s="1109"/>
      <c r="P109" s="1104"/>
      <c r="R109" s="12"/>
      <c r="S109" s="12"/>
      <c r="T109" s="12"/>
      <c r="U109" s="12"/>
      <c r="V109" s="19"/>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row>
    <row r="110" spans="3:62" s="1" customFormat="1" ht="19.5" customHeight="1" x14ac:dyDescent="0.15">
      <c r="C110" s="1530"/>
      <c r="D110" s="1530"/>
      <c r="E110" s="1530"/>
      <c r="F110" s="1530"/>
      <c r="G110" s="1530"/>
      <c r="H110" s="1530"/>
      <c r="I110" s="1530"/>
      <c r="J110" s="1530"/>
      <c r="K110" s="1530"/>
      <c r="L110" s="1530"/>
      <c r="M110" s="1530"/>
      <c r="N110" s="1530"/>
      <c r="O110" s="1109"/>
      <c r="P110" s="1104"/>
      <c r="R110" s="12"/>
      <c r="S110" s="12"/>
      <c r="T110" s="12"/>
      <c r="U110" s="1117"/>
      <c r="V110" s="19"/>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row>
    <row r="111" spans="3:62" s="1" customFormat="1" ht="40.5" customHeight="1" x14ac:dyDescent="0.15">
      <c r="D111" s="1531" t="str">
        <f>IF($Q$2=2,"Réconciliation détaillée du compte "&amp;F113&amp;" - "&amp;C113,"Detailed Reconciliation of the Account "&amp;F113&amp;" - "&amp;C113)</f>
        <v>Detailed Reconciliation of the Account 1045 - Disponible ~ Available</v>
      </c>
      <c r="E111" s="1531"/>
      <c r="F111" s="1531"/>
      <c r="G111" s="1531"/>
      <c r="H111" s="1531"/>
      <c r="I111" s="1531"/>
      <c r="J111" s="1531"/>
      <c r="K111" s="1531"/>
      <c r="L111" s="1531"/>
      <c r="M111" s="1531"/>
      <c r="N111" s="1111"/>
      <c r="P111" s="12"/>
      <c r="R111" s="12"/>
      <c r="S111" s="12"/>
      <c r="T111" s="12"/>
      <c r="U111" s="12"/>
      <c r="V111" s="19"/>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row>
    <row r="112" spans="3:62" s="1" customFormat="1" ht="29.25" customHeight="1" x14ac:dyDescent="0.15">
      <c r="C112" s="1523" t="str">
        <f>IF($Q$2=2,"Réconciliation selon les livres comptables","Reconciliation as per BookKeeping")</f>
        <v>Reconciliation as per BookKeeping</v>
      </c>
      <c r="D112" s="1523"/>
      <c r="E112" s="1523"/>
      <c r="F112" s="1523"/>
      <c r="G112" s="1523"/>
      <c r="I112" s="1523" t="str">
        <f>IF($Q$2=2,"Réconciliation selon l'état de compte","Reconciliation as per Account Statement")</f>
        <v>Reconciliation as per Account Statement</v>
      </c>
      <c r="J112" s="1523"/>
      <c r="K112" s="1523"/>
      <c r="L112" s="1523"/>
      <c r="M112" s="1523"/>
      <c r="N112" s="1112" t="str">
        <f>F113</f>
        <v>1045</v>
      </c>
      <c r="P112" s="188"/>
      <c r="R112" s="188"/>
      <c r="S112" s="188"/>
      <c r="T112" s="12"/>
      <c r="U112" s="12"/>
      <c r="V112" s="19"/>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row>
    <row r="113" spans="3:62" s="1" customFormat="1" ht="25.5" customHeight="1" thickBot="1" x14ac:dyDescent="0.2">
      <c r="C113" s="1532" t="str">
        <f>'Set up ~ Config'!G52</f>
        <v>Disponible ~ Available</v>
      </c>
      <c r="D113" s="1532"/>
      <c r="E113" s="1532"/>
      <c r="F113" s="1113" t="str">
        <f>LEFT('Set up ~ Config'!F52,4)</f>
        <v>1045</v>
      </c>
      <c r="G113" s="82"/>
      <c r="I113" s="1534"/>
      <c r="J113" s="1534"/>
      <c r="K113" s="1534"/>
      <c r="L113" s="1534"/>
      <c r="M113" s="1534"/>
      <c r="N113" s="1534"/>
      <c r="P113" s="12"/>
      <c r="R113" s="12"/>
      <c r="S113" s="12"/>
      <c r="T113" s="12"/>
      <c r="U113" s="12"/>
      <c r="V113" s="19"/>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row>
    <row r="114" spans="3:62" s="1" customFormat="1" ht="25.5" customHeight="1" thickTop="1" thickBot="1" x14ac:dyDescent="0.2">
      <c r="C114" s="1535" t="str">
        <f>IF($Q$2=2,"Solde du compte au ","Account Balance on ")</f>
        <v xml:space="preserve">Account Balance on </v>
      </c>
      <c r="D114" s="1535"/>
      <c r="E114" s="1535"/>
      <c r="F114" s="1114" t="e">
        <f>DATEVALUE('Set up ~ Config'!$L$5)</f>
        <v>#VALUE!</v>
      </c>
      <c r="G114" s="1115">
        <f>'Set up ~ Config'!D52</f>
        <v>0</v>
      </c>
      <c r="I114" s="1116" t="str">
        <f>IF($Q$2=2,"Date (aaaa-mm-jj):","Date (yyyy-mm-dd):")</f>
        <v>Date (yyyy-mm-dd):</v>
      </c>
      <c r="J114" s="957"/>
      <c r="K114" s="1536" t="str">
        <f>IF($Q$2=2,"Solde :","Balance :")</f>
        <v>Balance :</v>
      </c>
      <c r="L114" s="1537"/>
      <c r="M114" s="1538"/>
      <c r="N114" s="942"/>
      <c r="P114" s="12"/>
      <c r="Q114" s="1540"/>
      <c r="R114" s="1540"/>
      <c r="S114" s="1540"/>
      <c r="T114" s="12"/>
      <c r="U114" s="12"/>
      <c r="V114" s="19"/>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row>
    <row r="115" spans="3:62" s="1" customFormat="1" ht="25.5" customHeight="1" thickTop="1" x14ac:dyDescent="0.15">
      <c r="C115" s="1539" t="str">
        <f>IF($Q$2=2,"Plus: Accroissements (Jrnl des revenus)","Plus: Increases (Revenue Jrnl)")</f>
        <v>Plus: Increases (Revenue Jrnl)</v>
      </c>
      <c r="D115" s="1539"/>
      <c r="E115" s="1539"/>
      <c r="F115" s="1539"/>
      <c r="G115" s="1115">
        <f>'Jrnl Rev'!G530</f>
        <v>0</v>
      </c>
      <c r="H115" s="1118"/>
      <c r="P115" s="12"/>
      <c r="Q115" s="12"/>
      <c r="R115" s="12"/>
      <c r="S115" s="12"/>
      <c r="T115" s="12"/>
      <c r="U115" s="12"/>
      <c r="V115" s="19"/>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row>
    <row r="116" spans="3:62" s="1" customFormat="1" ht="25.5" customHeight="1" x14ac:dyDescent="0.15">
      <c r="C116" s="1539" t="str">
        <f>IF($Q$2=2," Moins: Décroissements (Jrnl des dépenses)","Less: Decreases (Expense Jrnl)")</f>
        <v>Less: Decreases (Expense Jrnl)</v>
      </c>
      <c r="D116" s="1539"/>
      <c r="E116" s="1539"/>
      <c r="F116" s="1539"/>
      <c r="G116" s="1115">
        <f>'Jrnl Exp ~ Dép'!G530</f>
        <v>0</v>
      </c>
      <c r="I116" s="188"/>
      <c r="J116" s="188"/>
      <c r="K116" s="188"/>
      <c r="L116" s="188"/>
      <c r="M116" s="188"/>
      <c r="N116" s="1119"/>
      <c r="P116" s="12"/>
      <c r="Q116" s="12"/>
      <c r="R116" s="12"/>
      <c r="S116" s="12"/>
      <c r="T116" s="12"/>
      <c r="U116" s="12"/>
      <c r="V116" s="19"/>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row>
    <row r="117" spans="3:62" s="1" customFormat="1" ht="25.5" customHeight="1" x14ac:dyDescent="0.15">
      <c r="C117" s="1533"/>
      <c r="D117" s="1533"/>
      <c r="E117" s="1533"/>
      <c r="F117" s="1533"/>
      <c r="H117" s="1118"/>
      <c r="P117" s="12"/>
      <c r="Q117" s="12"/>
      <c r="R117" s="12"/>
      <c r="S117" s="12"/>
      <c r="T117" s="12"/>
      <c r="U117" s="12"/>
      <c r="V117" s="19"/>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row>
    <row r="118" spans="3:62" s="1" customFormat="1" ht="25.5" customHeight="1" thickBot="1" x14ac:dyDescent="0.2">
      <c r="C118" s="1524" t="str">
        <f>IF($Q$2=2,F113&amp;" Fonds disponible du compte",F113&amp;" Account Available Funds")</f>
        <v>1045 Account Available Funds</v>
      </c>
      <c r="D118" s="1524"/>
      <c r="E118" s="1524"/>
      <c r="F118" s="1524"/>
      <c r="G118" s="1120"/>
      <c r="I118" s="18"/>
      <c r="J118" s="12"/>
      <c r="K118" s="12"/>
      <c r="L118" s="12"/>
      <c r="M118" s="12"/>
      <c r="N118" s="1121"/>
      <c r="P118" s="12"/>
      <c r="Q118" s="12"/>
      <c r="R118" s="12"/>
      <c r="S118" s="12"/>
      <c r="T118" s="12"/>
      <c r="U118" s="12"/>
      <c r="V118" s="19"/>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row>
    <row r="119" spans="3:62" s="1" customFormat="1" ht="25.5" customHeight="1" thickBot="1" x14ac:dyDescent="0.2">
      <c r="C119" s="1525" t="str">
        <f>IF($Q$2=2,"Solde reporté à la ligne "&amp;F113&amp;" du Bilan - page 7","This balance fwrd'd to line "&amp;F113&amp;" of Balance Sheet -  page 7")</f>
        <v>This balance fwrd'd to line 1045 of Balance Sheet -  page 7</v>
      </c>
      <c r="D119" s="1525"/>
      <c r="E119" s="1525"/>
      <c r="F119" s="1525"/>
      <c r="G119" s="1122">
        <f>IF(AND(SUM(G114+G115-G116)&lt;0.001,SUM(G114+G115-G116)&gt;-0.001),0,SUM(G114+G115-G116))</f>
        <v>0</v>
      </c>
      <c r="H119" s="605"/>
      <c r="J119" s="82"/>
      <c r="K119" s="82"/>
      <c r="L119" s="82"/>
      <c r="M119" s="1123"/>
      <c r="N119" s="1122">
        <f>N114</f>
        <v>0</v>
      </c>
      <c r="P119" s="12"/>
      <c r="Q119" s="12"/>
      <c r="R119" s="12"/>
      <c r="S119" s="12"/>
      <c r="T119" s="12"/>
      <c r="U119" s="12"/>
      <c r="V119" s="19"/>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row>
    <row r="120" spans="3:62" ht="9.75" customHeight="1" thickBot="1" x14ac:dyDescent="0.2">
      <c r="C120" s="1"/>
      <c r="D120" s="1"/>
      <c r="E120" s="1"/>
      <c r="F120" s="189"/>
      <c r="G120" s="1"/>
      <c r="H120" s="1"/>
      <c r="I120" s="1"/>
      <c r="J120" s="1118"/>
      <c r="K120" s="1"/>
      <c r="L120" s="1"/>
      <c r="M120" s="1124"/>
      <c r="N120" s="1"/>
      <c r="O120" s="1"/>
      <c r="P120" s="12"/>
      <c r="Q120" s="12"/>
      <c r="R120" s="12"/>
      <c r="S120" s="12"/>
    </row>
    <row r="121" spans="3:62" s="1" customFormat="1" ht="25.5" customHeight="1" thickBot="1" x14ac:dyDescent="0.2">
      <c r="C121" s="1526"/>
      <c r="D121" s="1526"/>
      <c r="E121" s="1526"/>
      <c r="F121" s="1526"/>
      <c r="G121" s="1125">
        <f>IF(AND(G119-N119&lt;0.001,G119-N119&gt;-0.001),0,G119-N119)</f>
        <v>0</v>
      </c>
      <c r="H121" s="1527">
        <f>IF($Q$2=2,IF(G121=0,$T$8,$T$5),IF(G121=0,$T$9,$T$7))</f>
        <v>0</v>
      </c>
      <c r="I121" s="1527"/>
      <c r="J121" s="1527"/>
      <c r="K121" s="1527"/>
      <c r="L121" s="1527"/>
      <c r="M121" s="1527"/>
      <c r="N121" s="1528"/>
      <c r="P121" s="12"/>
      <c r="Q121" s="12"/>
      <c r="R121" s="12"/>
      <c r="S121" s="12"/>
      <c r="T121" s="12"/>
      <c r="U121" s="12"/>
      <c r="V121" s="19"/>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row>
    <row r="122" spans="3:62" s="1" customFormat="1" ht="15" customHeight="1" x14ac:dyDescent="0.15">
      <c r="C122" s="1529"/>
      <c r="D122" s="1529"/>
      <c r="E122" s="1529"/>
      <c r="F122" s="1529"/>
      <c r="G122" s="1529"/>
      <c r="H122" s="1529"/>
      <c r="I122" s="1529"/>
      <c r="J122" s="1529"/>
      <c r="K122" s="1529"/>
      <c r="L122" s="1529"/>
      <c r="M122" s="1529"/>
      <c r="N122" s="1529"/>
      <c r="O122" s="1109"/>
      <c r="P122" s="1104"/>
      <c r="R122" s="12"/>
      <c r="S122" s="12"/>
      <c r="T122" s="188"/>
      <c r="U122" s="188"/>
      <c r="V122" s="502"/>
      <c r="W122" s="188"/>
      <c r="X122" s="188"/>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row>
    <row r="123" spans="3:62" s="1" customFormat="1" ht="19.5" customHeight="1" x14ac:dyDescent="0.15">
      <c r="C123" s="1530"/>
      <c r="D123" s="1530"/>
      <c r="E123" s="1530"/>
      <c r="F123" s="1530"/>
      <c r="G123" s="1530"/>
      <c r="H123" s="1530"/>
      <c r="I123" s="1530"/>
      <c r="J123" s="1530"/>
      <c r="K123" s="1530"/>
      <c r="L123" s="1530"/>
      <c r="M123" s="1530"/>
      <c r="N123" s="1530"/>
      <c r="O123" s="1109"/>
      <c r="P123" s="1104"/>
      <c r="R123" s="12"/>
      <c r="S123" s="12"/>
      <c r="T123" s="12"/>
      <c r="U123" s="12"/>
      <c r="V123" s="19"/>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row>
    <row r="124" spans="3:62" s="1" customFormat="1" ht="40.5" customHeight="1" x14ac:dyDescent="0.15">
      <c r="D124" s="1531" t="str">
        <f>IF($Q$2=2,"Réconciliation détaillée du compte "&amp;F126&amp;" - "&amp;C126,"Detailed Reconciliation of the Account "&amp;F126&amp;" - "&amp;C126)</f>
        <v>Detailed Reconciliation of the Account 1050 - Disponible ~ Available</v>
      </c>
      <c r="E124" s="1531"/>
      <c r="F124" s="1531"/>
      <c r="G124" s="1531"/>
      <c r="H124" s="1531"/>
      <c r="I124" s="1531"/>
      <c r="J124" s="1531"/>
      <c r="K124" s="1531"/>
      <c r="L124" s="1531"/>
      <c r="M124" s="1531"/>
      <c r="N124" s="1111"/>
      <c r="P124" s="12"/>
      <c r="R124" s="12"/>
      <c r="S124" s="12"/>
      <c r="T124" s="12"/>
      <c r="U124" s="1117"/>
      <c r="V124" s="19"/>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row>
    <row r="125" spans="3:62" s="1" customFormat="1" ht="29.25" customHeight="1" x14ac:dyDescent="0.15">
      <c r="C125" s="1523" t="str">
        <f>IF($Q$2=2,"Réconciliation selon les livres comptables","Reconciliation as per BookKeeping")</f>
        <v>Reconciliation as per BookKeeping</v>
      </c>
      <c r="D125" s="1523"/>
      <c r="E125" s="1523"/>
      <c r="F125" s="1523"/>
      <c r="G125" s="1523"/>
      <c r="I125" s="1523" t="str">
        <f>IF($Q$2=2,"Réconciliation selon l'état de compte","Reconciliation as per Account Statement")</f>
        <v>Reconciliation as per Account Statement</v>
      </c>
      <c r="J125" s="1523"/>
      <c r="K125" s="1523"/>
      <c r="L125" s="1523"/>
      <c r="M125" s="1523"/>
      <c r="N125" s="1112" t="str">
        <f>F126</f>
        <v>1050</v>
      </c>
      <c r="P125" s="188"/>
      <c r="R125" s="188"/>
      <c r="S125" s="188"/>
      <c r="T125" s="12"/>
      <c r="U125" s="12"/>
      <c r="V125" s="19"/>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row>
    <row r="126" spans="3:62" s="1" customFormat="1" ht="25.5" customHeight="1" thickBot="1" x14ac:dyDescent="0.2">
      <c r="C126" s="1532" t="str">
        <f>'Set up ~ Config'!G53</f>
        <v>Disponible ~ Available</v>
      </c>
      <c r="D126" s="1532"/>
      <c r="E126" s="1532"/>
      <c r="F126" s="1113" t="str">
        <f>LEFT('Set up ~ Config'!F53,4)</f>
        <v>1050</v>
      </c>
      <c r="G126" s="82"/>
      <c r="I126" s="1534"/>
      <c r="J126" s="1534"/>
      <c r="K126" s="1534"/>
      <c r="L126" s="1534"/>
      <c r="M126" s="1534"/>
      <c r="N126" s="1534"/>
      <c r="P126" s="12"/>
      <c r="R126" s="12"/>
      <c r="S126" s="12"/>
      <c r="T126" s="12"/>
      <c r="U126" s="12"/>
      <c r="V126" s="19"/>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row>
    <row r="127" spans="3:62" s="1" customFormat="1" ht="25.5" customHeight="1" thickTop="1" thickBot="1" x14ac:dyDescent="0.2">
      <c r="C127" s="1535" t="str">
        <f>IF($Q$2=2,"Solde du compte au ","Account Balance on ")</f>
        <v xml:space="preserve">Account Balance on </v>
      </c>
      <c r="D127" s="1535"/>
      <c r="E127" s="1535"/>
      <c r="F127" s="1114" t="e">
        <f>DATEVALUE('Set up ~ Config'!$L$5)</f>
        <v>#VALUE!</v>
      </c>
      <c r="G127" s="1115">
        <f>'Set up ~ Config'!D53</f>
        <v>0</v>
      </c>
      <c r="I127" s="1116" t="str">
        <f>IF($Q$2=2,"Date (aaaa-mm-jj):","Date (yyyy-mm-dd):")</f>
        <v>Date (yyyy-mm-dd):</v>
      </c>
      <c r="J127" s="957"/>
      <c r="K127" s="1536" t="str">
        <f>IF($Q$2=2,"Solde :","Balance :")</f>
        <v>Balance :</v>
      </c>
      <c r="L127" s="1537"/>
      <c r="M127" s="1538"/>
      <c r="N127" s="942"/>
      <c r="P127" s="12"/>
      <c r="Q127" s="1540"/>
      <c r="R127" s="1540"/>
      <c r="S127" s="1540"/>
      <c r="T127" s="12"/>
      <c r="U127" s="12"/>
      <c r="V127" s="19"/>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row>
    <row r="128" spans="3:62" s="1" customFormat="1" ht="25.5" customHeight="1" thickTop="1" x14ac:dyDescent="0.15">
      <c r="C128" s="1539" t="str">
        <f>IF($Q$2=2,"Plus: Accroissements (Jrnl des revenus)","Plus: Increases (Revenue Jrnl)")</f>
        <v>Plus: Increases (Revenue Jrnl)</v>
      </c>
      <c r="D128" s="1539"/>
      <c r="E128" s="1539"/>
      <c r="F128" s="1539"/>
      <c r="G128" s="1115">
        <f>'Jrnl Rev'!G531</f>
        <v>0</v>
      </c>
      <c r="H128" s="1118"/>
      <c r="P128" s="12"/>
      <c r="Q128" s="12"/>
      <c r="R128" s="12"/>
      <c r="S128" s="12"/>
      <c r="T128" s="12"/>
      <c r="U128" s="12"/>
      <c r="V128" s="19"/>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row>
    <row r="129" spans="3:62" s="1" customFormat="1" ht="25.5" customHeight="1" x14ac:dyDescent="0.15">
      <c r="C129" s="1539" t="str">
        <f>IF($Q$2=2," Moins: Décroissements (Jrnl des dépenses)","Less: Decreases (Expense Jrnl)")</f>
        <v>Less: Decreases (Expense Jrnl)</v>
      </c>
      <c r="D129" s="1539"/>
      <c r="E129" s="1539"/>
      <c r="F129" s="1539"/>
      <c r="G129" s="1115">
        <f>'Jrnl Exp ~ Dép'!G531</f>
        <v>0</v>
      </c>
      <c r="I129" s="188"/>
      <c r="J129" s="188"/>
      <c r="K129" s="188"/>
      <c r="L129" s="188"/>
      <c r="M129" s="188"/>
      <c r="N129" s="1119"/>
      <c r="P129" s="12"/>
      <c r="Q129" s="12"/>
      <c r="R129" s="12"/>
      <c r="S129" s="12"/>
      <c r="T129" s="12"/>
      <c r="U129" s="12"/>
      <c r="V129" s="19"/>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row>
    <row r="130" spans="3:62" s="1" customFormat="1" ht="25.5" customHeight="1" x14ac:dyDescent="0.15">
      <c r="C130" s="1533"/>
      <c r="D130" s="1533"/>
      <c r="E130" s="1533"/>
      <c r="F130" s="1533"/>
      <c r="H130" s="1118"/>
      <c r="P130" s="12"/>
      <c r="Q130" s="12"/>
      <c r="R130" s="12"/>
      <c r="S130" s="12"/>
      <c r="T130" s="12"/>
      <c r="U130" s="12"/>
      <c r="V130" s="19"/>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row>
    <row r="131" spans="3:62" s="1" customFormat="1" ht="25.5" customHeight="1" thickBot="1" x14ac:dyDescent="0.2">
      <c r="C131" s="1524" t="str">
        <f>IF($Q$2=2,F126&amp;" Fonds disponible du compte",F126&amp;" Account Available Funds")</f>
        <v>1050 Account Available Funds</v>
      </c>
      <c r="D131" s="1524"/>
      <c r="E131" s="1524"/>
      <c r="F131" s="1524"/>
      <c r="G131" s="1120"/>
      <c r="I131" s="18"/>
      <c r="J131" s="12"/>
      <c r="K131" s="12"/>
      <c r="L131" s="12"/>
      <c r="M131" s="12"/>
      <c r="N131" s="1121"/>
      <c r="P131" s="12"/>
      <c r="Q131" s="12"/>
      <c r="R131" s="12"/>
      <c r="S131" s="12"/>
      <c r="T131" s="12"/>
      <c r="U131" s="12"/>
      <c r="V131" s="19"/>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row>
    <row r="132" spans="3:62" s="1" customFormat="1" ht="25.5" customHeight="1" thickBot="1" x14ac:dyDescent="0.2">
      <c r="C132" s="1525" t="str">
        <f>IF($Q$2=2,"Solde reporté à la ligne "&amp;F126&amp;" du Bilan - page 7","This balance fwrd'd to line "&amp;F126&amp;" of Balance Sheet -  page 7")</f>
        <v>This balance fwrd'd to line 1050 of Balance Sheet -  page 7</v>
      </c>
      <c r="D132" s="1525"/>
      <c r="E132" s="1525"/>
      <c r="F132" s="1525"/>
      <c r="G132" s="1122">
        <f>IF(AND(SUM(G127+G128-G129)&lt;0.001,SUM(G127+G128-G129)&gt;-0.001),0,SUM(G127+G128-G129))</f>
        <v>0</v>
      </c>
      <c r="H132" s="605"/>
      <c r="J132" s="82"/>
      <c r="K132" s="82"/>
      <c r="L132" s="82"/>
      <c r="M132" s="1123"/>
      <c r="N132" s="1122">
        <f>N127</f>
        <v>0</v>
      </c>
      <c r="P132" s="12"/>
      <c r="Q132" s="12"/>
      <c r="R132" s="12"/>
      <c r="S132" s="12"/>
      <c r="T132" s="12"/>
      <c r="U132" s="12"/>
      <c r="V132" s="19"/>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row>
    <row r="133" spans="3:62" s="1" customFormat="1" ht="9.75" customHeight="1" thickBot="1" x14ac:dyDescent="0.2">
      <c r="F133" s="189"/>
      <c r="J133" s="1118"/>
      <c r="M133" s="1124"/>
      <c r="P133" s="12"/>
      <c r="Q133" s="12"/>
      <c r="R133" s="12"/>
      <c r="S133" s="12"/>
      <c r="T133" s="12"/>
      <c r="U133" s="12"/>
      <c r="V133" s="19"/>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row>
    <row r="134" spans="3:62" ht="25.5" customHeight="1" thickBot="1" x14ac:dyDescent="0.2">
      <c r="C134" s="1526"/>
      <c r="D134" s="1526"/>
      <c r="E134" s="1526"/>
      <c r="F134" s="1526"/>
      <c r="G134" s="1125">
        <f>IF(AND(G132-N132&lt;0.001,G132-N132&gt;-0.001),0,G132-N132)</f>
        <v>0</v>
      </c>
      <c r="H134" s="1527">
        <f>IF($Q$2=2,IF(G134=0,$T$8,$T$5),IF(G134=0,$T$9,$T$7))</f>
        <v>0</v>
      </c>
      <c r="I134" s="1527"/>
      <c r="J134" s="1527"/>
      <c r="K134" s="1527"/>
      <c r="L134" s="1527"/>
      <c r="M134" s="1527"/>
      <c r="N134" s="1528"/>
      <c r="O134" s="1"/>
      <c r="P134" s="12"/>
      <c r="Q134" s="12"/>
      <c r="R134" s="12"/>
      <c r="S134" s="12"/>
    </row>
    <row r="135" spans="3:62" s="1" customFormat="1" ht="15" customHeight="1" x14ac:dyDescent="0.15">
      <c r="C135" s="1529"/>
      <c r="D135" s="1529"/>
      <c r="E135" s="1529"/>
      <c r="F135" s="1529"/>
      <c r="G135" s="1529"/>
      <c r="H135" s="1529"/>
      <c r="I135" s="1529"/>
      <c r="J135" s="1529"/>
      <c r="K135" s="1529"/>
      <c r="L135" s="1529"/>
      <c r="M135" s="1529"/>
      <c r="N135" s="1529"/>
      <c r="O135" s="1109"/>
      <c r="P135" s="1104"/>
      <c r="R135" s="12"/>
      <c r="S135" s="12"/>
      <c r="T135" s="12"/>
      <c r="U135" s="12"/>
      <c r="V135" s="19"/>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row>
    <row r="136" spans="3:62" s="1" customFormat="1" ht="19.5" customHeight="1" x14ac:dyDescent="0.15">
      <c r="C136" s="1530"/>
      <c r="D136" s="1530"/>
      <c r="E136" s="1530"/>
      <c r="F136" s="1530"/>
      <c r="G136" s="1530"/>
      <c r="H136" s="1530"/>
      <c r="I136" s="1530"/>
      <c r="J136" s="1530"/>
      <c r="K136" s="1530"/>
      <c r="L136" s="1530"/>
      <c r="M136" s="1530"/>
      <c r="N136" s="1530"/>
      <c r="O136" s="1109"/>
      <c r="P136" s="1104"/>
      <c r="R136" s="12"/>
      <c r="S136" s="12"/>
      <c r="T136" s="188"/>
      <c r="U136" s="188"/>
      <c r="V136" s="502"/>
      <c r="W136" s="188"/>
      <c r="X136" s="188"/>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row>
    <row r="137" spans="3:62" s="1" customFormat="1" ht="40.5" customHeight="1" x14ac:dyDescent="0.15">
      <c r="D137" s="1531" t="str">
        <f>IF($Q$2=2,"Réconciliation détaillée du compte "&amp;F139&amp;" - "&amp;C139,"Detailed Reconciliation of the Account "&amp;F139&amp;" - "&amp;C139)</f>
        <v>Detailed Reconciliation of the Account 1055 - Disponible ~ Available</v>
      </c>
      <c r="E137" s="1531"/>
      <c r="F137" s="1531"/>
      <c r="G137" s="1531"/>
      <c r="H137" s="1531"/>
      <c r="I137" s="1531"/>
      <c r="J137" s="1531"/>
      <c r="K137" s="1531"/>
      <c r="L137" s="1531"/>
      <c r="M137" s="1531"/>
      <c r="N137" s="1111"/>
      <c r="P137" s="12"/>
      <c r="R137" s="12"/>
      <c r="S137" s="12"/>
      <c r="T137" s="12"/>
      <c r="U137" s="12"/>
      <c r="V137" s="19"/>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row>
    <row r="138" spans="3:62" s="1" customFormat="1" ht="29.25" customHeight="1" x14ac:dyDescent="0.15">
      <c r="C138" s="1523" t="str">
        <f>IF($Q$2=2,"Réconciliation selon les livres comptables","Reconciliation as per BookKeeping")</f>
        <v>Reconciliation as per BookKeeping</v>
      </c>
      <c r="D138" s="1523"/>
      <c r="E138" s="1523"/>
      <c r="F138" s="1523"/>
      <c r="G138" s="1523"/>
      <c r="I138" s="1523" t="str">
        <f>IF($Q$2=2,"Réconciliation selon l'état de compte","Reconciliation as per Account Statement")</f>
        <v>Reconciliation as per Account Statement</v>
      </c>
      <c r="J138" s="1523"/>
      <c r="K138" s="1523"/>
      <c r="L138" s="1523"/>
      <c r="M138" s="1523"/>
      <c r="N138" s="1112" t="str">
        <f>F139</f>
        <v>1055</v>
      </c>
      <c r="P138" s="188"/>
      <c r="R138" s="188"/>
      <c r="S138" s="188"/>
      <c r="T138" s="12"/>
      <c r="U138" s="1117"/>
      <c r="V138" s="19"/>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row>
    <row r="139" spans="3:62" s="1" customFormat="1" ht="25.5" customHeight="1" thickBot="1" x14ac:dyDescent="0.2">
      <c r="C139" s="1532" t="str">
        <f>'Set up ~ Config'!G54</f>
        <v>Disponible ~ Available</v>
      </c>
      <c r="D139" s="1532"/>
      <c r="E139" s="1532"/>
      <c r="F139" s="1113" t="str">
        <f>LEFT('Set up ~ Config'!F54,4)</f>
        <v>1055</v>
      </c>
      <c r="G139" s="82"/>
      <c r="I139" s="1534"/>
      <c r="J139" s="1534"/>
      <c r="K139" s="1534"/>
      <c r="L139" s="1534"/>
      <c r="M139" s="1534"/>
      <c r="N139" s="1534"/>
      <c r="P139" s="12"/>
      <c r="R139" s="12"/>
      <c r="S139" s="12"/>
      <c r="T139" s="12"/>
      <c r="U139" s="12"/>
      <c r="V139" s="19"/>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row>
    <row r="140" spans="3:62" s="1" customFormat="1" ht="25.5" customHeight="1" thickTop="1" thickBot="1" x14ac:dyDescent="0.2">
      <c r="C140" s="1535" t="str">
        <f>IF($Q$2=2,"Solde du compte au ","Account Balance on ")</f>
        <v xml:space="preserve">Account Balance on </v>
      </c>
      <c r="D140" s="1535"/>
      <c r="E140" s="1535"/>
      <c r="F140" s="1114" t="e">
        <f>DATEVALUE('Set up ~ Config'!$L$5)</f>
        <v>#VALUE!</v>
      </c>
      <c r="G140" s="1115">
        <f>'Set up ~ Config'!D54</f>
        <v>0</v>
      </c>
      <c r="I140" s="1116" t="str">
        <f>IF($Q$2=2,"Date (aaaa-mm-jj):","Date (yyyy-mm-dd):")</f>
        <v>Date (yyyy-mm-dd):</v>
      </c>
      <c r="J140" s="957"/>
      <c r="K140" s="1536" t="str">
        <f>IF($Q$2=2,"Solde :","Balance :")</f>
        <v>Balance :</v>
      </c>
      <c r="L140" s="1537"/>
      <c r="M140" s="1538"/>
      <c r="N140" s="942"/>
      <c r="P140" s="12"/>
      <c r="Q140" s="1540"/>
      <c r="R140" s="1540"/>
      <c r="S140" s="1540"/>
      <c r="T140" s="12"/>
      <c r="U140" s="12"/>
      <c r="V140" s="19"/>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row>
    <row r="141" spans="3:62" s="1" customFormat="1" ht="25.5" customHeight="1" thickTop="1" x14ac:dyDescent="0.15">
      <c r="C141" s="1539" t="str">
        <f>IF($Q$2=2,"Plus: Accroissements (Jrnl des revenus)","Plus: Increases (Revenue Jrnl)")</f>
        <v>Plus: Increases (Revenue Jrnl)</v>
      </c>
      <c r="D141" s="1539"/>
      <c r="E141" s="1539"/>
      <c r="F141" s="1539"/>
      <c r="G141" s="1115">
        <f>'Jrnl Rev'!G532</f>
        <v>0</v>
      </c>
      <c r="H141" s="1118"/>
      <c r="P141" s="12"/>
      <c r="Q141" s="12"/>
      <c r="R141" s="12"/>
      <c r="S141" s="12"/>
      <c r="T141" s="12"/>
      <c r="U141" s="12"/>
      <c r="V141" s="19"/>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row>
    <row r="142" spans="3:62" s="1" customFormat="1" ht="25.5" customHeight="1" x14ac:dyDescent="0.15">
      <c r="C142" s="1539" t="str">
        <f>IF($Q$2=2," Moins: Décroissements (Jrnl des dépenses)","Less: Decreases (Expense Jrnl)")</f>
        <v>Less: Decreases (Expense Jrnl)</v>
      </c>
      <c r="D142" s="1539"/>
      <c r="E142" s="1539"/>
      <c r="F142" s="1539"/>
      <c r="G142" s="1115">
        <f>'Jrnl Exp ~ Dép'!G532</f>
        <v>0</v>
      </c>
      <c r="I142" s="188"/>
      <c r="J142" s="188"/>
      <c r="K142" s="188"/>
      <c r="L142" s="188"/>
      <c r="M142" s="188"/>
      <c r="N142" s="1119"/>
      <c r="P142" s="12"/>
      <c r="Q142" s="12"/>
      <c r="R142" s="12"/>
      <c r="S142" s="12"/>
      <c r="T142" s="12"/>
      <c r="U142" s="12"/>
      <c r="V142" s="19"/>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row>
    <row r="143" spans="3:62" s="1" customFormat="1" ht="25.5" customHeight="1" x14ac:dyDescent="0.15">
      <c r="C143" s="1533"/>
      <c r="D143" s="1533"/>
      <c r="E143" s="1533"/>
      <c r="F143" s="1533"/>
      <c r="H143" s="1118"/>
      <c r="P143" s="12"/>
      <c r="Q143" s="12"/>
      <c r="R143" s="12"/>
      <c r="S143" s="12"/>
      <c r="T143" s="12"/>
      <c r="U143" s="12"/>
      <c r="V143" s="19"/>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row>
    <row r="144" spans="3:62" s="1" customFormat="1" ht="25.5" customHeight="1" thickBot="1" x14ac:dyDescent="0.2">
      <c r="C144" s="1524" t="str">
        <f>IF($Q$2=2,F139&amp;" Fonds disponible du compte",F139&amp;" Account Available Funds")</f>
        <v>1055 Account Available Funds</v>
      </c>
      <c r="D144" s="1524"/>
      <c r="E144" s="1524"/>
      <c r="F144" s="1524"/>
      <c r="G144" s="1120"/>
      <c r="I144" s="18"/>
      <c r="J144" s="12"/>
      <c r="K144" s="12"/>
      <c r="L144" s="12"/>
      <c r="M144" s="12"/>
      <c r="N144" s="1121"/>
      <c r="P144" s="12"/>
      <c r="Q144" s="12"/>
      <c r="R144" s="12"/>
      <c r="S144" s="12"/>
      <c r="T144" s="12"/>
      <c r="U144" s="12"/>
      <c r="V144" s="19"/>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row>
    <row r="145" spans="3:62" s="1" customFormat="1" ht="25.5" customHeight="1" thickBot="1" x14ac:dyDescent="0.2">
      <c r="C145" s="1525" t="str">
        <f>IF($Q$2=2,"Solde reporté à la ligne "&amp;F139&amp;" du Bilan - page 7","This balance fwrd'd to line "&amp;F139&amp;" of Balance Sheet -  page 7")</f>
        <v>This balance fwrd'd to line 1055 of Balance Sheet -  page 7</v>
      </c>
      <c r="D145" s="1525"/>
      <c r="E145" s="1525"/>
      <c r="F145" s="1525"/>
      <c r="G145" s="1122">
        <f>IF(AND(SUM(G140+G141-G142)&lt;0.001,SUM(G140+G141-G142)&gt;-0.001),0,SUM(G140+G141-G142))</f>
        <v>0</v>
      </c>
      <c r="H145" s="605"/>
      <c r="J145" s="82"/>
      <c r="K145" s="82"/>
      <c r="L145" s="82"/>
      <c r="M145" s="1123"/>
      <c r="N145" s="1122">
        <f>N140</f>
        <v>0</v>
      </c>
      <c r="P145" s="12"/>
      <c r="Q145" s="12"/>
      <c r="R145" s="12"/>
      <c r="S145" s="12"/>
      <c r="T145" s="12"/>
      <c r="U145" s="12"/>
      <c r="V145" s="19"/>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row>
    <row r="146" spans="3:62" s="1" customFormat="1" ht="9.75" customHeight="1" thickBot="1" x14ac:dyDescent="0.2">
      <c r="F146" s="189"/>
      <c r="J146" s="1118"/>
      <c r="M146" s="1124"/>
      <c r="P146" s="12"/>
      <c r="Q146" s="12"/>
      <c r="R146" s="12"/>
      <c r="S146" s="12"/>
      <c r="T146" s="12"/>
      <c r="U146" s="12"/>
      <c r="V146" s="19"/>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row>
    <row r="147" spans="3:62" s="1" customFormat="1" ht="25.5" customHeight="1" thickBot="1" x14ac:dyDescent="0.2">
      <c r="C147" s="1526"/>
      <c r="D147" s="1526"/>
      <c r="E147" s="1526"/>
      <c r="F147" s="1526"/>
      <c r="G147" s="1125">
        <f>IF(AND(G145-N145&lt;0.001,G145-N145&gt;-0.001),0,G145-N145)</f>
        <v>0</v>
      </c>
      <c r="H147" s="1527">
        <f>IF($Q$2=2,IF(G147=0,$T$8,$T$5),IF(G147=0,$T$9,$T$7))</f>
        <v>0</v>
      </c>
      <c r="I147" s="1527"/>
      <c r="J147" s="1527"/>
      <c r="K147" s="1527"/>
      <c r="L147" s="1527"/>
      <c r="M147" s="1527"/>
      <c r="N147" s="1528"/>
      <c r="P147" s="12"/>
      <c r="Q147" s="12"/>
      <c r="R147" s="12"/>
      <c r="S147" s="12"/>
      <c r="T147" s="12"/>
      <c r="U147" s="12"/>
      <c r="V147" s="19"/>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row>
    <row r="148" spans="3:62" ht="15" customHeight="1" x14ac:dyDescent="0.15">
      <c r="C148" s="1529"/>
      <c r="D148" s="1529"/>
      <c r="E148" s="1529"/>
      <c r="F148" s="1529"/>
      <c r="G148" s="1529"/>
      <c r="H148" s="1529"/>
      <c r="I148" s="1529"/>
      <c r="J148" s="1529"/>
      <c r="K148" s="1529"/>
      <c r="L148" s="1529"/>
      <c r="M148" s="1529"/>
      <c r="N148" s="1529"/>
      <c r="O148" s="1109"/>
      <c r="P148" s="1104"/>
      <c r="Q148" s="1"/>
      <c r="R148" s="12"/>
      <c r="S148" s="12"/>
    </row>
    <row r="149" spans="3:62" s="1" customFormat="1" ht="19.5" customHeight="1" x14ac:dyDescent="0.15">
      <c r="C149" s="1530"/>
      <c r="D149" s="1530"/>
      <c r="E149" s="1530"/>
      <c r="F149" s="1530"/>
      <c r="G149" s="1530"/>
      <c r="H149" s="1530"/>
      <c r="I149" s="1530"/>
      <c r="J149" s="1530"/>
      <c r="K149" s="1530"/>
      <c r="L149" s="1530"/>
      <c r="M149" s="1530"/>
      <c r="N149" s="1530"/>
      <c r="O149" s="1109"/>
      <c r="P149" s="1104"/>
      <c r="R149" s="12"/>
      <c r="S149" s="12"/>
      <c r="T149" s="12"/>
      <c r="U149" s="12"/>
      <c r="V149" s="19"/>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row>
    <row r="150" spans="3:62" s="1" customFormat="1" ht="40.5" customHeight="1" x14ac:dyDescent="0.15">
      <c r="D150" s="1531" t="str">
        <f>IF($Q$2=2,"Réconciliation détaillée du compte "&amp;F152&amp;" - "&amp;C152,"Detailed Reconciliation of the Account "&amp;F152&amp;" - "&amp;C152)</f>
        <v>Detailed Reconciliation of the Account 1060 - Disponible ~ Available</v>
      </c>
      <c r="E150" s="1531"/>
      <c r="F150" s="1531"/>
      <c r="G150" s="1531"/>
      <c r="H150" s="1531"/>
      <c r="I150" s="1531"/>
      <c r="J150" s="1531"/>
      <c r="K150" s="1531"/>
      <c r="L150" s="1531"/>
      <c r="M150" s="1531"/>
      <c r="N150" s="1111"/>
      <c r="P150" s="12"/>
      <c r="R150" s="12"/>
      <c r="S150" s="12"/>
      <c r="T150" s="188"/>
      <c r="U150" s="188"/>
      <c r="V150" s="502"/>
      <c r="W150" s="188"/>
      <c r="X150" s="188"/>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row>
    <row r="151" spans="3:62" s="1" customFormat="1" ht="29.25" customHeight="1" x14ac:dyDescent="0.15">
      <c r="C151" s="1523" t="str">
        <f>IF($Q$2=2,"Réconciliation selon les livres comptables","Reconciliation as per BookKeeping")</f>
        <v>Reconciliation as per BookKeeping</v>
      </c>
      <c r="D151" s="1523"/>
      <c r="E151" s="1523"/>
      <c r="F151" s="1523"/>
      <c r="G151" s="1523"/>
      <c r="I151" s="1523" t="str">
        <f>IF($Q$2=2,"Réconciliation selon l'état de compte","Reconciliation as per Account Statement")</f>
        <v>Reconciliation as per Account Statement</v>
      </c>
      <c r="J151" s="1523"/>
      <c r="K151" s="1523"/>
      <c r="L151" s="1523"/>
      <c r="M151" s="1523"/>
      <c r="N151" s="1112" t="str">
        <f>F152</f>
        <v>1060</v>
      </c>
      <c r="P151" s="188"/>
      <c r="R151" s="188"/>
      <c r="S151" s="188"/>
      <c r="T151" s="12"/>
      <c r="U151" s="12"/>
      <c r="V151" s="19"/>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row>
    <row r="152" spans="3:62" s="1" customFormat="1" ht="25.5" customHeight="1" thickBot="1" x14ac:dyDescent="0.2">
      <c r="C152" s="1532" t="str">
        <f>'Set up ~ Config'!G55</f>
        <v>Disponible ~ Available</v>
      </c>
      <c r="D152" s="1532"/>
      <c r="E152" s="1532"/>
      <c r="F152" s="1113" t="str">
        <f>LEFT('Set up ~ Config'!F55,4)</f>
        <v>1060</v>
      </c>
      <c r="G152" s="82"/>
      <c r="I152" s="1534"/>
      <c r="J152" s="1534"/>
      <c r="K152" s="1534"/>
      <c r="L152" s="1534"/>
      <c r="M152" s="1534"/>
      <c r="N152" s="1534"/>
      <c r="P152" s="12"/>
      <c r="R152" s="12"/>
      <c r="S152" s="12"/>
      <c r="T152" s="12"/>
      <c r="U152" s="1117"/>
      <c r="V152" s="19"/>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row>
    <row r="153" spans="3:62" s="1" customFormat="1" ht="25.5" customHeight="1" thickTop="1" thickBot="1" x14ac:dyDescent="0.2">
      <c r="C153" s="1535" t="str">
        <f>IF($Q$2=2,"Solde du compte au ","Account Balance on ")</f>
        <v xml:space="preserve">Account Balance on </v>
      </c>
      <c r="D153" s="1535"/>
      <c r="E153" s="1535"/>
      <c r="F153" s="1114" t="e">
        <f>DATEVALUE('Set up ~ Config'!$L$5)</f>
        <v>#VALUE!</v>
      </c>
      <c r="G153" s="1115">
        <f>'Set up ~ Config'!D55</f>
        <v>0</v>
      </c>
      <c r="I153" s="1116" t="str">
        <f>IF($Q$2=2,"Date (aaaa-mm-jj):","Date (yyyy-mm-dd):")</f>
        <v>Date (yyyy-mm-dd):</v>
      </c>
      <c r="J153" s="957"/>
      <c r="K153" s="1536" t="str">
        <f>IF($Q$2=2,"Solde :","Balance :")</f>
        <v>Balance :</v>
      </c>
      <c r="L153" s="1537"/>
      <c r="M153" s="1538"/>
      <c r="N153" s="942"/>
      <c r="P153" s="12"/>
      <c r="Q153" s="1540"/>
      <c r="R153" s="1540"/>
      <c r="S153" s="1540"/>
      <c r="T153" s="12"/>
      <c r="U153" s="12"/>
      <c r="V153" s="19"/>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row>
    <row r="154" spans="3:62" s="1" customFormat="1" ht="25.5" customHeight="1" thickTop="1" x14ac:dyDescent="0.15">
      <c r="C154" s="1539" t="str">
        <f>IF($Q$2=2,"Plus: Accroissements (Jrnl des revenus)","Plus: Increases (Revenue Jrnl)")</f>
        <v>Plus: Increases (Revenue Jrnl)</v>
      </c>
      <c r="D154" s="1539"/>
      <c r="E154" s="1539"/>
      <c r="F154" s="1539"/>
      <c r="G154" s="1115">
        <f>'Jrnl Rev'!G533</f>
        <v>0</v>
      </c>
      <c r="H154" s="1118"/>
      <c r="P154" s="12"/>
      <c r="Q154" s="12"/>
      <c r="R154" s="12"/>
      <c r="S154" s="12"/>
      <c r="T154" s="12"/>
      <c r="U154" s="12"/>
      <c r="V154" s="19"/>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row>
    <row r="155" spans="3:62" s="1" customFormat="1" ht="25.5" customHeight="1" x14ac:dyDescent="0.15">
      <c r="C155" s="1539" t="str">
        <f>IF($Q$2=2," Moins: Décroissements (Jrnl des dépenses)","Less: Decreases (Expense Jrnl)")</f>
        <v>Less: Decreases (Expense Jrnl)</v>
      </c>
      <c r="D155" s="1539"/>
      <c r="E155" s="1539"/>
      <c r="F155" s="1539"/>
      <c r="G155" s="1115">
        <f>'Jrnl Exp ~ Dép'!G533</f>
        <v>0</v>
      </c>
      <c r="I155" s="188"/>
      <c r="J155" s="188"/>
      <c r="K155" s="188"/>
      <c r="L155" s="188"/>
      <c r="M155" s="188"/>
      <c r="N155" s="1119"/>
      <c r="P155" s="12"/>
      <c r="Q155" s="12"/>
      <c r="R155" s="12"/>
      <c r="S155" s="12"/>
      <c r="T155" s="12"/>
      <c r="U155" s="12"/>
      <c r="V155" s="19"/>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row>
    <row r="156" spans="3:62" s="1" customFormat="1" ht="25.5" customHeight="1" x14ac:dyDescent="0.15">
      <c r="C156" s="1533"/>
      <c r="D156" s="1533"/>
      <c r="E156" s="1533"/>
      <c r="F156" s="1533"/>
      <c r="H156" s="1118"/>
      <c r="P156" s="12"/>
      <c r="Q156" s="12"/>
      <c r="R156" s="12"/>
      <c r="S156" s="12"/>
      <c r="T156" s="12"/>
      <c r="U156" s="12"/>
      <c r="V156" s="19"/>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row>
    <row r="157" spans="3:62" s="1" customFormat="1" ht="25.5" customHeight="1" thickBot="1" x14ac:dyDescent="0.2">
      <c r="C157" s="1524" t="str">
        <f>IF($Q$2=2,F152&amp;" Fonds disponible du compte",F152&amp;" Account Available Funds")</f>
        <v>1060 Account Available Funds</v>
      </c>
      <c r="D157" s="1524"/>
      <c r="E157" s="1524"/>
      <c r="F157" s="1524"/>
      <c r="G157" s="1120"/>
      <c r="I157" s="18"/>
      <c r="J157" s="12"/>
      <c r="K157" s="12"/>
      <c r="L157" s="12"/>
      <c r="M157" s="12"/>
      <c r="N157" s="1121"/>
      <c r="P157" s="12"/>
      <c r="Q157" s="12"/>
      <c r="R157" s="12"/>
      <c r="S157" s="12"/>
      <c r="T157" s="12"/>
      <c r="U157" s="12"/>
      <c r="V157" s="19"/>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row>
    <row r="158" spans="3:62" s="1" customFormat="1" ht="25.5" customHeight="1" thickBot="1" x14ac:dyDescent="0.2">
      <c r="C158" s="1525" t="str">
        <f>IF($Q$2=2,"Solde reporté à la ligne "&amp;F152&amp;" du Bilan - page 7","This balance fwrd'd to line "&amp;F152&amp;" of Balance Sheet -  page 7")</f>
        <v>This balance fwrd'd to line 1060 of Balance Sheet -  page 7</v>
      </c>
      <c r="D158" s="1525"/>
      <c r="E158" s="1525"/>
      <c r="F158" s="1525"/>
      <c r="G158" s="1122">
        <f>IF(AND(SUM(G153+G154-G155)&lt;0.001,SUM(G153+G154-G155)&gt;-0.001),0,SUM(G153+G154-G155))</f>
        <v>0</v>
      </c>
      <c r="H158" s="605"/>
      <c r="J158" s="82"/>
      <c r="K158" s="82"/>
      <c r="L158" s="82"/>
      <c r="M158" s="1123"/>
      <c r="N158" s="1122">
        <f>N153</f>
        <v>0</v>
      </c>
      <c r="P158" s="12"/>
      <c r="Q158" s="12"/>
      <c r="R158" s="12"/>
      <c r="S158" s="12"/>
      <c r="T158" s="12"/>
      <c r="U158" s="12"/>
      <c r="V158" s="19"/>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row>
    <row r="159" spans="3:62" s="1" customFormat="1" ht="9.75" customHeight="1" thickBot="1" x14ac:dyDescent="0.2">
      <c r="F159" s="189"/>
      <c r="J159" s="1118"/>
      <c r="M159" s="1124"/>
      <c r="P159" s="12"/>
      <c r="Q159" s="12"/>
      <c r="R159" s="12"/>
      <c r="S159" s="12"/>
      <c r="T159" s="12"/>
      <c r="U159" s="12"/>
      <c r="V159" s="19"/>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row>
    <row r="160" spans="3:62" s="1" customFormat="1" ht="25.5" customHeight="1" thickBot="1" x14ac:dyDescent="0.2">
      <c r="C160" s="1526"/>
      <c r="D160" s="1526"/>
      <c r="E160" s="1526"/>
      <c r="F160" s="1526"/>
      <c r="G160" s="1125">
        <f>IF(AND(G158-N158&lt;0.001,G158-N158&gt;-0.001),0,G158-N158)</f>
        <v>0</v>
      </c>
      <c r="H160" s="1527">
        <f>IF($Q$2=2,IF(G160=0,$T$8,$T$5),IF(G160=0,$T$9,$T$7))</f>
        <v>0</v>
      </c>
      <c r="I160" s="1527"/>
      <c r="J160" s="1527"/>
      <c r="K160" s="1527"/>
      <c r="L160" s="1527"/>
      <c r="M160" s="1527"/>
      <c r="N160" s="1528"/>
      <c r="P160" s="12"/>
      <c r="Q160" s="12"/>
      <c r="R160" s="12"/>
      <c r="S160" s="12"/>
      <c r="T160" s="12"/>
      <c r="U160" s="12"/>
      <c r="V160" s="19"/>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row>
    <row r="161" spans="3:62" s="1" customFormat="1" ht="15" customHeight="1" x14ac:dyDescent="0.15">
      <c r="C161" s="1529"/>
      <c r="D161" s="1529"/>
      <c r="E161" s="1529"/>
      <c r="F161" s="1529"/>
      <c r="G161" s="1529"/>
      <c r="H161" s="1529"/>
      <c r="I161" s="1529"/>
      <c r="J161" s="1529"/>
      <c r="K161" s="1529"/>
      <c r="L161" s="1529"/>
      <c r="M161" s="1529"/>
      <c r="N161" s="1529"/>
      <c r="O161" s="1109"/>
      <c r="P161" s="1104"/>
      <c r="R161" s="12"/>
      <c r="S161" s="12"/>
      <c r="T161" s="12"/>
      <c r="U161" s="12"/>
      <c r="V161" s="19"/>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row>
    <row r="162" spans="3:62" ht="19.5" customHeight="1" x14ac:dyDescent="0.15">
      <c r="C162" s="1530"/>
      <c r="D162" s="1530"/>
      <c r="E162" s="1530"/>
      <c r="F162" s="1530"/>
      <c r="G162" s="1530"/>
      <c r="H162" s="1530"/>
      <c r="I162" s="1530"/>
      <c r="J162" s="1530"/>
      <c r="K162" s="1530"/>
      <c r="L162" s="1530"/>
      <c r="M162" s="1530"/>
      <c r="N162" s="1530"/>
      <c r="O162" s="1109"/>
      <c r="P162" s="1104"/>
      <c r="Q162" s="1"/>
      <c r="R162" s="12"/>
      <c r="S162" s="12"/>
    </row>
    <row r="163" spans="3:62" s="1" customFormat="1" ht="40.5" customHeight="1" x14ac:dyDescent="0.15">
      <c r="D163" s="1531" t="str">
        <f>IF($Q$2=2,"Réconciliation détaillée du compte "&amp;F165&amp;" - "&amp;C165,"Detailed Reconciliation of the Account "&amp;F165&amp;" - "&amp;C165)</f>
        <v>Detailed Reconciliation of the Account 1065 - Disponible ~ Available</v>
      </c>
      <c r="E163" s="1531"/>
      <c r="F163" s="1531"/>
      <c r="G163" s="1531"/>
      <c r="H163" s="1531"/>
      <c r="I163" s="1531"/>
      <c r="J163" s="1531"/>
      <c r="K163" s="1531"/>
      <c r="L163" s="1531"/>
      <c r="M163" s="1531"/>
      <c r="N163" s="1111"/>
      <c r="P163" s="12"/>
      <c r="R163" s="12"/>
      <c r="S163" s="12"/>
      <c r="T163" s="12"/>
      <c r="U163" s="12"/>
      <c r="V163" s="19"/>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row>
    <row r="164" spans="3:62" s="1" customFormat="1" ht="29.25" customHeight="1" x14ac:dyDescent="0.15">
      <c r="C164" s="1523" t="str">
        <f>IF($Q$2=2,"Réconciliation selon les livres comptables","Reconciliation as per BookKeeping")</f>
        <v>Reconciliation as per BookKeeping</v>
      </c>
      <c r="D164" s="1523"/>
      <c r="E164" s="1523"/>
      <c r="F164" s="1523"/>
      <c r="G164" s="1523"/>
      <c r="I164" s="1523" t="str">
        <f>IF($Q$2=2,"Réconciliation selon l'état de compte","Reconciliation as per Account Statement")</f>
        <v>Reconciliation as per Account Statement</v>
      </c>
      <c r="J164" s="1523"/>
      <c r="K164" s="1523"/>
      <c r="L164" s="1523"/>
      <c r="M164" s="1523"/>
      <c r="N164" s="1112" t="str">
        <f>F165</f>
        <v>1065</v>
      </c>
      <c r="P164" s="188"/>
      <c r="R164" s="188"/>
      <c r="S164" s="188"/>
      <c r="T164" s="188"/>
      <c r="U164" s="188"/>
      <c r="V164" s="502"/>
      <c r="W164" s="188"/>
      <c r="X164" s="188"/>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row>
    <row r="165" spans="3:62" s="1" customFormat="1" ht="25.5" customHeight="1" thickBot="1" x14ac:dyDescent="0.2">
      <c r="C165" s="1532" t="str">
        <f>'Set up ~ Config'!G56</f>
        <v>Disponible ~ Available</v>
      </c>
      <c r="D165" s="1532"/>
      <c r="E165" s="1532"/>
      <c r="F165" s="1113" t="str">
        <f>LEFT('Set up ~ Config'!F56,4)</f>
        <v>1065</v>
      </c>
      <c r="G165" s="82"/>
      <c r="I165" s="1534"/>
      <c r="J165" s="1534"/>
      <c r="K165" s="1534"/>
      <c r="L165" s="1534"/>
      <c r="M165" s="1534"/>
      <c r="N165" s="1534"/>
      <c r="P165" s="12"/>
      <c r="R165" s="12"/>
      <c r="S165" s="12"/>
      <c r="T165" s="12"/>
      <c r="U165" s="12"/>
      <c r="V165" s="19"/>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row>
    <row r="166" spans="3:62" s="1" customFormat="1" ht="25.5" customHeight="1" thickTop="1" thickBot="1" x14ac:dyDescent="0.2">
      <c r="C166" s="1535" t="str">
        <f>IF($Q$2=2,"Solde du compte au ","Account Balance on ")</f>
        <v xml:space="preserve">Account Balance on </v>
      </c>
      <c r="D166" s="1535"/>
      <c r="E166" s="1535"/>
      <c r="F166" s="1114" t="e">
        <f>DATEVALUE('Set up ~ Config'!$L$5)</f>
        <v>#VALUE!</v>
      </c>
      <c r="G166" s="1115">
        <f>'Set up ~ Config'!D56</f>
        <v>0</v>
      </c>
      <c r="I166" s="1116" t="str">
        <f>IF($Q$2=2,"Date (aaaa-mm-jj):","Date (yyyy-mm-dd):")</f>
        <v>Date (yyyy-mm-dd):</v>
      </c>
      <c r="J166" s="957"/>
      <c r="K166" s="1536" t="str">
        <f>IF($Q$2=2,"Solde :","Balance :")</f>
        <v>Balance :</v>
      </c>
      <c r="L166" s="1537"/>
      <c r="M166" s="1538"/>
      <c r="N166" s="942"/>
      <c r="P166" s="12"/>
      <c r="Q166" s="1540"/>
      <c r="R166" s="1540"/>
      <c r="S166" s="1540"/>
      <c r="T166" s="12"/>
      <c r="U166" s="1117"/>
      <c r="V166" s="19"/>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row>
    <row r="167" spans="3:62" s="1" customFormat="1" ht="25.5" customHeight="1" thickTop="1" x14ac:dyDescent="0.15">
      <c r="C167" s="1539" t="str">
        <f>IF($Q$2=2,"Plus: Accroissements (Jrnl des revenus)","Plus: Increases (Revenue Jrnl)")</f>
        <v>Plus: Increases (Revenue Jrnl)</v>
      </c>
      <c r="D167" s="1539"/>
      <c r="E167" s="1539"/>
      <c r="F167" s="1539"/>
      <c r="G167" s="1115">
        <f>'Jrnl Rev'!G534</f>
        <v>0</v>
      </c>
      <c r="H167" s="1118"/>
      <c r="P167" s="12"/>
      <c r="Q167" s="12"/>
      <c r="R167" s="12"/>
      <c r="S167" s="12"/>
      <c r="T167" s="12"/>
      <c r="U167" s="12"/>
      <c r="V167" s="19"/>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row>
    <row r="168" spans="3:62" s="1" customFormat="1" ht="25.5" customHeight="1" x14ac:dyDescent="0.15">
      <c r="C168" s="1539" t="str">
        <f>IF($Q$2=2," Moins: Décroissements (Jrnl des dépenses)","Less: Decreases (Expense Jrnl)")</f>
        <v>Less: Decreases (Expense Jrnl)</v>
      </c>
      <c r="D168" s="1539"/>
      <c r="E168" s="1539"/>
      <c r="F168" s="1539"/>
      <c r="G168" s="1115">
        <f>'Jrnl Exp ~ Dép'!G534</f>
        <v>0</v>
      </c>
      <c r="I168" s="188"/>
      <c r="J168" s="188"/>
      <c r="K168" s="188"/>
      <c r="L168" s="188"/>
      <c r="M168" s="188"/>
      <c r="N168" s="1119"/>
      <c r="P168" s="12"/>
      <c r="Q168" s="12"/>
      <c r="R168" s="12"/>
      <c r="S168" s="12"/>
      <c r="T168" s="12"/>
      <c r="U168" s="12"/>
      <c r="V168" s="19"/>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row>
    <row r="169" spans="3:62" s="1" customFormat="1" ht="25.5" customHeight="1" x14ac:dyDescent="0.15">
      <c r="C169" s="1533"/>
      <c r="D169" s="1533"/>
      <c r="E169" s="1533"/>
      <c r="F169" s="1533"/>
      <c r="H169" s="1118"/>
      <c r="P169" s="12"/>
      <c r="Q169" s="12"/>
      <c r="R169" s="12"/>
      <c r="S169" s="12"/>
      <c r="T169" s="12"/>
      <c r="U169" s="12"/>
      <c r="V169" s="19"/>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row>
    <row r="170" spans="3:62" s="1" customFormat="1" ht="25.5" customHeight="1" thickBot="1" x14ac:dyDescent="0.2">
      <c r="C170" s="1524" t="str">
        <f>IF($Q$2=2,F165&amp;" Fonds disponible du compte",F165&amp;" Account Available Funds")</f>
        <v>1065 Account Available Funds</v>
      </c>
      <c r="D170" s="1524"/>
      <c r="E170" s="1524"/>
      <c r="F170" s="1524"/>
      <c r="G170" s="1120"/>
      <c r="I170" s="18"/>
      <c r="J170" s="12"/>
      <c r="K170" s="12"/>
      <c r="L170" s="12"/>
      <c r="M170" s="12"/>
      <c r="N170" s="1121"/>
      <c r="P170" s="12"/>
      <c r="Q170" s="12"/>
      <c r="R170" s="12"/>
      <c r="S170" s="12"/>
      <c r="T170" s="12"/>
      <c r="U170" s="12"/>
      <c r="V170" s="19"/>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row>
    <row r="171" spans="3:62" s="1" customFormat="1" ht="25.5" customHeight="1" thickBot="1" x14ac:dyDescent="0.2">
      <c r="C171" s="1525" t="str">
        <f>IF($Q$2=2,"Solde reporté à la ligne "&amp;F165&amp;" du Bilan - page 7","This balance fwrd'd to line "&amp;F165&amp;" of Balance Sheet -  page 7")</f>
        <v>This balance fwrd'd to line 1065 of Balance Sheet -  page 7</v>
      </c>
      <c r="D171" s="1525"/>
      <c r="E171" s="1525"/>
      <c r="F171" s="1525"/>
      <c r="G171" s="1122">
        <f>IF(AND(SUM(G166+G167-G168)&lt;0.001,SUM(G166+G167-G168)&gt;-0.001),0,SUM(G166+G167-G168))</f>
        <v>0</v>
      </c>
      <c r="H171" s="605"/>
      <c r="J171" s="82"/>
      <c r="K171" s="82"/>
      <c r="L171" s="82"/>
      <c r="M171" s="1123"/>
      <c r="N171" s="1122">
        <f>N166</f>
        <v>0</v>
      </c>
      <c r="P171" s="12"/>
      <c r="Q171" s="12"/>
      <c r="R171" s="12"/>
      <c r="S171" s="12"/>
      <c r="T171" s="12"/>
      <c r="U171" s="12"/>
      <c r="V171" s="19"/>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row>
    <row r="172" spans="3:62" s="1" customFormat="1" ht="9.75" customHeight="1" thickBot="1" x14ac:dyDescent="0.2">
      <c r="F172" s="189"/>
      <c r="J172" s="1118"/>
      <c r="M172" s="1124"/>
      <c r="P172" s="12"/>
      <c r="Q172" s="12"/>
      <c r="R172" s="12"/>
      <c r="S172" s="12"/>
      <c r="T172" s="12"/>
      <c r="U172" s="12"/>
      <c r="V172" s="19"/>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row>
    <row r="173" spans="3:62" s="1" customFormat="1" ht="25.5" customHeight="1" thickBot="1" x14ac:dyDescent="0.2">
      <c r="C173" s="1526"/>
      <c r="D173" s="1526"/>
      <c r="E173" s="1526"/>
      <c r="F173" s="1526"/>
      <c r="G173" s="1125">
        <f>IF(AND(G171-N171&lt;0.001,G171-N171&gt;-0.001),0,G171-N171)</f>
        <v>0</v>
      </c>
      <c r="H173" s="1527">
        <f>IF($Q$2=2,IF(G173=0,$T$8,$T$5),IF(G173=0,$T$9,$T$7))</f>
        <v>0</v>
      </c>
      <c r="I173" s="1527"/>
      <c r="J173" s="1527"/>
      <c r="K173" s="1527"/>
      <c r="L173" s="1527"/>
      <c r="M173" s="1527"/>
      <c r="N173" s="1528"/>
      <c r="P173" s="12"/>
      <c r="Q173" s="12"/>
      <c r="R173" s="12"/>
      <c r="S173" s="12"/>
      <c r="T173" s="12"/>
      <c r="U173" s="12"/>
      <c r="V173" s="19"/>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row>
    <row r="174" spans="3:62" s="1" customFormat="1" ht="15" customHeight="1" x14ac:dyDescent="0.15">
      <c r="C174" s="1529"/>
      <c r="D174" s="1529"/>
      <c r="E174" s="1529"/>
      <c r="F174" s="1529"/>
      <c r="G174" s="1529"/>
      <c r="H174" s="1529"/>
      <c r="I174" s="1529"/>
      <c r="J174" s="1529"/>
      <c r="K174" s="1529"/>
      <c r="L174" s="1529"/>
      <c r="M174" s="1529"/>
      <c r="N174" s="1529"/>
      <c r="O174" s="1109"/>
      <c r="P174" s="1104"/>
      <c r="R174" s="12"/>
      <c r="S174" s="12"/>
      <c r="T174" s="12"/>
      <c r="U174" s="12"/>
      <c r="V174" s="19"/>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row>
    <row r="175" spans="3:62" s="1" customFormat="1" ht="19.5" customHeight="1" x14ac:dyDescent="0.15">
      <c r="C175" s="1530"/>
      <c r="D175" s="1530"/>
      <c r="E175" s="1530"/>
      <c r="F175" s="1530"/>
      <c r="G175" s="1530"/>
      <c r="H175" s="1530"/>
      <c r="I175" s="1530"/>
      <c r="J175" s="1530"/>
      <c r="K175" s="1530"/>
      <c r="L175" s="1530"/>
      <c r="M175" s="1530"/>
      <c r="N175" s="1530"/>
      <c r="O175" s="1109"/>
      <c r="P175" s="1104"/>
      <c r="R175" s="12"/>
      <c r="S175" s="12"/>
      <c r="T175" s="12"/>
      <c r="U175" s="12"/>
      <c r="V175" s="19"/>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row>
    <row r="176" spans="3:62" ht="40.5" customHeight="1" x14ac:dyDescent="0.15">
      <c r="C176" s="1"/>
      <c r="D176" s="1531" t="str">
        <f>IF($Q$2=2,"Réconciliation détaillée du compte "&amp;F178&amp;" - "&amp;C178,"Detailed Reconciliation of the Account "&amp;F178&amp;" - "&amp;C178)</f>
        <v>Detailed Reconciliation of the Account 1070 - Disponible ~ Available</v>
      </c>
      <c r="E176" s="1531"/>
      <c r="F176" s="1531"/>
      <c r="G176" s="1531"/>
      <c r="H176" s="1531"/>
      <c r="I176" s="1531"/>
      <c r="J176" s="1531"/>
      <c r="K176" s="1531"/>
      <c r="L176" s="1531"/>
      <c r="M176" s="1531"/>
      <c r="N176" s="1111"/>
      <c r="O176" s="1"/>
      <c r="P176" s="12"/>
      <c r="Q176" s="1"/>
      <c r="R176" s="12"/>
      <c r="S176" s="12"/>
    </row>
    <row r="177" spans="3:62" s="1" customFormat="1" ht="29.25" customHeight="1" x14ac:dyDescent="0.15">
      <c r="C177" s="1523" t="str">
        <f>IF($Q$2=2,"Réconciliation selon les livres comptables","Reconciliation as per BookKeeping")</f>
        <v>Reconciliation as per BookKeeping</v>
      </c>
      <c r="D177" s="1523"/>
      <c r="E177" s="1523"/>
      <c r="F177" s="1523"/>
      <c r="G177" s="1523"/>
      <c r="I177" s="1523" t="str">
        <f>IF($Q$2=2,"Réconciliation selon l'état de compte","Reconciliation as per Account Statement")</f>
        <v>Reconciliation as per Account Statement</v>
      </c>
      <c r="J177" s="1523"/>
      <c r="K177" s="1523"/>
      <c r="L177" s="1523"/>
      <c r="M177" s="1523"/>
      <c r="N177" s="1112" t="str">
        <f>F178</f>
        <v>1070</v>
      </c>
      <c r="P177" s="188"/>
      <c r="R177" s="188"/>
      <c r="S177" s="188"/>
      <c r="T177" s="12"/>
      <c r="U177" s="12"/>
      <c r="V177" s="19"/>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row>
    <row r="178" spans="3:62" s="1" customFormat="1" ht="25.5" customHeight="1" thickBot="1" x14ac:dyDescent="0.2">
      <c r="C178" s="1532" t="str">
        <f>'Set up ~ Config'!G57</f>
        <v>Disponible ~ Available</v>
      </c>
      <c r="D178" s="1532"/>
      <c r="E178" s="1532"/>
      <c r="F178" s="1113" t="str">
        <f>LEFT('Set up ~ Config'!F57,4)</f>
        <v>1070</v>
      </c>
      <c r="G178" s="82"/>
      <c r="I178" s="1534"/>
      <c r="J178" s="1534"/>
      <c r="K178" s="1534"/>
      <c r="L178" s="1534"/>
      <c r="M178" s="1534"/>
      <c r="N178" s="1534"/>
      <c r="P178" s="12"/>
      <c r="R178" s="12"/>
      <c r="S178" s="12"/>
      <c r="T178" s="188"/>
      <c r="U178" s="188"/>
      <c r="V178" s="502"/>
      <c r="W178" s="188"/>
      <c r="X178" s="188"/>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row>
    <row r="179" spans="3:62" s="1" customFormat="1" ht="25.5" customHeight="1" thickTop="1" thickBot="1" x14ac:dyDescent="0.2">
      <c r="C179" s="1535" t="str">
        <f>IF($Q$2=2,"Solde du compte au ","Account Balance on ")</f>
        <v xml:space="preserve">Account Balance on </v>
      </c>
      <c r="D179" s="1535"/>
      <c r="E179" s="1535"/>
      <c r="F179" s="1114" t="e">
        <f>DATEVALUE('Set up ~ Config'!$L$5)</f>
        <v>#VALUE!</v>
      </c>
      <c r="G179" s="1115">
        <f>'Set up ~ Config'!D57</f>
        <v>0</v>
      </c>
      <c r="I179" s="1116" t="str">
        <f>IF($Q$2=2,"Date (aaaa-mm-jj):","Date (yyyy-mm-dd):")</f>
        <v>Date (yyyy-mm-dd):</v>
      </c>
      <c r="J179" s="957"/>
      <c r="K179" s="1536" t="str">
        <f>IF($Q$2=2,"Solde :","Balance :")</f>
        <v>Balance :</v>
      </c>
      <c r="L179" s="1537"/>
      <c r="M179" s="1538"/>
      <c r="N179" s="942"/>
      <c r="P179" s="12"/>
      <c r="Q179" s="1540"/>
      <c r="R179" s="1540"/>
      <c r="S179" s="1540"/>
      <c r="T179" s="12"/>
      <c r="U179" s="12"/>
      <c r="V179" s="19"/>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row>
    <row r="180" spans="3:62" s="1" customFormat="1" ht="25.5" customHeight="1" thickTop="1" x14ac:dyDescent="0.15">
      <c r="C180" s="1539" t="str">
        <f>IF($Q$2=2,"Plus: Accroissements (Jrnl des revenus)","Plus: Increases (Revenue Jrnl)")</f>
        <v>Plus: Increases (Revenue Jrnl)</v>
      </c>
      <c r="D180" s="1539"/>
      <c r="E180" s="1539"/>
      <c r="F180" s="1539"/>
      <c r="G180" s="1115">
        <f>'Jrnl Rev'!G535</f>
        <v>0</v>
      </c>
      <c r="H180" s="1118"/>
      <c r="P180" s="12"/>
      <c r="Q180" s="12"/>
      <c r="R180" s="12"/>
      <c r="S180" s="12"/>
      <c r="T180" s="12"/>
      <c r="U180" s="1117"/>
      <c r="V180" s="19"/>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row>
    <row r="181" spans="3:62" s="1" customFormat="1" ht="25.5" customHeight="1" x14ac:dyDescent="0.15">
      <c r="C181" s="1539" t="str">
        <f>IF($Q$2=2," Moins: Décroissements (Jrnl des dépenses)","Less: Decreases (Expense Jrnl)")</f>
        <v>Less: Decreases (Expense Jrnl)</v>
      </c>
      <c r="D181" s="1539"/>
      <c r="E181" s="1539"/>
      <c r="F181" s="1539"/>
      <c r="G181" s="1115">
        <f>'Jrnl Exp ~ Dép'!G535</f>
        <v>0</v>
      </c>
      <c r="I181" s="188"/>
      <c r="J181" s="188"/>
      <c r="K181" s="188"/>
      <c r="L181" s="188"/>
      <c r="M181" s="188"/>
      <c r="N181" s="1119"/>
      <c r="P181" s="12"/>
      <c r="Q181" s="12"/>
      <c r="R181" s="12"/>
      <c r="S181" s="12"/>
      <c r="T181" s="12"/>
      <c r="U181" s="12"/>
      <c r="V181" s="19"/>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row>
    <row r="182" spans="3:62" s="1" customFormat="1" ht="25.5" customHeight="1" x14ac:dyDescent="0.15">
      <c r="C182" s="1533"/>
      <c r="D182" s="1533"/>
      <c r="E182" s="1533"/>
      <c r="F182" s="1533"/>
      <c r="H182" s="1118"/>
      <c r="P182" s="12"/>
      <c r="Q182" s="12"/>
      <c r="R182" s="12"/>
      <c r="S182" s="12"/>
      <c r="T182" s="12"/>
      <c r="U182" s="12"/>
      <c r="V182" s="19"/>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row>
    <row r="183" spans="3:62" s="1" customFormat="1" ht="25.5" customHeight="1" thickBot="1" x14ac:dyDescent="0.2">
      <c r="C183" s="1524" t="str">
        <f>IF($Q$2=2,F178&amp;" Fonds disponible du compte",F178&amp;" Account Available Funds")</f>
        <v>1070 Account Available Funds</v>
      </c>
      <c r="D183" s="1524"/>
      <c r="E183" s="1524"/>
      <c r="F183" s="1524"/>
      <c r="G183" s="1120"/>
      <c r="I183" s="18"/>
      <c r="J183" s="12"/>
      <c r="K183" s="12"/>
      <c r="L183" s="12"/>
      <c r="M183" s="12"/>
      <c r="N183" s="1121"/>
      <c r="P183" s="12"/>
      <c r="Q183" s="12"/>
      <c r="R183" s="12"/>
      <c r="S183" s="12"/>
      <c r="T183" s="12"/>
      <c r="U183" s="12"/>
      <c r="V183" s="19"/>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row>
    <row r="184" spans="3:62" s="1" customFormat="1" ht="25.5" customHeight="1" thickBot="1" x14ac:dyDescent="0.2">
      <c r="C184" s="1525" t="str">
        <f>IF($Q$2=2,"Solde reporté à la ligne "&amp;F178&amp;" du Bilan - page 7","This balance fwrd'd to line "&amp;F178&amp;" of Balance Sheet -  page 7")</f>
        <v>This balance fwrd'd to line 1070 of Balance Sheet -  page 7</v>
      </c>
      <c r="D184" s="1525"/>
      <c r="E184" s="1525"/>
      <c r="F184" s="1525"/>
      <c r="G184" s="1122">
        <f>IF(AND(SUM(G179+G180-G181)&lt;0.001,SUM(G179+G180-G181)&gt;-0.001),0,SUM(G179+G180-G181))</f>
        <v>0</v>
      </c>
      <c r="H184" s="605"/>
      <c r="J184" s="82"/>
      <c r="K184" s="82"/>
      <c r="L184" s="82"/>
      <c r="M184" s="1123"/>
      <c r="N184" s="1122">
        <f>N179</f>
        <v>0</v>
      </c>
      <c r="P184" s="12"/>
      <c r="Q184" s="12"/>
      <c r="R184" s="12"/>
      <c r="S184" s="12"/>
      <c r="T184" s="12"/>
      <c r="U184" s="12"/>
      <c r="V184" s="19"/>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row>
    <row r="185" spans="3:62" s="1" customFormat="1" ht="9.75" customHeight="1" thickBot="1" x14ac:dyDescent="0.2">
      <c r="F185" s="189"/>
      <c r="J185" s="1118"/>
      <c r="M185" s="1124"/>
      <c r="P185" s="12"/>
      <c r="Q185" s="12"/>
      <c r="R185" s="12"/>
      <c r="S185" s="12"/>
      <c r="T185" s="12"/>
      <c r="U185" s="12"/>
      <c r="V185" s="19"/>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row>
    <row r="186" spans="3:62" s="1" customFormat="1" ht="25.5" customHeight="1" thickBot="1" x14ac:dyDescent="0.2">
      <c r="C186" s="1526"/>
      <c r="D186" s="1526"/>
      <c r="E186" s="1526"/>
      <c r="F186" s="1526"/>
      <c r="G186" s="1125">
        <f>IF(AND(G184-N184&lt;0.001,G184-N184&gt;-0.001),0,G184-N184)</f>
        <v>0</v>
      </c>
      <c r="H186" s="1527">
        <f>IF($Q$2=2,IF(G186=0,$T$8,$T$5),IF(G186=0,$T$9,$T$7))</f>
        <v>0</v>
      </c>
      <c r="I186" s="1527"/>
      <c r="J186" s="1527"/>
      <c r="K186" s="1527"/>
      <c r="L186" s="1527"/>
      <c r="M186" s="1527"/>
      <c r="N186" s="1528"/>
      <c r="P186" s="12"/>
      <c r="Q186" s="12"/>
      <c r="R186" s="12"/>
      <c r="S186" s="12"/>
      <c r="T186" s="12"/>
      <c r="U186" s="12"/>
      <c r="V186" s="19"/>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row>
    <row r="187" spans="3:62" s="1" customFormat="1" ht="15" customHeight="1" x14ac:dyDescent="0.15">
      <c r="C187" s="1529"/>
      <c r="D187" s="1529"/>
      <c r="E187" s="1529"/>
      <c r="F187" s="1529"/>
      <c r="G187" s="1529"/>
      <c r="H187" s="1529"/>
      <c r="I187" s="1529"/>
      <c r="J187" s="1529"/>
      <c r="K187" s="1529"/>
      <c r="L187" s="1529"/>
      <c r="M187" s="1529"/>
      <c r="N187" s="1529"/>
      <c r="O187" s="1109"/>
      <c r="P187" s="1104"/>
      <c r="R187" s="12"/>
      <c r="S187" s="12"/>
      <c r="T187" s="12"/>
      <c r="U187" s="12"/>
      <c r="V187" s="19"/>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row>
    <row r="188" spans="3:62" s="1" customFormat="1" ht="19.5" customHeight="1" x14ac:dyDescent="0.15">
      <c r="C188" s="1530"/>
      <c r="D188" s="1530"/>
      <c r="E188" s="1530"/>
      <c r="F188" s="1530"/>
      <c r="G188" s="1530"/>
      <c r="H188" s="1530"/>
      <c r="I188" s="1530"/>
      <c r="J188" s="1530"/>
      <c r="K188" s="1530"/>
      <c r="L188" s="1530"/>
      <c r="M188" s="1530"/>
      <c r="N188" s="1530"/>
      <c r="O188" s="1109"/>
      <c r="P188" s="1104"/>
      <c r="R188" s="12"/>
      <c r="S188" s="12"/>
      <c r="T188" s="12"/>
      <c r="U188" s="12"/>
      <c r="V188" s="19"/>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row>
    <row r="189" spans="3:62" s="1" customFormat="1" ht="40.5" customHeight="1" x14ac:dyDescent="0.15">
      <c r="D189" s="1531" t="str">
        <f>IF($Q$2=2,"Réconciliation détaillée du compte "&amp;F191&amp;" - "&amp;C191,"Detailed Reconciliation of the Account "&amp;F191&amp;" - "&amp;C191)</f>
        <v>Detailed Reconciliation of the Account 1075 - Disponible ~ Available</v>
      </c>
      <c r="E189" s="1531"/>
      <c r="F189" s="1531"/>
      <c r="G189" s="1531"/>
      <c r="H189" s="1531"/>
      <c r="I189" s="1531"/>
      <c r="J189" s="1531"/>
      <c r="K189" s="1531"/>
      <c r="L189" s="1531"/>
      <c r="M189" s="1531"/>
      <c r="N189" s="1111"/>
      <c r="P189" s="12"/>
      <c r="R189" s="12"/>
      <c r="S189" s="12"/>
      <c r="T189" s="12"/>
      <c r="U189" s="12"/>
      <c r="V189" s="19"/>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row>
    <row r="190" spans="3:62" ht="29.25" customHeight="1" x14ac:dyDescent="0.15">
      <c r="C190" s="1523" t="str">
        <f>IF($Q$2=2,"Réconciliation selon les livres comptables","Reconciliation as per BookKeeping")</f>
        <v>Reconciliation as per BookKeeping</v>
      </c>
      <c r="D190" s="1523"/>
      <c r="E190" s="1523"/>
      <c r="F190" s="1523"/>
      <c r="G190" s="1523"/>
      <c r="H190" s="1"/>
      <c r="I190" s="1523" t="str">
        <f>IF($Q$2=2,"Réconciliation selon l'état de compte","Reconciliation as per Account Statement")</f>
        <v>Reconciliation as per Account Statement</v>
      </c>
      <c r="J190" s="1523"/>
      <c r="K190" s="1523"/>
      <c r="L190" s="1523"/>
      <c r="M190" s="1523"/>
      <c r="N190" s="1112" t="str">
        <f>F191</f>
        <v>1075</v>
      </c>
      <c r="O190" s="1"/>
      <c r="P190" s="188"/>
      <c r="Q190" s="1"/>
      <c r="R190" s="188"/>
      <c r="S190" s="188"/>
    </row>
    <row r="191" spans="3:62" s="1" customFormat="1" ht="25.5" customHeight="1" thickBot="1" x14ac:dyDescent="0.2">
      <c r="C191" s="1532" t="str">
        <f>'Set up ~ Config'!G58</f>
        <v>Disponible ~ Available</v>
      </c>
      <c r="D191" s="1532"/>
      <c r="E191" s="1532"/>
      <c r="F191" s="1113" t="str">
        <f>LEFT('Set up ~ Config'!F58,4)</f>
        <v>1075</v>
      </c>
      <c r="G191" s="82"/>
      <c r="I191" s="1534"/>
      <c r="J191" s="1534"/>
      <c r="K191" s="1534"/>
      <c r="L191" s="1534"/>
      <c r="M191" s="1534"/>
      <c r="N191" s="1534"/>
      <c r="P191" s="12"/>
      <c r="R191" s="12"/>
      <c r="S191" s="12"/>
      <c r="T191" s="12"/>
      <c r="U191" s="12"/>
      <c r="V191" s="19"/>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row>
    <row r="192" spans="3:62" s="1" customFormat="1" ht="25.5" customHeight="1" thickTop="1" thickBot="1" x14ac:dyDescent="0.2">
      <c r="C192" s="1535" t="str">
        <f>IF($Q$2=2,"Solde du compte au ","Account Balance on ")</f>
        <v xml:space="preserve">Account Balance on </v>
      </c>
      <c r="D192" s="1535"/>
      <c r="E192" s="1535"/>
      <c r="F192" s="1114" t="e">
        <f>DATEVALUE('Set up ~ Config'!$L$5)</f>
        <v>#VALUE!</v>
      </c>
      <c r="G192" s="1115">
        <f>'Set up ~ Config'!D58</f>
        <v>0</v>
      </c>
      <c r="I192" s="1116" t="str">
        <f>IF($Q$2=2,"Date (aaaa-mm-jj):","Date (yyyy-mm-dd):")</f>
        <v>Date (yyyy-mm-dd):</v>
      </c>
      <c r="J192" s="957"/>
      <c r="K192" s="1536" t="str">
        <f>IF($Q$2=2,"Solde :","Balance :")</f>
        <v>Balance :</v>
      </c>
      <c r="L192" s="1537"/>
      <c r="M192" s="1538"/>
      <c r="N192" s="942"/>
      <c r="P192" s="12"/>
      <c r="Q192" s="1540"/>
      <c r="R192" s="1540"/>
      <c r="S192" s="1540"/>
      <c r="T192" s="188"/>
      <c r="U192" s="188"/>
      <c r="V192" s="502"/>
      <c r="W192" s="188"/>
      <c r="X192" s="188"/>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row>
    <row r="193" spans="3:62" s="1" customFormat="1" ht="25.5" customHeight="1" thickTop="1" x14ac:dyDescent="0.15">
      <c r="C193" s="1539" t="str">
        <f>IF($Q$2=2,"Plus: Accroissements (Jrnl des revenus)","Plus: Increases (Revenue Jrnl)")</f>
        <v>Plus: Increases (Revenue Jrnl)</v>
      </c>
      <c r="D193" s="1539"/>
      <c r="E193" s="1539"/>
      <c r="F193" s="1539"/>
      <c r="G193" s="1115">
        <f>'Jrnl Rev'!G536</f>
        <v>0</v>
      </c>
      <c r="H193" s="1118"/>
      <c r="P193" s="12"/>
      <c r="Q193" s="12"/>
      <c r="R193" s="12"/>
      <c r="S193" s="12"/>
      <c r="T193" s="12"/>
      <c r="U193" s="12"/>
      <c r="V193" s="19"/>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row>
    <row r="194" spans="3:62" s="1" customFormat="1" ht="25.5" customHeight="1" x14ac:dyDescent="0.15">
      <c r="C194" s="1539" t="str">
        <f>IF($Q$2=2," Moins: Décroissements (Jrnl des dépenses)","Less: Decreases (Expense Jrnl)")</f>
        <v>Less: Decreases (Expense Jrnl)</v>
      </c>
      <c r="D194" s="1539"/>
      <c r="E194" s="1539"/>
      <c r="F194" s="1539"/>
      <c r="G194" s="1115">
        <f>'Jrnl Exp ~ Dép'!G536</f>
        <v>0</v>
      </c>
      <c r="I194" s="188"/>
      <c r="J194" s="188"/>
      <c r="K194" s="188"/>
      <c r="L194" s="188"/>
      <c r="M194" s="188"/>
      <c r="N194" s="1119"/>
      <c r="P194" s="12"/>
      <c r="Q194" s="12"/>
      <c r="R194" s="12"/>
      <c r="S194" s="12"/>
      <c r="T194" s="12"/>
      <c r="U194" s="1117"/>
      <c r="V194" s="19"/>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row>
    <row r="195" spans="3:62" s="1" customFormat="1" ht="25.5" customHeight="1" x14ac:dyDescent="0.15">
      <c r="C195" s="1533"/>
      <c r="D195" s="1533"/>
      <c r="E195" s="1533"/>
      <c r="F195" s="1533"/>
      <c r="H195" s="1118"/>
      <c r="P195" s="12"/>
      <c r="Q195" s="12"/>
      <c r="R195" s="12"/>
      <c r="S195" s="12"/>
      <c r="T195" s="12"/>
      <c r="U195" s="12"/>
      <c r="V195" s="19"/>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row>
    <row r="196" spans="3:62" s="1" customFormat="1" ht="25.5" customHeight="1" thickBot="1" x14ac:dyDescent="0.2">
      <c r="C196" s="1524" t="str">
        <f>IF($Q$2=2,F191&amp;" Fonds disponible du compte",F191&amp;" Account Available Funds")</f>
        <v>1075 Account Available Funds</v>
      </c>
      <c r="D196" s="1524"/>
      <c r="E196" s="1524"/>
      <c r="F196" s="1524"/>
      <c r="G196" s="1120"/>
      <c r="I196" s="18"/>
      <c r="J196" s="12"/>
      <c r="K196" s="12"/>
      <c r="L196" s="12"/>
      <c r="M196" s="12"/>
      <c r="N196" s="1121"/>
      <c r="P196" s="12"/>
      <c r="Q196" s="12"/>
      <c r="R196" s="12"/>
      <c r="S196" s="12"/>
      <c r="T196" s="12"/>
      <c r="U196" s="12"/>
      <c r="V196" s="19"/>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row>
    <row r="197" spans="3:62" s="1" customFormat="1" ht="25.5" customHeight="1" thickBot="1" x14ac:dyDescent="0.2">
      <c r="C197" s="1525" t="str">
        <f>IF($Q$2=2,"Solde reporté à la ligne "&amp;F191&amp;" du Bilan - page 7","This balance fwrd'd to line "&amp;F191&amp;" of Balance Sheet -  page 7")</f>
        <v>This balance fwrd'd to line 1075 of Balance Sheet -  page 7</v>
      </c>
      <c r="D197" s="1525"/>
      <c r="E197" s="1525"/>
      <c r="F197" s="1525"/>
      <c r="G197" s="1122">
        <f>IF(AND(SUM(G192+G193-G194)&lt;0.001,SUM(G192+G193-G194)&gt;-0.001),0,SUM(G192+G193-G194))</f>
        <v>0</v>
      </c>
      <c r="H197" s="605"/>
      <c r="J197" s="82"/>
      <c r="K197" s="82"/>
      <c r="L197" s="82"/>
      <c r="M197" s="1123"/>
      <c r="N197" s="1122">
        <f>N192</f>
        <v>0</v>
      </c>
      <c r="P197" s="12"/>
      <c r="Q197" s="12"/>
      <c r="R197" s="12"/>
      <c r="S197" s="12"/>
      <c r="T197" s="12"/>
      <c r="U197" s="12"/>
      <c r="V197" s="19"/>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row>
    <row r="198" spans="3:62" s="1" customFormat="1" ht="9.75" customHeight="1" thickBot="1" x14ac:dyDescent="0.2">
      <c r="F198" s="189"/>
      <c r="J198" s="1118"/>
      <c r="M198" s="1124"/>
      <c r="P198" s="12"/>
      <c r="Q198" s="12"/>
      <c r="R198" s="12"/>
      <c r="S198" s="12"/>
      <c r="T198" s="12"/>
      <c r="U198" s="12"/>
      <c r="V198" s="19"/>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row>
    <row r="199" spans="3:62" s="1" customFormat="1" ht="25.5" customHeight="1" thickBot="1" x14ac:dyDescent="0.2">
      <c r="C199" s="1526"/>
      <c r="D199" s="1526"/>
      <c r="E199" s="1526"/>
      <c r="F199" s="1526"/>
      <c r="G199" s="1125">
        <f>IF(AND(G197-N197&lt;0.001,G197-N197&gt;-0.001),0,G197-N197)</f>
        <v>0</v>
      </c>
      <c r="H199" s="1527">
        <f>IF($Q$2=2,IF(G199=0,$T$8,$T$5),IF(G199=0,$T$9,$T$7))</f>
        <v>0</v>
      </c>
      <c r="I199" s="1527"/>
      <c r="J199" s="1527"/>
      <c r="K199" s="1527"/>
      <c r="L199" s="1527"/>
      <c r="M199" s="1527"/>
      <c r="N199" s="1528"/>
      <c r="P199" s="12"/>
      <c r="Q199" s="12"/>
      <c r="R199" s="12"/>
      <c r="S199" s="12"/>
      <c r="T199" s="12"/>
      <c r="U199" s="12"/>
      <c r="V199" s="19"/>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row>
    <row r="200" spans="3:62" s="1" customFormat="1" ht="15" customHeight="1" x14ac:dyDescent="0.15">
      <c r="C200" s="1529"/>
      <c r="D200" s="1529"/>
      <c r="E200" s="1529"/>
      <c r="F200" s="1529"/>
      <c r="G200" s="1529"/>
      <c r="H200" s="1529"/>
      <c r="I200" s="1529"/>
      <c r="J200" s="1529"/>
      <c r="K200" s="1529"/>
      <c r="L200" s="1529"/>
      <c r="M200" s="1529"/>
      <c r="N200" s="1529"/>
      <c r="O200" s="1109"/>
      <c r="P200" s="1104"/>
      <c r="R200" s="12"/>
      <c r="S200" s="12"/>
      <c r="T200" s="12"/>
      <c r="U200" s="12"/>
      <c r="V200" s="19"/>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row>
    <row r="201" spans="3:62" s="1" customFormat="1" ht="19.5" customHeight="1" x14ac:dyDescent="0.15">
      <c r="C201" s="1530"/>
      <c r="D201" s="1530"/>
      <c r="E201" s="1530"/>
      <c r="F201" s="1530"/>
      <c r="G201" s="1530"/>
      <c r="H201" s="1530"/>
      <c r="I201" s="1530"/>
      <c r="J201" s="1530"/>
      <c r="K201" s="1530"/>
      <c r="L201" s="1530"/>
      <c r="M201" s="1530"/>
      <c r="N201" s="1530"/>
      <c r="O201" s="1109"/>
      <c r="P201" s="1104"/>
      <c r="R201" s="12"/>
      <c r="S201" s="12"/>
      <c r="T201" s="12"/>
      <c r="U201" s="12"/>
      <c r="V201" s="19"/>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row>
    <row r="202" spans="3:62" s="1" customFormat="1" ht="40.5" customHeight="1" x14ac:dyDescent="0.15">
      <c r="D202" s="1531" t="str">
        <f>IF($Q$2=2,"Réconciliation détaillée du compte "&amp;F204&amp;" - "&amp;C204,"Detailed Reconciliation of the Account "&amp;F204&amp;" - "&amp;C204)</f>
        <v>Detailed Reconciliation of the Account 1080 - Disponible ~ Available</v>
      </c>
      <c r="E202" s="1531"/>
      <c r="F202" s="1531"/>
      <c r="G202" s="1531"/>
      <c r="H202" s="1531"/>
      <c r="I202" s="1531"/>
      <c r="J202" s="1531"/>
      <c r="K202" s="1531"/>
      <c r="L202" s="1531"/>
      <c r="M202" s="1531"/>
      <c r="N202" s="1111"/>
      <c r="P202" s="12"/>
      <c r="R202" s="12"/>
      <c r="S202" s="12"/>
      <c r="T202" s="12"/>
      <c r="U202" s="12"/>
      <c r="V202" s="19"/>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row>
    <row r="203" spans="3:62" s="1" customFormat="1" ht="29.25" customHeight="1" x14ac:dyDescent="0.15">
      <c r="C203" s="1523" t="str">
        <f>IF($Q$2=2,"Réconciliation selon les livres comptables","Reconciliation as per BookKeeping")</f>
        <v>Reconciliation as per BookKeeping</v>
      </c>
      <c r="D203" s="1523"/>
      <c r="E203" s="1523"/>
      <c r="F203" s="1523"/>
      <c r="G203" s="1523"/>
      <c r="I203" s="1523" t="str">
        <f>IF($Q$2=2,"Réconciliation selon l'état de compte","Reconciliation as per Account Statement")</f>
        <v>Reconciliation as per Account Statement</v>
      </c>
      <c r="J203" s="1523"/>
      <c r="K203" s="1523"/>
      <c r="L203" s="1523"/>
      <c r="M203" s="1523"/>
      <c r="N203" s="1112" t="str">
        <f>F204</f>
        <v>1080</v>
      </c>
      <c r="P203" s="188"/>
      <c r="R203" s="188"/>
      <c r="S203" s="188"/>
      <c r="T203" s="12"/>
      <c r="U203" s="12"/>
      <c r="V203" s="19"/>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row>
    <row r="204" spans="3:62" ht="25.5" customHeight="1" thickBot="1" x14ac:dyDescent="0.2">
      <c r="C204" s="1532" t="str">
        <f>'Set up ~ Config'!G59</f>
        <v>Disponible ~ Available</v>
      </c>
      <c r="D204" s="1532"/>
      <c r="E204" s="1532"/>
      <c r="F204" s="1113" t="str">
        <f>LEFT('Set up ~ Config'!F59,4)</f>
        <v>1080</v>
      </c>
      <c r="G204" s="82"/>
      <c r="H204" s="1"/>
      <c r="I204" s="1534"/>
      <c r="J204" s="1534"/>
      <c r="K204" s="1534"/>
      <c r="L204" s="1534"/>
      <c r="M204" s="1534"/>
      <c r="N204" s="1534"/>
      <c r="O204" s="1"/>
      <c r="P204" s="12"/>
      <c r="Q204" s="1"/>
      <c r="R204" s="12"/>
      <c r="S204" s="12"/>
    </row>
    <row r="205" spans="3:62" s="1" customFormat="1" ht="25.5" customHeight="1" thickTop="1" thickBot="1" x14ac:dyDescent="0.2">
      <c r="C205" s="1535" t="str">
        <f>IF($Q$2=2,"Solde du compte au ","Account Balance on ")</f>
        <v xml:space="preserve">Account Balance on </v>
      </c>
      <c r="D205" s="1535"/>
      <c r="E205" s="1535"/>
      <c r="F205" s="1114" t="e">
        <f>DATEVALUE('Set up ~ Config'!$L$5)</f>
        <v>#VALUE!</v>
      </c>
      <c r="G205" s="1115">
        <f>'Set up ~ Config'!D59</f>
        <v>0</v>
      </c>
      <c r="I205" s="1116" t="str">
        <f>IF($Q$2=2,"Date (aaaa-mm-jj):","Date (yyyy-mm-dd):")</f>
        <v>Date (yyyy-mm-dd):</v>
      </c>
      <c r="J205" s="957"/>
      <c r="K205" s="1536" t="str">
        <f>IF($Q$2=2,"Solde :","Balance :")</f>
        <v>Balance :</v>
      </c>
      <c r="L205" s="1537"/>
      <c r="M205" s="1538"/>
      <c r="N205" s="942"/>
      <c r="P205" s="12"/>
      <c r="Q205" s="1540"/>
      <c r="R205" s="1540"/>
      <c r="S205" s="1540"/>
      <c r="T205" s="12"/>
      <c r="U205" s="12"/>
      <c r="V205" s="19"/>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row>
    <row r="206" spans="3:62" s="1" customFormat="1" ht="25.5" customHeight="1" thickTop="1" x14ac:dyDescent="0.15">
      <c r="C206" s="1539" t="str">
        <f>IF($Q$2=2,"Plus: Accroissements (Jrnl des revenus)","Plus: Increases (Revenue Jrnl)")</f>
        <v>Plus: Increases (Revenue Jrnl)</v>
      </c>
      <c r="D206" s="1539"/>
      <c r="E206" s="1539"/>
      <c r="F206" s="1539"/>
      <c r="G206" s="1115">
        <f>'Jrnl Rev'!G537</f>
        <v>0</v>
      </c>
      <c r="H206" s="1118"/>
      <c r="P206" s="12"/>
      <c r="Q206" s="12"/>
      <c r="R206" s="12"/>
      <c r="S206" s="12"/>
      <c r="T206" s="188"/>
      <c r="U206" s="188"/>
      <c r="V206" s="502"/>
      <c r="W206" s="188"/>
      <c r="X206" s="188"/>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row>
    <row r="207" spans="3:62" s="1" customFormat="1" ht="25.5" customHeight="1" x14ac:dyDescent="0.15">
      <c r="C207" s="1539" t="str">
        <f>IF($Q$2=2," Moins: Décroissements (Jrnl des dépenses)","Less: Decreases (Expense Jrnl)")</f>
        <v>Less: Decreases (Expense Jrnl)</v>
      </c>
      <c r="D207" s="1539"/>
      <c r="E207" s="1539"/>
      <c r="F207" s="1539"/>
      <c r="G207" s="1115">
        <f>'Jrnl Exp ~ Dép'!G537</f>
        <v>0</v>
      </c>
      <c r="I207" s="188"/>
      <c r="J207" s="188"/>
      <c r="K207" s="188"/>
      <c r="L207" s="188"/>
      <c r="M207" s="188"/>
      <c r="N207" s="1119"/>
      <c r="P207" s="12"/>
      <c r="Q207" s="12"/>
      <c r="R207" s="12"/>
      <c r="S207" s="12"/>
      <c r="T207" s="12"/>
      <c r="U207" s="12"/>
      <c r="V207" s="19"/>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row>
    <row r="208" spans="3:62" s="1" customFormat="1" ht="25.5" customHeight="1" x14ac:dyDescent="0.15">
      <c r="C208" s="1533"/>
      <c r="D208" s="1533"/>
      <c r="E208" s="1533"/>
      <c r="F208" s="1533"/>
      <c r="H208" s="1118"/>
      <c r="P208" s="12"/>
      <c r="Q208" s="12"/>
      <c r="R208" s="12"/>
      <c r="S208" s="12"/>
      <c r="T208" s="12"/>
      <c r="U208" s="1117"/>
      <c r="V208" s="19"/>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row>
    <row r="209" spans="3:62" s="1" customFormat="1" ht="25.5" customHeight="1" thickBot="1" x14ac:dyDescent="0.2">
      <c r="C209" s="1524" t="str">
        <f>IF($Q$2=2,F204&amp;" Fonds disponible du compte",F204&amp;" Account Available Funds")</f>
        <v>1080 Account Available Funds</v>
      </c>
      <c r="D209" s="1524"/>
      <c r="E209" s="1524"/>
      <c r="F209" s="1524"/>
      <c r="G209" s="1120"/>
      <c r="I209" s="18"/>
      <c r="J209" s="12"/>
      <c r="K209" s="12"/>
      <c r="L209" s="12"/>
      <c r="M209" s="12"/>
      <c r="N209" s="1121"/>
      <c r="P209" s="12"/>
      <c r="Q209" s="12"/>
      <c r="R209" s="12"/>
      <c r="S209" s="12"/>
      <c r="T209" s="12"/>
      <c r="U209" s="12"/>
      <c r="V209" s="19"/>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row>
    <row r="210" spans="3:62" s="1" customFormat="1" ht="25.5" customHeight="1" thickBot="1" x14ac:dyDescent="0.2">
      <c r="C210" s="1525" t="str">
        <f>IF($Q$2=2,"Solde reporté à la ligne "&amp;F204&amp;" du Bilan - page 7","This balance fwrd'd to line "&amp;F204&amp;" of Balance Sheet -  page 7")</f>
        <v>This balance fwrd'd to line 1080 of Balance Sheet -  page 7</v>
      </c>
      <c r="D210" s="1525"/>
      <c r="E210" s="1525"/>
      <c r="F210" s="1525"/>
      <c r="G210" s="1122">
        <f>IF(AND(SUM(G205+G206-G207)&lt;0.001,SUM(G205+G206-G207)&gt;-0.001),0,SUM(G205+G206-G207))</f>
        <v>0</v>
      </c>
      <c r="H210" s="605"/>
      <c r="J210" s="82"/>
      <c r="K210" s="82"/>
      <c r="L210" s="82"/>
      <c r="M210" s="1123"/>
      <c r="N210" s="1122">
        <f>N205</f>
        <v>0</v>
      </c>
      <c r="P210" s="12"/>
      <c r="Q210" s="12"/>
      <c r="R210" s="12"/>
      <c r="S210" s="12"/>
      <c r="T210" s="12"/>
      <c r="U210" s="12"/>
      <c r="V210" s="19"/>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row>
    <row r="211" spans="3:62" s="1" customFormat="1" ht="9.75" customHeight="1" thickBot="1" x14ac:dyDescent="0.2">
      <c r="F211" s="189"/>
      <c r="J211" s="1118"/>
      <c r="M211" s="1124"/>
      <c r="P211" s="12"/>
      <c r="Q211" s="12"/>
      <c r="R211" s="12"/>
      <c r="S211" s="12"/>
      <c r="T211" s="12"/>
      <c r="U211" s="12"/>
      <c r="V211" s="19"/>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row>
    <row r="212" spans="3:62" s="1" customFormat="1" ht="25.5" customHeight="1" thickBot="1" x14ac:dyDescent="0.2">
      <c r="C212" s="1526"/>
      <c r="D212" s="1526"/>
      <c r="E212" s="1526"/>
      <c r="F212" s="1526"/>
      <c r="G212" s="1125">
        <f>IF(AND(G210-N210&lt;0.001,G210-N210&gt;-0.001),0,G210-N210)</f>
        <v>0</v>
      </c>
      <c r="H212" s="1527">
        <f>IF($Q$2=2,IF(G212=0,$T$8,$T$5),IF(G212=0,$T$9,$T$7))</f>
        <v>0</v>
      </c>
      <c r="I212" s="1527"/>
      <c r="J212" s="1527"/>
      <c r="K212" s="1527"/>
      <c r="L212" s="1527"/>
      <c r="M212" s="1527"/>
      <c r="N212" s="1528"/>
      <c r="P212" s="12"/>
      <c r="Q212" s="12"/>
      <c r="R212" s="12"/>
      <c r="S212" s="12"/>
      <c r="T212" s="12"/>
      <c r="U212" s="12"/>
      <c r="V212" s="19"/>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row>
    <row r="213" spans="3:62" s="1" customFormat="1" ht="15" customHeight="1" x14ac:dyDescent="0.15">
      <c r="C213" s="1529"/>
      <c r="D213" s="1529"/>
      <c r="E213" s="1529"/>
      <c r="F213" s="1529"/>
      <c r="G213" s="1529"/>
      <c r="H213" s="1529"/>
      <c r="I213" s="1529"/>
      <c r="J213" s="1529"/>
      <c r="K213" s="1529"/>
      <c r="L213" s="1529"/>
      <c r="M213" s="1529"/>
      <c r="N213" s="1529"/>
      <c r="O213" s="1109"/>
      <c r="P213" s="1104"/>
      <c r="R213" s="12"/>
      <c r="S213" s="12"/>
      <c r="T213" s="12"/>
      <c r="U213" s="12"/>
      <c r="V213" s="19"/>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row>
    <row r="214" spans="3:62" s="1" customFormat="1" ht="19.5" customHeight="1" x14ac:dyDescent="0.15">
      <c r="C214" s="1530"/>
      <c r="D214" s="1530"/>
      <c r="E214" s="1530"/>
      <c r="F214" s="1530"/>
      <c r="G214" s="1530"/>
      <c r="H214" s="1530"/>
      <c r="I214" s="1530"/>
      <c r="J214" s="1530"/>
      <c r="K214" s="1530"/>
      <c r="L214" s="1530"/>
      <c r="M214" s="1530"/>
      <c r="N214" s="1530"/>
      <c r="O214" s="1109"/>
      <c r="P214" s="1104"/>
      <c r="R214" s="12"/>
      <c r="S214" s="12"/>
      <c r="T214" s="12"/>
      <c r="U214" s="12"/>
      <c r="V214" s="19"/>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row>
    <row r="215" spans="3:62" s="1" customFormat="1" ht="40.5" customHeight="1" x14ac:dyDescent="0.15">
      <c r="D215" s="1531" t="str">
        <f>IF($Q$2=2,"Réconciliation détaillée du compte "&amp;F217&amp;" - "&amp;C217,"Detailed Reconciliation of the Account "&amp;F217&amp;" - "&amp;C217)</f>
        <v>Detailed Reconciliation of the Account 1085 - Disponible ~ Available</v>
      </c>
      <c r="E215" s="1531"/>
      <c r="F215" s="1531"/>
      <c r="G215" s="1531"/>
      <c r="H215" s="1531"/>
      <c r="I215" s="1531"/>
      <c r="J215" s="1531"/>
      <c r="K215" s="1531"/>
      <c r="L215" s="1531"/>
      <c r="M215" s="1531"/>
      <c r="N215" s="1111"/>
      <c r="P215" s="12"/>
      <c r="R215" s="12"/>
      <c r="S215" s="12"/>
      <c r="T215" s="12"/>
      <c r="U215" s="12"/>
      <c r="V215" s="19"/>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row>
    <row r="216" spans="3:62" s="1" customFormat="1" ht="29.25" customHeight="1" x14ac:dyDescent="0.15">
      <c r="C216" s="1523" t="str">
        <f>IF($Q$2=2,"Réconciliation selon les livres comptables","Reconciliation as per BookKeeping")</f>
        <v>Reconciliation as per BookKeeping</v>
      </c>
      <c r="D216" s="1523"/>
      <c r="E216" s="1523"/>
      <c r="F216" s="1523"/>
      <c r="G216" s="1523"/>
      <c r="I216" s="1523" t="str">
        <f>IF($Q$2=2,"Réconciliation selon l'état de compte","Reconciliation as per Account Statement")</f>
        <v>Reconciliation as per Account Statement</v>
      </c>
      <c r="J216" s="1523"/>
      <c r="K216" s="1523"/>
      <c r="L216" s="1523"/>
      <c r="M216" s="1523"/>
      <c r="N216" s="1112" t="str">
        <f>F217</f>
        <v>1085</v>
      </c>
      <c r="P216" s="188"/>
      <c r="R216" s="188"/>
      <c r="S216" s="188"/>
      <c r="T216" s="12"/>
      <c r="U216" s="12"/>
      <c r="V216" s="19"/>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row>
    <row r="217" spans="3:62" s="1" customFormat="1" ht="25.5" customHeight="1" thickBot="1" x14ac:dyDescent="0.2">
      <c r="C217" s="1532" t="str">
        <f>'Set up ~ Config'!G60</f>
        <v>Disponible ~ Available</v>
      </c>
      <c r="D217" s="1532"/>
      <c r="E217" s="1532"/>
      <c r="F217" s="1113" t="str">
        <f>LEFT('Set up ~ Config'!F60,4)</f>
        <v>1085</v>
      </c>
      <c r="G217" s="82"/>
      <c r="I217" s="1534"/>
      <c r="J217" s="1534"/>
      <c r="K217" s="1534"/>
      <c r="L217" s="1534"/>
      <c r="M217" s="1534"/>
      <c r="N217" s="1534"/>
      <c r="P217" s="12"/>
      <c r="R217" s="12"/>
      <c r="S217" s="12"/>
      <c r="T217" s="12"/>
      <c r="U217" s="12"/>
      <c r="V217" s="19"/>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row>
    <row r="218" spans="3:62" ht="25.5" customHeight="1" thickTop="1" thickBot="1" x14ac:dyDescent="0.2">
      <c r="C218" s="1535" t="str">
        <f>IF($Q$2=2,"Solde du compte au ","Account Balance on ")</f>
        <v xml:space="preserve">Account Balance on </v>
      </c>
      <c r="D218" s="1535"/>
      <c r="E218" s="1535"/>
      <c r="F218" s="1114" t="e">
        <f>DATEVALUE('Set up ~ Config'!$L$5)</f>
        <v>#VALUE!</v>
      </c>
      <c r="G218" s="1115">
        <f>'Set up ~ Config'!D60</f>
        <v>0</v>
      </c>
      <c r="H218" s="1"/>
      <c r="I218" s="1116" t="str">
        <f>IF($Q$2=2,"Date (aaaa-mm-jj):","Date (yyyy-mm-dd):")</f>
        <v>Date (yyyy-mm-dd):</v>
      </c>
      <c r="J218" s="957"/>
      <c r="K218" s="1536" t="str">
        <f>IF($Q$2=2,"Solde :","Balance :")</f>
        <v>Balance :</v>
      </c>
      <c r="L218" s="1537"/>
      <c r="M218" s="1538"/>
      <c r="N218" s="942"/>
      <c r="O218" s="1"/>
      <c r="P218" s="12"/>
      <c r="Q218" s="1540"/>
      <c r="R218" s="1540"/>
      <c r="S218" s="1540"/>
    </row>
    <row r="219" spans="3:62" s="1" customFormat="1" ht="25.5" customHeight="1" thickTop="1" x14ac:dyDescent="0.15">
      <c r="C219" s="1539" t="str">
        <f>IF($Q$2=2,"Plus: Accroissements (Jrnl des revenus)","Plus: Increases (Revenue Jrnl)")</f>
        <v>Plus: Increases (Revenue Jrnl)</v>
      </c>
      <c r="D219" s="1539"/>
      <c r="E219" s="1539"/>
      <c r="F219" s="1539"/>
      <c r="G219" s="1115">
        <f>'Jrnl Rev'!G538</f>
        <v>0</v>
      </c>
      <c r="H219" s="1118"/>
      <c r="P219" s="12"/>
      <c r="Q219" s="12"/>
      <c r="R219" s="12"/>
      <c r="S219" s="12"/>
      <c r="T219" s="12"/>
      <c r="U219" s="12"/>
      <c r="V219" s="19"/>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row>
    <row r="220" spans="3:62" s="1" customFormat="1" ht="25.5" customHeight="1" x14ac:dyDescent="0.15">
      <c r="C220" s="1539" t="str">
        <f>IF($Q$2=2," Moins: Décroissements (Jrnl des dépenses)","Less: Decreases (Expense Jrnl)")</f>
        <v>Less: Decreases (Expense Jrnl)</v>
      </c>
      <c r="D220" s="1539"/>
      <c r="E220" s="1539"/>
      <c r="F220" s="1539"/>
      <c r="G220" s="1115">
        <f>'Jrnl Exp ~ Dép'!G538</f>
        <v>0</v>
      </c>
      <c r="I220" s="188"/>
      <c r="J220" s="188"/>
      <c r="K220" s="188"/>
      <c r="L220" s="188"/>
      <c r="M220" s="188"/>
      <c r="N220" s="1119"/>
      <c r="P220" s="12"/>
      <c r="Q220" s="12"/>
      <c r="R220" s="12"/>
      <c r="S220" s="12"/>
      <c r="T220" s="188"/>
      <c r="U220" s="188"/>
      <c r="V220" s="502"/>
      <c r="W220" s="188"/>
      <c r="X220" s="188"/>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row>
    <row r="221" spans="3:62" s="1" customFormat="1" ht="25.5" customHeight="1" x14ac:dyDescent="0.15">
      <c r="C221" s="1533"/>
      <c r="D221" s="1533"/>
      <c r="E221" s="1533"/>
      <c r="F221" s="1533"/>
      <c r="H221" s="1118"/>
      <c r="P221" s="12"/>
      <c r="Q221" s="12"/>
      <c r="R221" s="12"/>
      <c r="S221" s="12"/>
      <c r="T221" s="12"/>
      <c r="U221" s="12"/>
      <c r="V221" s="19"/>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row>
    <row r="222" spans="3:62" s="1" customFormat="1" ht="25.5" customHeight="1" thickBot="1" x14ac:dyDescent="0.2">
      <c r="C222" s="1524" t="str">
        <f>IF($Q$2=2,F217&amp;" Fonds disponible du compte",F217&amp;" Account Available Funds")</f>
        <v>1085 Account Available Funds</v>
      </c>
      <c r="D222" s="1524"/>
      <c r="E222" s="1524"/>
      <c r="F222" s="1524"/>
      <c r="G222" s="1120"/>
      <c r="I222" s="18"/>
      <c r="J222" s="12"/>
      <c r="K222" s="12"/>
      <c r="L222" s="12"/>
      <c r="M222" s="12"/>
      <c r="N222" s="1121"/>
      <c r="P222" s="12"/>
      <c r="Q222" s="12"/>
      <c r="R222" s="12"/>
      <c r="S222" s="12"/>
      <c r="T222" s="12"/>
      <c r="U222" s="1117"/>
      <c r="V222" s="19"/>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row>
    <row r="223" spans="3:62" s="1" customFormat="1" ht="25.5" customHeight="1" thickBot="1" x14ac:dyDescent="0.2">
      <c r="C223" s="1525" t="str">
        <f>IF($Q$2=2,"Solde reporté à la ligne "&amp;F217&amp;" du Bilan - page 7","This balance fwrd'd to line "&amp;F217&amp;" of Balance Sheet -  page 7")</f>
        <v>This balance fwrd'd to line 1085 of Balance Sheet -  page 7</v>
      </c>
      <c r="D223" s="1525"/>
      <c r="E223" s="1525"/>
      <c r="F223" s="1525"/>
      <c r="G223" s="1122">
        <f>IF(AND(SUM(G218+G219-G220)&lt;0.001,SUM(G218+G219-G220)&gt;-0.001),0,SUM(G218+G219-G220))</f>
        <v>0</v>
      </c>
      <c r="H223" s="605"/>
      <c r="J223" s="82"/>
      <c r="K223" s="82"/>
      <c r="L223" s="82"/>
      <c r="M223" s="1123"/>
      <c r="N223" s="1122">
        <f>N218</f>
        <v>0</v>
      </c>
      <c r="P223" s="12"/>
      <c r="Q223" s="12"/>
      <c r="R223" s="12"/>
      <c r="S223" s="12"/>
      <c r="T223" s="12"/>
      <c r="U223" s="12"/>
      <c r="V223" s="19"/>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row>
    <row r="224" spans="3:62" s="1" customFormat="1" ht="9.75" customHeight="1" thickBot="1" x14ac:dyDescent="0.2">
      <c r="F224" s="189"/>
      <c r="J224" s="1118"/>
      <c r="M224" s="1124"/>
      <c r="P224" s="12"/>
      <c r="Q224" s="12"/>
      <c r="R224" s="12"/>
      <c r="S224" s="12"/>
      <c r="T224" s="12"/>
      <c r="U224" s="12"/>
      <c r="V224" s="19"/>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row>
    <row r="225" spans="3:62" s="1" customFormat="1" ht="25.5" customHeight="1" thickBot="1" x14ac:dyDescent="0.2">
      <c r="C225" s="1526"/>
      <c r="D225" s="1526"/>
      <c r="E225" s="1526"/>
      <c r="F225" s="1526"/>
      <c r="G225" s="1125">
        <f>IF(AND(G223-N223&lt;0.001,G223-N223&gt;-0.001),0,G223-N223)</f>
        <v>0</v>
      </c>
      <c r="H225" s="1527">
        <f>IF($Q$2=2,IF(G225=0,$T$8,$T$5),IF(G225=0,$T$9,$T$7))</f>
        <v>0</v>
      </c>
      <c r="I225" s="1527"/>
      <c r="J225" s="1527"/>
      <c r="K225" s="1527"/>
      <c r="L225" s="1527"/>
      <c r="M225" s="1527"/>
      <c r="N225" s="1528"/>
      <c r="P225" s="12"/>
      <c r="Q225" s="12"/>
      <c r="R225" s="12"/>
      <c r="S225" s="12"/>
      <c r="T225" s="12"/>
      <c r="U225" s="12"/>
      <c r="V225" s="19"/>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row>
    <row r="226" spans="3:62" s="1" customFormat="1" ht="15" customHeight="1" x14ac:dyDescent="0.15">
      <c r="C226" s="1529"/>
      <c r="D226" s="1529"/>
      <c r="E226" s="1529"/>
      <c r="F226" s="1529"/>
      <c r="G226" s="1529"/>
      <c r="H226" s="1529"/>
      <c r="I226" s="1529"/>
      <c r="J226" s="1529"/>
      <c r="K226" s="1529"/>
      <c r="L226" s="1529"/>
      <c r="M226" s="1529"/>
      <c r="N226" s="1529"/>
      <c r="O226" s="1109"/>
      <c r="P226" s="1104"/>
      <c r="R226" s="12"/>
      <c r="S226" s="12"/>
      <c r="T226" s="12"/>
      <c r="U226" s="12"/>
      <c r="V226" s="19"/>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row>
    <row r="227" spans="3:62" s="1" customFormat="1" ht="19.5" customHeight="1" x14ac:dyDescent="0.15">
      <c r="C227" s="1530"/>
      <c r="D227" s="1530"/>
      <c r="E227" s="1530"/>
      <c r="F227" s="1530"/>
      <c r="G227" s="1530"/>
      <c r="H227" s="1530"/>
      <c r="I227" s="1530"/>
      <c r="J227" s="1530"/>
      <c r="K227" s="1530"/>
      <c r="L227" s="1530"/>
      <c r="M227" s="1530"/>
      <c r="N227" s="1530"/>
      <c r="O227" s="1109"/>
      <c r="P227" s="1104"/>
      <c r="R227" s="12"/>
      <c r="S227" s="12"/>
      <c r="T227" s="12"/>
      <c r="U227" s="12"/>
      <c r="V227" s="19"/>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row>
    <row r="228" spans="3:62" s="1" customFormat="1" ht="40.5" customHeight="1" x14ac:dyDescent="0.15">
      <c r="D228" s="1531" t="str">
        <f>IF($Q$2=2,"Réconciliation détaillée du compte "&amp;F230&amp;" - "&amp;C230,"Detailed Reconciliation of the Account "&amp;F230&amp;" - "&amp;C230)</f>
        <v>Detailed Reconciliation of the Account 1090 - Disponible ~ Available</v>
      </c>
      <c r="E228" s="1531"/>
      <c r="F228" s="1531"/>
      <c r="G228" s="1531"/>
      <c r="H228" s="1531"/>
      <c r="I228" s="1531"/>
      <c r="J228" s="1531"/>
      <c r="K228" s="1531"/>
      <c r="L228" s="1531"/>
      <c r="M228" s="1531"/>
      <c r="N228" s="1111"/>
      <c r="P228" s="12"/>
      <c r="R228" s="12"/>
      <c r="S228" s="12"/>
      <c r="T228" s="12"/>
      <c r="U228" s="12"/>
      <c r="V228" s="19"/>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row>
    <row r="229" spans="3:62" s="1" customFormat="1" ht="29.25" customHeight="1" x14ac:dyDescent="0.15">
      <c r="C229" s="1523" t="str">
        <f>IF($Q$2=2,"Réconciliation selon les livres comptables","Reconciliation as per BookKeeping")</f>
        <v>Reconciliation as per BookKeeping</v>
      </c>
      <c r="D229" s="1523"/>
      <c r="E229" s="1523"/>
      <c r="F229" s="1523"/>
      <c r="G229" s="1523"/>
      <c r="I229" s="1523" t="str">
        <f>IF($Q$2=2,"Réconciliation selon l'état de compte","Reconciliation as per Account Statement")</f>
        <v>Reconciliation as per Account Statement</v>
      </c>
      <c r="J229" s="1523"/>
      <c r="K229" s="1523"/>
      <c r="L229" s="1523"/>
      <c r="M229" s="1523"/>
      <c r="N229" s="1112" t="str">
        <f>F230</f>
        <v>1090</v>
      </c>
      <c r="P229" s="188"/>
      <c r="R229" s="188"/>
      <c r="S229" s="188"/>
      <c r="T229" s="12"/>
      <c r="U229" s="12"/>
      <c r="V229" s="19"/>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row>
    <row r="230" spans="3:62" s="1" customFormat="1" ht="25.5" customHeight="1" thickBot="1" x14ac:dyDescent="0.2">
      <c r="C230" s="1532" t="str">
        <f>'Set up ~ Config'!G61</f>
        <v>Disponible ~ Available</v>
      </c>
      <c r="D230" s="1532"/>
      <c r="E230" s="1532"/>
      <c r="F230" s="1113" t="str">
        <f>LEFT('Set up ~ Config'!F61,4)</f>
        <v>1090</v>
      </c>
      <c r="G230" s="82"/>
      <c r="I230" s="1534"/>
      <c r="J230" s="1534"/>
      <c r="K230" s="1534"/>
      <c r="L230" s="1534"/>
      <c r="M230" s="1534"/>
      <c r="N230" s="1534"/>
      <c r="P230" s="12"/>
      <c r="R230" s="12"/>
      <c r="S230" s="12"/>
      <c r="T230" s="12"/>
      <c r="U230" s="12"/>
      <c r="V230" s="19"/>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row>
    <row r="231" spans="3:62" s="1" customFormat="1" ht="25.5" customHeight="1" thickTop="1" thickBot="1" x14ac:dyDescent="0.2">
      <c r="C231" s="1535" t="str">
        <f>IF($Q$2=2,"Solde du compte au ","Account Balance on ")</f>
        <v xml:space="preserve">Account Balance on </v>
      </c>
      <c r="D231" s="1535"/>
      <c r="E231" s="1535"/>
      <c r="F231" s="1114" t="e">
        <f>DATEVALUE('Set up ~ Config'!$L$5)</f>
        <v>#VALUE!</v>
      </c>
      <c r="G231" s="1115">
        <f>'Set up ~ Config'!D61</f>
        <v>0</v>
      </c>
      <c r="I231" s="1116" t="str">
        <f>IF($Q$2=2,"Date (aaaa-mm-jj):","Date (yyyy-mm-dd):")</f>
        <v>Date (yyyy-mm-dd):</v>
      </c>
      <c r="J231" s="957"/>
      <c r="K231" s="1536" t="str">
        <f>IF($Q$2=2,"Solde :","Balance :")</f>
        <v>Balance :</v>
      </c>
      <c r="L231" s="1537"/>
      <c r="M231" s="1538"/>
      <c r="N231" s="942"/>
      <c r="P231" s="12"/>
      <c r="Q231" s="1540"/>
      <c r="R231" s="1540"/>
      <c r="S231" s="1540"/>
      <c r="T231" s="12"/>
      <c r="U231" s="12"/>
      <c r="V231" s="19"/>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row>
    <row r="232" spans="3:62" s="1" customFormat="1" ht="25.5" customHeight="1" thickTop="1" x14ac:dyDescent="0.15">
      <c r="C232" s="1539" t="str">
        <f>IF($Q$2=2,"Plus: Accroissements (Jrnl des revenus)","Plus: Increases (Revenue Jrnl)")</f>
        <v>Plus: Increases (Revenue Jrnl)</v>
      </c>
      <c r="D232" s="1539"/>
      <c r="E232" s="1539"/>
      <c r="F232" s="1539"/>
      <c r="G232" s="1115">
        <f>'Jrnl Rev'!G539</f>
        <v>0</v>
      </c>
      <c r="H232" s="1118"/>
      <c r="P232" s="12"/>
      <c r="Q232" s="12"/>
      <c r="R232" s="12"/>
      <c r="S232" s="12"/>
      <c r="T232" s="12"/>
      <c r="U232" s="1117"/>
      <c r="V232" s="19"/>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row>
    <row r="233" spans="3:62" s="1" customFormat="1" ht="25.5" customHeight="1" x14ac:dyDescent="0.15">
      <c r="C233" s="1539" t="str">
        <f>IF($Q$2=2," Moins: Décroissements (Jrnl des dépenses)","Less: Decreases (Expense Jrnl)")</f>
        <v>Less: Decreases (Expense Jrnl)</v>
      </c>
      <c r="D233" s="1539"/>
      <c r="E233" s="1539"/>
      <c r="F233" s="1539"/>
      <c r="G233" s="1115">
        <f>'Jrnl Exp ~ Dép'!G539</f>
        <v>0</v>
      </c>
      <c r="I233" s="188"/>
      <c r="J233" s="188"/>
      <c r="K233" s="188"/>
      <c r="L233" s="188"/>
      <c r="M233" s="188"/>
      <c r="N233" s="1119"/>
      <c r="P233" s="12"/>
      <c r="Q233" s="12"/>
      <c r="R233" s="12"/>
      <c r="S233" s="12"/>
      <c r="T233" s="12"/>
      <c r="U233" s="12"/>
      <c r="V233" s="19"/>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row>
    <row r="234" spans="3:62" s="1" customFormat="1" ht="25.5" customHeight="1" x14ac:dyDescent="0.15">
      <c r="C234" s="1533"/>
      <c r="D234" s="1533"/>
      <c r="E234" s="1533"/>
      <c r="F234" s="1533"/>
      <c r="H234" s="1118"/>
      <c r="P234" s="12"/>
      <c r="Q234" s="12"/>
      <c r="R234" s="12"/>
      <c r="S234" s="12"/>
      <c r="T234" s="12"/>
      <c r="U234" s="12"/>
      <c r="V234" s="19"/>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row>
    <row r="235" spans="3:62" s="1" customFormat="1" ht="25.5" customHeight="1" thickBot="1" x14ac:dyDescent="0.2">
      <c r="C235" s="1524" t="str">
        <f>IF($Q$2=2,F230&amp;" Fonds disponible du compte",F230&amp;" Account Available Funds")</f>
        <v>1090 Account Available Funds</v>
      </c>
      <c r="D235" s="1524"/>
      <c r="E235" s="1524"/>
      <c r="F235" s="1524"/>
      <c r="G235" s="1120"/>
      <c r="I235" s="18"/>
      <c r="J235" s="12"/>
      <c r="K235" s="12"/>
      <c r="L235" s="12"/>
      <c r="M235" s="12"/>
      <c r="N235" s="1121"/>
      <c r="P235" s="12"/>
      <c r="Q235" s="12"/>
      <c r="R235" s="12"/>
      <c r="S235" s="12"/>
      <c r="T235" s="12"/>
      <c r="U235" s="12"/>
      <c r="V235" s="19"/>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row>
    <row r="236" spans="3:62" s="1" customFormat="1" ht="25.5" customHeight="1" thickBot="1" x14ac:dyDescent="0.2">
      <c r="C236" s="1525" t="str">
        <f>IF($Q$2=2,"Solde reporté à la ligne "&amp;F230&amp;" du Bilan - page 7","This balance fwrd'd to line "&amp;F230&amp;" of Balance Sheet -  page 7")</f>
        <v>This balance fwrd'd to line 1090 of Balance Sheet -  page 7</v>
      </c>
      <c r="D236" s="1525"/>
      <c r="E236" s="1525"/>
      <c r="F236" s="1525"/>
      <c r="G236" s="1122">
        <f>IF(AND(SUM(G231+G232-G233)&lt;0.001,SUM(G231+G232-G233)&gt;-0.001),0,SUM(G231+G232-G233))</f>
        <v>0</v>
      </c>
      <c r="H236" s="605"/>
      <c r="J236" s="82"/>
      <c r="K236" s="82"/>
      <c r="L236" s="82"/>
      <c r="M236" s="1123"/>
      <c r="N236" s="1122">
        <f>N231</f>
        <v>0</v>
      </c>
      <c r="P236" s="12"/>
      <c r="Q236" s="12"/>
      <c r="R236" s="12"/>
      <c r="S236" s="12"/>
      <c r="T236" s="12"/>
      <c r="U236" s="12"/>
      <c r="V236" s="19"/>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row>
    <row r="237" spans="3:62" s="1" customFormat="1" ht="9.75" customHeight="1" thickBot="1" x14ac:dyDescent="0.2">
      <c r="F237" s="189"/>
      <c r="J237" s="1118"/>
      <c r="M237" s="1124"/>
      <c r="P237" s="12"/>
      <c r="Q237" s="12"/>
      <c r="R237" s="12"/>
      <c r="S237" s="12"/>
      <c r="T237" s="12"/>
      <c r="U237" s="12"/>
      <c r="V237" s="19"/>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row>
    <row r="238" spans="3:62" s="1" customFormat="1" ht="25.5" customHeight="1" thickBot="1" x14ac:dyDescent="0.2">
      <c r="C238" s="1526"/>
      <c r="D238" s="1526"/>
      <c r="E238" s="1526"/>
      <c r="F238" s="1526"/>
      <c r="G238" s="1125">
        <f>IF(AND(G236-N236&lt;0.001,G236-N236&gt;-0.001),0,G236-N236)</f>
        <v>0</v>
      </c>
      <c r="H238" s="1527">
        <f>IF($Q$2=2,IF(G238=0,$T$8,$T$5),IF(G238=0,$T$9,$T$7))</f>
        <v>0</v>
      </c>
      <c r="I238" s="1527"/>
      <c r="J238" s="1527"/>
      <c r="K238" s="1527"/>
      <c r="L238" s="1527"/>
      <c r="M238" s="1527"/>
      <c r="N238" s="1528"/>
      <c r="P238" s="12"/>
      <c r="Q238" s="12"/>
      <c r="R238" s="12"/>
      <c r="S238" s="12"/>
      <c r="T238" s="12"/>
      <c r="U238" s="12"/>
      <c r="V238" s="19"/>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row>
    <row r="239" spans="3:62" s="1" customFormat="1" ht="15" customHeight="1" x14ac:dyDescent="0.15">
      <c r="C239" s="1529"/>
      <c r="D239" s="1529"/>
      <c r="E239" s="1529"/>
      <c r="F239" s="1529"/>
      <c r="G239" s="1529"/>
      <c r="H239" s="1529"/>
      <c r="I239" s="1529"/>
      <c r="J239" s="1529"/>
      <c r="K239" s="1529"/>
      <c r="L239" s="1529"/>
      <c r="M239" s="1529"/>
      <c r="N239" s="1529"/>
      <c r="O239" s="1109"/>
      <c r="P239" s="1104"/>
      <c r="R239" s="12"/>
      <c r="S239" s="12"/>
      <c r="T239" s="12"/>
      <c r="U239" s="12"/>
      <c r="V239" s="19"/>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row>
    <row r="240" spans="3:62" s="1" customFormat="1" ht="19.5" customHeight="1" x14ac:dyDescent="0.15">
      <c r="C240" s="1530"/>
      <c r="D240" s="1530"/>
      <c r="E240" s="1530"/>
      <c r="F240" s="1530"/>
      <c r="G240" s="1530"/>
      <c r="H240" s="1530"/>
      <c r="I240" s="1530"/>
      <c r="J240" s="1530"/>
      <c r="K240" s="1530"/>
      <c r="L240" s="1530"/>
      <c r="M240" s="1530"/>
      <c r="N240" s="1530"/>
      <c r="O240" s="1109"/>
      <c r="P240" s="1104"/>
      <c r="R240" s="12"/>
      <c r="S240" s="12"/>
      <c r="T240" s="12"/>
      <c r="U240" s="12"/>
      <c r="V240" s="19"/>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row>
    <row r="241" spans="3:65" ht="40.5" customHeight="1" x14ac:dyDescent="0.15">
      <c r="C241" s="1"/>
      <c r="D241" s="1531" t="str">
        <f>IF($Q$2=2,"Réconciliation détaillée du compte "&amp;F243&amp;" - "&amp;C243,"Detailed Reconciliation of the Account "&amp;F243&amp;" - "&amp;C243)</f>
        <v>Detailed Reconciliation of the Account 1095 - Disponible ~ Available</v>
      </c>
      <c r="E241" s="1531"/>
      <c r="F241" s="1531"/>
      <c r="G241" s="1531"/>
      <c r="H241" s="1531"/>
      <c r="I241" s="1531"/>
      <c r="J241" s="1531"/>
      <c r="K241" s="1531"/>
      <c r="L241" s="1531"/>
      <c r="M241" s="1531"/>
      <c r="N241" s="1111"/>
      <c r="O241" s="1"/>
      <c r="P241" s="12"/>
      <c r="Q241" s="1"/>
      <c r="R241" s="12"/>
      <c r="S241" s="12"/>
      <c r="BK241" s="187"/>
      <c r="BL241" s="187"/>
      <c r="BM241" s="187"/>
    </row>
    <row r="242" spans="3:65" ht="29.25" customHeight="1" x14ac:dyDescent="0.15">
      <c r="C242" s="1523" t="str">
        <f>IF($Q$2=2,"Réconciliation selon les livres comptables","Reconciliation as per BookKeeping")</f>
        <v>Reconciliation as per BookKeeping</v>
      </c>
      <c r="D242" s="1523"/>
      <c r="E242" s="1523"/>
      <c r="F242" s="1523"/>
      <c r="G242" s="1523"/>
      <c r="H242" s="1"/>
      <c r="I242" s="1523" t="str">
        <f>IF($Q$2=2,"Réconciliation selon l'état de compte","Reconciliation as per Account Statement")</f>
        <v>Reconciliation as per Account Statement</v>
      </c>
      <c r="J242" s="1523"/>
      <c r="K242" s="1523"/>
      <c r="L242" s="1523"/>
      <c r="M242" s="1523"/>
      <c r="N242" s="1112" t="str">
        <f>F243</f>
        <v>1095</v>
      </c>
      <c r="O242" s="1"/>
      <c r="P242" s="188"/>
      <c r="Q242" s="1"/>
      <c r="R242" s="188"/>
      <c r="S242" s="188"/>
    </row>
    <row r="243" spans="3:65" s="1" customFormat="1" ht="25.5" customHeight="1" thickBot="1" x14ac:dyDescent="0.2">
      <c r="C243" s="1532" t="str">
        <f>'Set up ~ Config'!G62</f>
        <v>Disponible ~ Available</v>
      </c>
      <c r="D243" s="1532"/>
      <c r="E243" s="1532"/>
      <c r="F243" s="1113" t="str">
        <f>LEFT('Set up ~ Config'!F62,4)</f>
        <v>1095</v>
      </c>
      <c r="G243" s="82"/>
      <c r="I243" s="1534"/>
      <c r="J243" s="1534"/>
      <c r="K243" s="1534"/>
      <c r="L243" s="1534"/>
      <c r="M243" s="1534"/>
      <c r="N243" s="1534"/>
      <c r="P243" s="12"/>
      <c r="R243" s="12"/>
      <c r="S243" s="12"/>
      <c r="T243" s="12"/>
      <c r="U243" s="12"/>
      <c r="V243" s="19"/>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row>
    <row r="244" spans="3:65" s="1" customFormat="1" ht="25.5" customHeight="1" thickTop="1" thickBot="1" x14ac:dyDescent="0.2">
      <c r="C244" s="1535" t="str">
        <f>IF($Q$2=2,"Solde du compte au ","Account Balance on ")</f>
        <v xml:space="preserve">Account Balance on </v>
      </c>
      <c r="D244" s="1535"/>
      <c r="E244" s="1535"/>
      <c r="F244" s="1114" t="e">
        <f>DATEVALUE('Set up ~ Config'!$L$5)</f>
        <v>#VALUE!</v>
      </c>
      <c r="G244" s="1115">
        <f>'Set up ~ Config'!D62</f>
        <v>0</v>
      </c>
      <c r="I244" s="1116" t="str">
        <f>IF($Q$2=2,"Date (aaaa-mm-jj):","Date (yyyy-mm-dd):")</f>
        <v>Date (yyyy-mm-dd):</v>
      </c>
      <c r="J244" s="957"/>
      <c r="K244" s="1536" t="str">
        <f>IF($Q$2=2,"Solde :","Balance :")</f>
        <v>Balance :</v>
      </c>
      <c r="L244" s="1537"/>
      <c r="M244" s="1538"/>
      <c r="N244" s="942"/>
      <c r="P244" s="12"/>
      <c r="Q244" s="1540"/>
      <c r="R244" s="1540"/>
      <c r="S244" s="1540"/>
      <c r="T244" s="188"/>
      <c r="U244" s="188"/>
      <c r="V244" s="502"/>
      <c r="W244" s="188"/>
      <c r="X244" s="188"/>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row>
    <row r="245" spans="3:65" s="1" customFormat="1" ht="25.5" customHeight="1" thickTop="1" x14ac:dyDescent="0.15">
      <c r="C245" s="1539" t="str">
        <f>IF($Q$2=2,"Plus: Accroissements (Jrnl des revenus)","Plus: Increases (Revenue Jrnl)")</f>
        <v>Plus: Increases (Revenue Jrnl)</v>
      </c>
      <c r="D245" s="1539"/>
      <c r="E245" s="1539"/>
      <c r="F245" s="1539"/>
      <c r="G245" s="1115">
        <f>'Jrnl Rev'!G540</f>
        <v>0</v>
      </c>
      <c r="H245" s="1118"/>
      <c r="P245" s="12"/>
      <c r="Q245" s="12"/>
      <c r="R245" s="12"/>
      <c r="S245" s="12"/>
      <c r="T245" s="12"/>
      <c r="U245" s="12"/>
      <c r="V245" s="19"/>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row>
    <row r="246" spans="3:65" s="1" customFormat="1" ht="25.5" customHeight="1" x14ac:dyDescent="0.15">
      <c r="C246" s="1539" t="str">
        <f>IF($Q$2=2," Moins: Décroissements (Jrnl des dépenses)","Less: Decreases (Expense Jrnl)")</f>
        <v>Less: Decreases (Expense Jrnl)</v>
      </c>
      <c r="D246" s="1539"/>
      <c r="E246" s="1539"/>
      <c r="F246" s="1539"/>
      <c r="G246" s="1115">
        <f>'Jrnl Exp ~ Dép'!G540</f>
        <v>0</v>
      </c>
      <c r="I246" s="188"/>
      <c r="J246" s="188"/>
      <c r="K246" s="188"/>
      <c r="L246" s="188"/>
      <c r="M246" s="188"/>
      <c r="N246" s="1119"/>
      <c r="P246" s="12"/>
      <c r="Q246" s="12"/>
      <c r="R246" s="12"/>
      <c r="S246" s="12"/>
      <c r="T246" s="12"/>
      <c r="U246" s="1117"/>
      <c r="V246" s="19"/>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row>
    <row r="247" spans="3:65" s="1" customFormat="1" ht="25.5" customHeight="1" x14ac:dyDescent="0.15">
      <c r="C247" s="1533"/>
      <c r="D247" s="1533"/>
      <c r="E247" s="1533"/>
      <c r="F247" s="1533"/>
      <c r="H247" s="1118"/>
      <c r="P247" s="12"/>
      <c r="Q247" s="12"/>
      <c r="R247" s="12"/>
      <c r="S247" s="12"/>
      <c r="T247" s="12"/>
      <c r="U247" s="12"/>
      <c r="V247" s="19"/>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row>
    <row r="248" spans="3:65" s="1" customFormat="1" ht="25.5" customHeight="1" thickBot="1" x14ac:dyDescent="0.2">
      <c r="C248" s="1524" t="str">
        <f>IF($Q$2=2,F243&amp;" Fonds disponible du compte",F243&amp;" Account Available Funds")</f>
        <v>1095 Account Available Funds</v>
      </c>
      <c r="D248" s="1524"/>
      <c r="E248" s="1524"/>
      <c r="F248" s="1524"/>
      <c r="G248" s="1120"/>
      <c r="I248" s="18"/>
      <c r="J248" s="12"/>
      <c r="K248" s="12"/>
      <c r="L248" s="12"/>
      <c r="M248" s="12"/>
      <c r="N248" s="1121"/>
      <c r="P248" s="12"/>
      <c r="Q248" s="12"/>
      <c r="R248" s="12"/>
      <c r="S248" s="12"/>
      <c r="T248" s="12"/>
      <c r="U248" s="12"/>
      <c r="V248" s="19"/>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row>
    <row r="249" spans="3:65" s="1" customFormat="1" ht="25.5" customHeight="1" thickBot="1" x14ac:dyDescent="0.2">
      <c r="C249" s="1525" t="str">
        <f>IF($Q$2=2,"Solde reporté à la ligne "&amp;F243&amp;" du Bilan - page 7","This balance fwrd'd to line "&amp;F243&amp;" of Balance Sheet -  page 7")</f>
        <v>This balance fwrd'd to line 1095 of Balance Sheet -  page 7</v>
      </c>
      <c r="D249" s="1525"/>
      <c r="E249" s="1525"/>
      <c r="F249" s="1525"/>
      <c r="G249" s="1122">
        <f>IF(AND(SUM(G244+G245-G246)&lt;0.001,SUM(G244+G245-G246)&gt;-0.001),0,SUM(G244+G245-G246))</f>
        <v>0</v>
      </c>
      <c r="H249" s="605"/>
      <c r="J249" s="82"/>
      <c r="K249" s="82"/>
      <c r="L249" s="82"/>
      <c r="M249" s="1123"/>
      <c r="N249" s="1122">
        <f>N244</f>
        <v>0</v>
      </c>
      <c r="P249" s="12"/>
      <c r="Q249" s="12"/>
      <c r="R249" s="12"/>
      <c r="S249" s="12"/>
      <c r="T249" s="12"/>
      <c r="U249" s="12"/>
      <c r="V249" s="19"/>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row>
    <row r="250" spans="3:65" s="1" customFormat="1" ht="9.75" customHeight="1" thickBot="1" x14ac:dyDescent="0.2">
      <c r="F250" s="189"/>
      <c r="J250" s="1118"/>
      <c r="M250" s="1124"/>
      <c r="P250" s="12"/>
      <c r="Q250" s="12"/>
      <c r="R250" s="12"/>
      <c r="S250" s="12"/>
      <c r="T250" s="12"/>
      <c r="U250" s="12"/>
      <c r="V250" s="19"/>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row>
    <row r="251" spans="3:65" s="1" customFormat="1" ht="25.5" customHeight="1" thickBot="1" x14ac:dyDescent="0.2">
      <c r="C251" s="1526"/>
      <c r="D251" s="1526"/>
      <c r="E251" s="1526"/>
      <c r="F251" s="1526"/>
      <c r="G251" s="1125">
        <f>IF(AND(G249-N249&lt;0.001,G249-N249&gt;-0.001),0,G249-N249)</f>
        <v>0</v>
      </c>
      <c r="H251" s="1527">
        <f>IF($Q$2=2,IF(G251=0,$T$8,$T$5),IF(G251=0,$T$9,$T$7))</f>
        <v>0</v>
      </c>
      <c r="I251" s="1527"/>
      <c r="J251" s="1527"/>
      <c r="K251" s="1527"/>
      <c r="L251" s="1527"/>
      <c r="M251" s="1527"/>
      <c r="N251" s="1528"/>
      <c r="P251" s="12"/>
      <c r="Q251" s="12"/>
      <c r="R251" s="12"/>
      <c r="S251" s="12"/>
      <c r="T251" s="12"/>
      <c r="U251" s="12"/>
      <c r="V251" s="19"/>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row>
    <row r="252" spans="3:65" s="1" customFormat="1" ht="15" customHeight="1" x14ac:dyDescent="0.15">
      <c r="C252" s="1529"/>
      <c r="D252" s="1529"/>
      <c r="E252" s="1529"/>
      <c r="F252" s="1529"/>
      <c r="G252" s="1529"/>
      <c r="H252" s="1529"/>
      <c r="I252" s="1529"/>
      <c r="J252" s="1529"/>
      <c r="K252" s="1529"/>
      <c r="L252" s="1529"/>
      <c r="M252" s="1529"/>
      <c r="N252" s="1529"/>
      <c r="O252" s="1109"/>
      <c r="P252" s="1104"/>
      <c r="R252" s="12"/>
      <c r="S252" s="12"/>
      <c r="T252" s="12"/>
      <c r="U252" s="12"/>
      <c r="V252" s="19"/>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row>
    <row r="253" spans="3:65" s="1" customFormat="1" ht="19.5" customHeight="1" x14ac:dyDescent="0.15">
      <c r="C253" s="1530"/>
      <c r="D253" s="1530"/>
      <c r="E253" s="1530"/>
      <c r="F253" s="1530"/>
      <c r="G253" s="1530"/>
      <c r="H253" s="1530"/>
      <c r="I253" s="1530"/>
      <c r="J253" s="1530"/>
      <c r="K253" s="1530"/>
      <c r="L253" s="1530"/>
      <c r="M253" s="1530"/>
      <c r="N253" s="1530"/>
      <c r="O253" s="1109"/>
      <c r="P253" s="1104"/>
      <c r="R253" s="12"/>
      <c r="S253" s="12"/>
      <c r="T253" s="12"/>
      <c r="U253" s="12"/>
      <c r="V253" s="19"/>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row>
    <row r="254" spans="3:65" s="1" customFormat="1" ht="40.5" customHeight="1" x14ac:dyDescent="0.15">
      <c r="D254" s="1531" t="str">
        <f>IF($Q$2=2,"Réconciliation détaillée du compte "&amp;F256&amp;" - "&amp;C256,"Detailed Reconciliation of the Account "&amp;F256&amp;" - "&amp;C256)</f>
        <v>Detailed Reconciliation of the Account 1210 - Investments GICs</v>
      </c>
      <c r="E254" s="1531"/>
      <c r="F254" s="1531"/>
      <c r="G254" s="1531"/>
      <c r="H254" s="1531"/>
      <c r="I254" s="1531"/>
      <c r="J254" s="1531"/>
      <c r="K254" s="1531"/>
      <c r="L254" s="1531"/>
      <c r="M254" s="1531"/>
      <c r="N254" s="1111"/>
      <c r="P254" s="12"/>
      <c r="R254" s="12"/>
      <c r="S254" s="12"/>
      <c r="T254" s="12"/>
      <c r="U254" s="12"/>
      <c r="V254" s="19"/>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row>
    <row r="255" spans="3:65" ht="29.25" customHeight="1" x14ac:dyDescent="0.15">
      <c r="C255" s="1523" t="str">
        <f>IF($Q$2=2,"Réconciliation selon les livres comptables","Reconciliation as per BookKeeping")</f>
        <v>Reconciliation as per BookKeeping</v>
      </c>
      <c r="D255" s="1523"/>
      <c r="E255" s="1523"/>
      <c r="F255" s="1523"/>
      <c r="G255" s="1523"/>
      <c r="H255" s="1"/>
      <c r="I255" s="1523" t="str">
        <f>IF($Q$2=2,"Réconciliation selon l'état de compte","Reconciliation as per Account Statement")</f>
        <v>Reconciliation as per Account Statement</v>
      </c>
      <c r="J255" s="1523"/>
      <c r="K255" s="1523"/>
      <c r="L255" s="1523"/>
      <c r="M255" s="1523"/>
      <c r="N255" s="1112" t="str">
        <f>F256</f>
        <v>1210</v>
      </c>
      <c r="O255" s="1"/>
      <c r="P255" s="188"/>
      <c r="Q255" s="1"/>
      <c r="R255" s="188"/>
      <c r="S255" s="188"/>
      <c r="BK255" s="187"/>
      <c r="BL255" s="187"/>
      <c r="BM255" s="187"/>
    </row>
    <row r="256" spans="3:65" ht="25.5" customHeight="1" thickBot="1" x14ac:dyDescent="0.2">
      <c r="C256" s="1532" t="str">
        <f>'Set up ~ Config'!G64</f>
        <v>Investments GICs</v>
      </c>
      <c r="D256" s="1532"/>
      <c r="E256" s="1532"/>
      <c r="F256" s="1113" t="str">
        <f>LEFT('Set up ~ Config'!F64,4)</f>
        <v>1210</v>
      </c>
      <c r="G256" s="82"/>
      <c r="H256" s="1"/>
      <c r="I256" s="1534"/>
      <c r="J256" s="1534"/>
      <c r="K256" s="1534"/>
      <c r="L256" s="1534"/>
      <c r="M256" s="1534"/>
      <c r="N256" s="1534"/>
      <c r="O256" s="1"/>
      <c r="P256" s="12"/>
      <c r="Q256" s="1"/>
      <c r="R256" s="12"/>
      <c r="S256" s="12"/>
    </row>
    <row r="257" spans="3:65" s="1" customFormat="1" ht="25.5" customHeight="1" thickTop="1" thickBot="1" x14ac:dyDescent="0.2">
      <c r="C257" s="1535" t="str">
        <f>IF($Q$2=2,"Solde du compte au ","Account Balance on ")</f>
        <v xml:space="preserve">Account Balance on </v>
      </c>
      <c r="D257" s="1535"/>
      <c r="E257" s="1535"/>
      <c r="F257" s="1114" t="e">
        <f>DATEVALUE('Set up ~ Config'!$L$5)</f>
        <v>#VALUE!</v>
      </c>
      <c r="G257" s="1115">
        <f>'Set up ~ Config'!D64</f>
        <v>0</v>
      </c>
      <c r="I257" s="1116" t="str">
        <f>IF($Q$2=2,"Date (aaaa-mm-jj):","Date (yyyy-mm-dd):")</f>
        <v>Date (yyyy-mm-dd):</v>
      </c>
      <c r="J257" s="957"/>
      <c r="K257" s="1536" t="str">
        <f>IF($Q$2=2,"Solde :","Balance :")</f>
        <v>Balance :</v>
      </c>
      <c r="L257" s="1537"/>
      <c r="M257" s="1538"/>
      <c r="N257" s="942"/>
      <c r="P257" s="12"/>
      <c r="Q257" s="1540"/>
      <c r="R257" s="1540"/>
      <c r="S257" s="1540"/>
      <c r="T257" s="12"/>
      <c r="U257" s="12"/>
      <c r="V257" s="19"/>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row>
    <row r="258" spans="3:65" s="1" customFormat="1" ht="25.5" customHeight="1" thickTop="1" x14ac:dyDescent="0.15">
      <c r="C258" s="1539" t="str">
        <f>IF($Q$2=2,"Plus: Accroissements (Jrnl des revenus)","Plus: Increases (Revenue Jrnl)")</f>
        <v>Plus: Increases (Revenue Jrnl)</v>
      </c>
      <c r="D258" s="1539"/>
      <c r="E258" s="1539"/>
      <c r="F258" s="1539"/>
      <c r="G258" s="1115">
        <f>'Jrnl Rev'!G541</f>
        <v>0</v>
      </c>
      <c r="H258" s="1118"/>
      <c r="P258" s="12"/>
      <c r="Q258" s="12"/>
      <c r="R258" s="12"/>
      <c r="S258" s="12"/>
      <c r="T258" s="188"/>
      <c r="U258" s="188"/>
      <c r="V258" s="502"/>
      <c r="W258" s="188"/>
      <c r="X258" s="188"/>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row>
    <row r="259" spans="3:65" s="1" customFormat="1" ht="25.5" customHeight="1" x14ac:dyDescent="0.15">
      <c r="C259" s="1539" t="str">
        <f>IF($Q$2=2," Moins: Décroissements (Jrnl des dépenses)","Less: Decreases (Expense Jrnl)")</f>
        <v>Less: Decreases (Expense Jrnl)</v>
      </c>
      <c r="D259" s="1539"/>
      <c r="E259" s="1539"/>
      <c r="F259" s="1539"/>
      <c r="G259" s="1115">
        <f>'Jrnl Exp ~ Dép'!G541</f>
        <v>0</v>
      </c>
      <c r="I259" s="188"/>
      <c r="J259" s="188"/>
      <c r="K259" s="188"/>
      <c r="L259" s="188"/>
      <c r="M259" s="188"/>
      <c r="N259" s="1119"/>
      <c r="P259" s="12"/>
      <c r="Q259" s="12"/>
      <c r="R259" s="12"/>
      <c r="S259" s="12"/>
      <c r="T259" s="12"/>
      <c r="U259" s="12"/>
      <c r="V259" s="19"/>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row>
    <row r="260" spans="3:65" s="1" customFormat="1" ht="25.5" customHeight="1" x14ac:dyDescent="0.15">
      <c r="C260" s="1533"/>
      <c r="D260" s="1533"/>
      <c r="E260" s="1533"/>
      <c r="F260" s="1533"/>
      <c r="H260" s="1118"/>
      <c r="P260" s="12"/>
      <c r="Q260" s="12"/>
      <c r="R260" s="12"/>
      <c r="S260" s="12"/>
      <c r="T260" s="12"/>
      <c r="U260" s="1117"/>
      <c r="V260" s="19"/>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row>
    <row r="261" spans="3:65" s="1" customFormat="1" ht="25.5" customHeight="1" thickBot="1" x14ac:dyDescent="0.2">
      <c r="C261" s="1524" t="str">
        <f>IF($Q$2=2,F256&amp;" Fonds disponible du compte",F256&amp;" Account Available Funds")</f>
        <v>1210 Account Available Funds</v>
      </c>
      <c r="D261" s="1524"/>
      <c r="E261" s="1524"/>
      <c r="F261" s="1524"/>
      <c r="G261" s="1120"/>
      <c r="I261" s="18"/>
      <c r="J261" s="12"/>
      <c r="K261" s="12"/>
      <c r="L261" s="12"/>
      <c r="M261" s="12"/>
      <c r="N261" s="1121"/>
      <c r="P261" s="12"/>
      <c r="Q261" s="12"/>
      <c r="R261" s="12"/>
      <c r="S261" s="12"/>
      <c r="T261" s="12"/>
      <c r="U261" s="12"/>
      <c r="V261" s="19"/>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row>
    <row r="262" spans="3:65" s="1" customFormat="1" ht="25.5" customHeight="1" thickBot="1" x14ac:dyDescent="0.2">
      <c r="C262" s="1525" t="str">
        <f>IF($Q$2=2,"Solde reporté à la ligne "&amp;F256&amp;" du Bilan - page 7","This balance fwrd'd to line "&amp;F256&amp;" of Balance Sheet -  page 7")</f>
        <v>This balance fwrd'd to line 1210 of Balance Sheet -  page 7</v>
      </c>
      <c r="D262" s="1525"/>
      <c r="E262" s="1525"/>
      <c r="F262" s="1525"/>
      <c r="G262" s="1122">
        <f>IF(AND(SUM(G257+G258-G259)&lt;0.001,SUM(G257+G258-G259)&gt;-0.001),0,SUM(G257+G258-G259))</f>
        <v>0</v>
      </c>
      <c r="H262" s="605"/>
      <c r="J262" s="82"/>
      <c r="K262" s="82"/>
      <c r="L262" s="82"/>
      <c r="M262" s="1123"/>
      <c r="N262" s="1122">
        <f>N257</f>
        <v>0</v>
      </c>
      <c r="P262" s="12"/>
      <c r="Q262" s="12"/>
      <c r="R262" s="12"/>
      <c r="S262" s="12"/>
      <c r="T262" s="12"/>
      <c r="U262" s="12"/>
      <c r="V262" s="19"/>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row>
    <row r="263" spans="3:65" s="1" customFormat="1" ht="9.75" customHeight="1" thickBot="1" x14ac:dyDescent="0.2">
      <c r="F263" s="189"/>
      <c r="J263" s="1118"/>
      <c r="M263" s="1124"/>
      <c r="P263" s="12"/>
      <c r="Q263" s="12"/>
      <c r="R263" s="12"/>
      <c r="S263" s="12"/>
      <c r="T263" s="12"/>
      <c r="U263" s="12"/>
      <c r="V263" s="19"/>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row>
    <row r="264" spans="3:65" s="1" customFormat="1" ht="25.5" customHeight="1" thickBot="1" x14ac:dyDescent="0.2">
      <c r="C264" s="1526"/>
      <c r="D264" s="1526"/>
      <c r="E264" s="1526"/>
      <c r="F264" s="1526"/>
      <c r="G264" s="1125">
        <f>IF(AND(G262-N262&lt;0.001,G262-N262&gt;-0.001),0,G262-N262)</f>
        <v>0</v>
      </c>
      <c r="H264" s="1527">
        <f>IF($Q$2=2,IF(G264=0,$T$8,$T$5),IF(G264=0,$T$9,$T$7))</f>
        <v>0</v>
      </c>
      <c r="I264" s="1527"/>
      <c r="J264" s="1527"/>
      <c r="K264" s="1527"/>
      <c r="L264" s="1527"/>
      <c r="M264" s="1527"/>
      <c r="N264" s="1528"/>
      <c r="P264" s="12"/>
      <c r="Q264" s="12"/>
      <c r="R264" s="12"/>
      <c r="S264" s="12"/>
      <c r="T264" s="12"/>
      <c r="U264" s="12"/>
      <c r="V264" s="19"/>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row>
    <row r="265" spans="3:65" s="1" customFormat="1" ht="15" customHeight="1" x14ac:dyDescent="0.15">
      <c r="C265" s="1529"/>
      <c r="D265" s="1529"/>
      <c r="E265" s="1529"/>
      <c r="F265" s="1529"/>
      <c r="G265" s="1529"/>
      <c r="H265" s="1529"/>
      <c r="I265" s="1529"/>
      <c r="J265" s="1529"/>
      <c r="K265" s="1529"/>
      <c r="L265" s="1529"/>
      <c r="M265" s="1529"/>
      <c r="N265" s="1529"/>
      <c r="O265" s="1109"/>
      <c r="P265" s="1104"/>
      <c r="R265" s="12"/>
      <c r="S265" s="12"/>
      <c r="T265" s="12"/>
      <c r="U265" s="12"/>
      <c r="V265" s="19"/>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row>
    <row r="266" spans="3:65" s="1" customFormat="1" ht="19.5" customHeight="1" x14ac:dyDescent="0.15">
      <c r="C266" s="1530"/>
      <c r="D266" s="1530"/>
      <c r="E266" s="1530"/>
      <c r="F266" s="1530"/>
      <c r="G266" s="1530"/>
      <c r="H266" s="1530"/>
      <c r="I266" s="1530"/>
      <c r="J266" s="1530"/>
      <c r="K266" s="1530"/>
      <c r="L266" s="1530"/>
      <c r="M266" s="1530"/>
      <c r="N266" s="1530"/>
      <c r="O266" s="1109"/>
      <c r="P266" s="1104"/>
      <c r="R266" s="12"/>
      <c r="S266" s="12"/>
      <c r="T266" s="12"/>
      <c r="U266" s="12"/>
      <c r="V266" s="19"/>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row>
    <row r="267" spans="3:65" s="1" customFormat="1" ht="40.5" customHeight="1" x14ac:dyDescent="0.15">
      <c r="D267" s="1531" t="str">
        <f>IF($Q$2=2,"Réconciliation détaillée du compte "&amp;F269&amp;" - "&amp;C269,"Detailed Reconciliation of the Account "&amp;F269&amp;" - "&amp;C269)</f>
        <v>Detailed Reconciliation of the Account 1220 - Investments (Mutual Funds and such)</v>
      </c>
      <c r="E267" s="1531"/>
      <c r="F267" s="1531"/>
      <c r="G267" s="1531"/>
      <c r="H267" s="1531"/>
      <c r="I267" s="1531"/>
      <c r="J267" s="1531"/>
      <c r="K267" s="1531"/>
      <c r="L267" s="1531"/>
      <c r="M267" s="1531"/>
      <c r="N267" s="1111"/>
      <c r="P267" s="12"/>
      <c r="R267" s="12"/>
      <c r="S267" s="12"/>
      <c r="T267" s="12"/>
      <c r="U267" s="12"/>
      <c r="V267" s="19"/>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row>
    <row r="268" spans="3:65" s="1" customFormat="1" ht="29.25" customHeight="1" x14ac:dyDescent="0.15">
      <c r="C268" s="1523" t="str">
        <f>IF($Q$2=2,"Réconciliation selon les livres comptables","Reconciliation as per BookKeeping")</f>
        <v>Reconciliation as per BookKeeping</v>
      </c>
      <c r="D268" s="1523"/>
      <c r="E268" s="1523"/>
      <c r="F268" s="1523"/>
      <c r="G268" s="1523"/>
      <c r="I268" s="1523" t="str">
        <f>IF($Q$2=2,"Réconciliation selon l'état de compte","Reconciliation as per Account Statement")</f>
        <v>Reconciliation as per Account Statement</v>
      </c>
      <c r="J268" s="1523"/>
      <c r="K268" s="1523"/>
      <c r="L268" s="1523"/>
      <c r="M268" s="1523"/>
      <c r="N268" s="1112" t="str">
        <f>F269</f>
        <v>1220</v>
      </c>
      <c r="P268" s="188"/>
      <c r="R268" s="188"/>
      <c r="S268" s="188"/>
      <c r="T268" s="12"/>
      <c r="U268" s="12"/>
      <c r="V268" s="19"/>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row>
    <row r="269" spans="3:65" ht="25.5" customHeight="1" thickBot="1" x14ac:dyDescent="0.2">
      <c r="C269" s="1541" t="str">
        <f>'Set up ~ Config'!G65</f>
        <v>Investments (Mutual Funds and such)</v>
      </c>
      <c r="D269" s="1541"/>
      <c r="E269" s="1541"/>
      <c r="F269" s="1113" t="str">
        <f>LEFT('Set up ~ Config'!F65,4)</f>
        <v>1220</v>
      </c>
      <c r="G269" s="82"/>
      <c r="H269" s="1"/>
      <c r="I269" s="1534"/>
      <c r="J269" s="1534"/>
      <c r="K269" s="1534"/>
      <c r="L269" s="1534"/>
      <c r="M269" s="1534"/>
      <c r="N269" s="1534"/>
      <c r="O269" s="1"/>
      <c r="P269" s="12"/>
      <c r="Q269" s="1"/>
      <c r="R269" s="12"/>
      <c r="S269" s="12"/>
      <c r="BK269" s="187"/>
      <c r="BL269" s="187"/>
      <c r="BM269" s="187"/>
    </row>
    <row r="270" spans="3:65" ht="25.5" customHeight="1" thickTop="1" thickBot="1" x14ac:dyDescent="0.2">
      <c r="C270" s="1535" t="str">
        <f>IF($Q$2=2,"Solde du compte au ","Account Balance on ")</f>
        <v xml:space="preserve">Account Balance on </v>
      </c>
      <c r="D270" s="1535"/>
      <c r="E270" s="1535"/>
      <c r="F270" s="1114" t="e">
        <f>DATEVALUE('Set up ~ Config'!$L$5)</f>
        <v>#VALUE!</v>
      </c>
      <c r="G270" s="1115">
        <f>'Set up ~ Config'!D65</f>
        <v>0</v>
      </c>
      <c r="H270" s="1"/>
      <c r="I270" s="1116" t="str">
        <f>IF($Q$2=2,"Date (aaaa-mm-jj):","Date (yyyy-mm-dd):")</f>
        <v>Date (yyyy-mm-dd):</v>
      </c>
      <c r="J270" s="957"/>
      <c r="K270" s="1536" t="str">
        <f>IF($Q$2=2,"Solde :","Balance :")</f>
        <v>Balance :</v>
      </c>
      <c r="L270" s="1537"/>
      <c r="M270" s="1538"/>
      <c r="N270" s="942"/>
      <c r="O270" s="1"/>
      <c r="P270" s="12"/>
      <c r="Q270" s="1540"/>
      <c r="R270" s="1540"/>
      <c r="S270" s="1540"/>
    </row>
    <row r="271" spans="3:65" s="1" customFormat="1" ht="25.5" customHeight="1" thickTop="1" x14ac:dyDescent="0.15">
      <c r="C271" s="1539" t="str">
        <f>IF($Q$2=2,"Plus: Accroissements (Jrnl des revenus)","Plus: Increases (Revenue Jrnl)")</f>
        <v>Plus: Increases (Revenue Jrnl)</v>
      </c>
      <c r="D271" s="1539"/>
      <c r="E271" s="1539"/>
      <c r="F271" s="1539"/>
      <c r="G271" s="1115">
        <f>'Jrnl Rev'!G542</f>
        <v>0</v>
      </c>
      <c r="H271" s="1118"/>
      <c r="P271" s="12"/>
      <c r="Q271" s="12"/>
      <c r="R271" s="12"/>
      <c r="S271" s="12"/>
      <c r="T271" s="12"/>
      <c r="U271" s="12"/>
      <c r="V271" s="19"/>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row>
    <row r="272" spans="3:65" s="1" customFormat="1" ht="25.5" customHeight="1" x14ac:dyDescent="0.15">
      <c r="C272" s="1539" t="str">
        <f>IF($Q$2=2," Moins: Décroissements (Jrnl des dépenses)","Less: Decreases (Expense Jrnl)")</f>
        <v>Less: Decreases (Expense Jrnl)</v>
      </c>
      <c r="D272" s="1539"/>
      <c r="E272" s="1539"/>
      <c r="F272" s="1539"/>
      <c r="G272" s="1115">
        <f>'Jrnl Exp ~ Dép'!G542</f>
        <v>0</v>
      </c>
      <c r="I272" s="188"/>
      <c r="J272" s="188"/>
      <c r="K272" s="188"/>
      <c r="L272" s="188"/>
      <c r="M272" s="188"/>
      <c r="N272" s="1119"/>
      <c r="P272" s="12"/>
      <c r="Q272" s="12"/>
      <c r="R272" s="12"/>
      <c r="S272" s="12"/>
      <c r="T272" s="188"/>
      <c r="U272" s="188"/>
      <c r="V272" s="502"/>
      <c r="W272" s="188"/>
      <c r="X272" s="188"/>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row>
    <row r="273" spans="3:65" s="1" customFormat="1" ht="25.5" customHeight="1" x14ac:dyDescent="0.15">
      <c r="C273" s="1533"/>
      <c r="D273" s="1533"/>
      <c r="E273" s="1533"/>
      <c r="F273" s="1533"/>
      <c r="H273" s="1118"/>
      <c r="P273" s="12"/>
      <c r="Q273" s="12"/>
      <c r="R273" s="12"/>
      <c r="S273" s="12"/>
      <c r="T273" s="12"/>
      <c r="U273" s="12"/>
      <c r="V273" s="19"/>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row>
    <row r="274" spans="3:65" s="1" customFormat="1" ht="25.5" customHeight="1" thickBot="1" x14ac:dyDescent="0.2">
      <c r="C274" s="1524" t="str">
        <f>IF($Q$2=2,F269&amp;" Fonds disponible du compte",F269&amp;" Account Available Funds")</f>
        <v>1220 Account Available Funds</v>
      </c>
      <c r="D274" s="1524"/>
      <c r="E274" s="1524"/>
      <c r="F274" s="1524"/>
      <c r="G274" s="1120"/>
      <c r="I274" s="18"/>
      <c r="J274" s="12"/>
      <c r="K274" s="12"/>
      <c r="L274" s="12"/>
      <c r="M274" s="12"/>
      <c r="N274" s="1121"/>
      <c r="P274" s="12"/>
      <c r="Q274" s="12"/>
      <c r="R274" s="12"/>
      <c r="S274" s="12"/>
      <c r="T274" s="12"/>
      <c r="U274" s="1117"/>
      <c r="V274" s="19"/>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row>
    <row r="275" spans="3:65" s="1" customFormat="1" ht="25.5" customHeight="1" thickBot="1" x14ac:dyDescent="0.2">
      <c r="C275" s="1525" t="str">
        <f>IF($Q$2=2,"Solde reporté à la ligne "&amp;F269&amp;" du Bilan - page 7","This balance fwrd'd to line "&amp;F269&amp;" of Balance Sheet -  page 7")</f>
        <v>This balance fwrd'd to line 1220 of Balance Sheet -  page 7</v>
      </c>
      <c r="D275" s="1525"/>
      <c r="E275" s="1525"/>
      <c r="F275" s="1525"/>
      <c r="G275" s="1122">
        <f>IF(AND(SUM(G270+G271-G272)&lt;0.001,SUM(G270+G271-G272)&gt;-0.001),0,SUM(G270+G271-G272))</f>
        <v>0</v>
      </c>
      <c r="H275" s="605"/>
      <c r="J275" s="82"/>
      <c r="K275" s="82"/>
      <c r="L275" s="82"/>
      <c r="M275" s="1123"/>
      <c r="N275" s="1122">
        <f>N270</f>
        <v>0</v>
      </c>
      <c r="P275" s="12"/>
      <c r="Q275" s="12"/>
      <c r="R275" s="12"/>
      <c r="S275" s="12"/>
      <c r="T275" s="12"/>
      <c r="U275" s="12"/>
      <c r="V275" s="19"/>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row>
    <row r="276" spans="3:65" s="1" customFormat="1" ht="9.75" customHeight="1" thickBot="1" x14ac:dyDescent="0.2">
      <c r="F276" s="189"/>
      <c r="J276" s="1118"/>
      <c r="M276" s="1124"/>
      <c r="P276" s="12"/>
      <c r="Q276" s="12"/>
      <c r="R276" s="12"/>
      <c r="S276" s="12"/>
      <c r="T276" s="12"/>
      <c r="U276" s="12"/>
      <c r="V276" s="19"/>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row>
    <row r="277" spans="3:65" s="1" customFormat="1" ht="25.5" customHeight="1" thickBot="1" x14ac:dyDescent="0.2">
      <c r="C277" s="1526"/>
      <c r="D277" s="1526"/>
      <c r="E277" s="1526"/>
      <c r="F277" s="1526"/>
      <c r="G277" s="1125">
        <f>IF(AND(G275-N275&lt;0.001,G275-N275&gt;-0.001),0,G275-N275)</f>
        <v>0</v>
      </c>
      <c r="H277" s="1527">
        <f>IF($Q$2=2,IF(G277=0,$T$8,$T$5),IF(G277=0,$T$9,$T$7))</f>
        <v>0</v>
      </c>
      <c r="I277" s="1527"/>
      <c r="J277" s="1527"/>
      <c r="K277" s="1527"/>
      <c r="L277" s="1527"/>
      <c r="M277" s="1527"/>
      <c r="N277" s="1528"/>
      <c r="P277" s="12"/>
      <c r="Q277" s="12"/>
      <c r="R277" s="12"/>
      <c r="S277" s="12"/>
      <c r="T277" s="12"/>
      <c r="U277" s="12"/>
      <c r="V277" s="19"/>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row>
    <row r="278" spans="3:65" s="1" customFormat="1" ht="15" customHeight="1" x14ac:dyDescent="0.15">
      <c r="C278" s="1529"/>
      <c r="D278" s="1529"/>
      <c r="E278" s="1529"/>
      <c r="F278" s="1529"/>
      <c r="G278" s="1529"/>
      <c r="H278" s="1529"/>
      <c r="I278" s="1529"/>
      <c r="J278" s="1529"/>
      <c r="K278" s="1529"/>
      <c r="L278" s="1529"/>
      <c r="M278" s="1529"/>
      <c r="N278" s="1529"/>
      <c r="O278" s="1109"/>
      <c r="P278" s="1104"/>
      <c r="R278" s="12"/>
      <c r="S278" s="12"/>
      <c r="T278" s="12"/>
      <c r="U278" s="12"/>
      <c r="V278" s="19"/>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row>
    <row r="279" spans="3:65" s="1" customFormat="1" ht="19.5" customHeight="1" x14ac:dyDescent="0.15">
      <c r="C279" s="1530"/>
      <c r="D279" s="1530"/>
      <c r="E279" s="1530"/>
      <c r="F279" s="1530"/>
      <c r="G279" s="1530"/>
      <c r="H279" s="1530"/>
      <c r="I279" s="1530"/>
      <c r="J279" s="1530"/>
      <c r="K279" s="1530"/>
      <c r="L279" s="1530"/>
      <c r="M279" s="1530"/>
      <c r="N279" s="1530"/>
      <c r="O279" s="1109"/>
      <c r="P279" s="1104"/>
      <c r="R279" s="12"/>
      <c r="S279" s="12"/>
      <c r="T279" s="12"/>
      <c r="U279" s="12"/>
      <c r="V279" s="19"/>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row>
    <row r="280" spans="3:65" s="1" customFormat="1" ht="40.5" customHeight="1" x14ac:dyDescent="0.15">
      <c r="D280" s="1531" t="str">
        <f>IF($Q$2=2,"Réconciliation détaillée du compte "&amp;F282&amp;" - "&amp;C282,"Detailed Reconciliation of the Account "&amp;F282&amp;" - "&amp;C282)</f>
        <v>Detailed Reconciliation of the Account 1230 - Disponible ~ Available</v>
      </c>
      <c r="E280" s="1531"/>
      <c r="F280" s="1531"/>
      <c r="G280" s="1531"/>
      <c r="H280" s="1531"/>
      <c r="I280" s="1531"/>
      <c r="J280" s="1531"/>
      <c r="K280" s="1531"/>
      <c r="L280" s="1531"/>
      <c r="M280" s="1531"/>
      <c r="N280" s="1111"/>
      <c r="P280" s="12"/>
      <c r="R280" s="12"/>
      <c r="S280" s="12"/>
      <c r="T280" s="12"/>
      <c r="U280" s="12"/>
      <c r="V280" s="19"/>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row>
    <row r="281" spans="3:65" s="1" customFormat="1" ht="29.25" customHeight="1" x14ac:dyDescent="0.15">
      <c r="C281" s="1523" t="str">
        <f>IF($Q$2=2,"Réconciliation selon les livres comptables","Reconciliation as per BookKeeping")</f>
        <v>Reconciliation as per BookKeeping</v>
      </c>
      <c r="D281" s="1523"/>
      <c r="E281" s="1523"/>
      <c r="F281" s="1523"/>
      <c r="G281" s="1523"/>
      <c r="I281" s="1523" t="str">
        <f>IF($Q$2=2,"Réconciliation selon l'état de compte","Reconciliation as per Account Statement")</f>
        <v>Reconciliation as per Account Statement</v>
      </c>
      <c r="J281" s="1523"/>
      <c r="K281" s="1523"/>
      <c r="L281" s="1523"/>
      <c r="M281" s="1523"/>
      <c r="N281" s="1112" t="str">
        <f>F282</f>
        <v>1230</v>
      </c>
      <c r="P281" s="188"/>
      <c r="R281" s="188"/>
      <c r="S281" s="188"/>
      <c r="T281" s="12"/>
      <c r="U281" s="12"/>
      <c r="V281" s="19"/>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row>
    <row r="282" spans="3:65" s="1" customFormat="1" ht="25.5" customHeight="1" thickBot="1" x14ac:dyDescent="0.2">
      <c r="C282" s="1532" t="str">
        <f>'Set up ~ Config'!G66</f>
        <v>Disponible ~ Available</v>
      </c>
      <c r="D282" s="1532"/>
      <c r="E282" s="1532"/>
      <c r="F282" s="1113" t="str">
        <f>LEFT('Set up ~ Config'!F66,4)</f>
        <v>1230</v>
      </c>
      <c r="G282" s="82"/>
      <c r="I282" s="1534"/>
      <c r="J282" s="1534"/>
      <c r="K282" s="1534"/>
      <c r="L282" s="1534"/>
      <c r="M282" s="1534"/>
      <c r="N282" s="1534"/>
      <c r="P282" s="12"/>
      <c r="R282" s="12"/>
      <c r="S282" s="12"/>
      <c r="T282" s="12"/>
      <c r="U282" s="12"/>
      <c r="V282" s="19"/>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row>
    <row r="283" spans="3:65" ht="25.5" customHeight="1" thickTop="1" thickBot="1" x14ac:dyDescent="0.2">
      <c r="C283" s="1535" t="str">
        <f>IF($Q$2=2,"Solde du compte au ","Account Balance on ")</f>
        <v xml:space="preserve">Account Balance on </v>
      </c>
      <c r="D283" s="1535"/>
      <c r="E283" s="1535"/>
      <c r="F283" s="1114" t="e">
        <f>DATEVALUE('Set up ~ Config'!$L$5)</f>
        <v>#VALUE!</v>
      </c>
      <c r="G283" s="1115">
        <f>'Set up ~ Config'!D66</f>
        <v>0</v>
      </c>
      <c r="H283" s="1"/>
      <c r="I283" s="1116" t="str">
        <f>IF($Q$2=2,"Date (aaaa-mm-jj):","Date (yyyy-mm-dd):")</f>
        <v>Date (yyyy-mm-dd):</v>
      </c>
      <c r="J283" s="957"/>
      <c r="K283" s="1536" t="str">
        <f>IF($Q$2=2,"Solde :","Balance :")</f>
        <v>Balance :</v>
      </c>
      <c r="L283" s="1537"/>
      <c r="M283" s="1538"/>
      <c r="N283" s="942"/>
      <c r="O283" s="1"/>
      <c r="P283" s="12"/>
      <c r="Q283" s="1540"/>
      <c r="R283" s="1540"/>
      <c r="S283" s="1540"/>
      <c r="BK283" s="187"/>
      <c r="BL283" s="187"/>
      <c r="BM283" s="187"/>
    </row>
    <row r="284" spans="3:65" ht="25.5" customHeight="1" thickTop="1" x14ac:dyDescent="0.15">
      <c r="C284" s="1539" t="str">
        <f>IF($Q$2=2,"Plus: Accroissements (Jrnl des revenus)","Plus: Increases (Revenue Jrnl)")</f>
        <v>Plus: Increases (Revenue Jrnl)</v>
      </c>
      <c r="D284" s="1539"/>
      <c r="E284" s="1539"/>
      <c r="F284" s="1539"/>
      <c r="G284" s="1115">
        <f>'Jrnl Rev'!G543</f>
        <v>0</v>
      </c>
      <c r="H284" s="1118"/>
      <c r="I284" s="1"/>
      <c r="J284" s="1"/>
      <c r="K284" s="1"/>
      <c r="L284" s="1"/>
      <c r="M284" s="1"/>
      <c r="N284" s="1"/>
      <c r="O284" s="1"/>
      <c r="P284" s="12"/>
      <c r="Q284" s="12"/>
      <c r="R284" s="12"/>
      <c r="S284" s="12"/>
    </row>
    <row r="285" spans="3:65" s="1" customFormat="1" ht="25.5" customHeight="1" x14ac:dyDescent="0.15">
      <c r="C285" s="1539" t="str">
        <f>IF($Q$2=2," Moins: Décroissements (Jrnl des dépenses)","Less: Decreases (Expense Jrnl)")</f>
        <v>Less: Decreases (Expense Jrnl)</v>
      </c>
      <c r="D285" s="1539"/>
      <c r="E285" s="1539"/>
      <c r="F285" s="1539"/>
      <c r="G285" s="1115">
        <f>'Jrnl Exp ~ Dép'!G543</f>
        <v>0</v>
      </c>
      <c r="I285" s="188"/>
      <c r="J285" s="188"/>
      <c r="K285" s="188"/>
      <c r="L285" s="188"/>
      <c r="M285" s="188"/>
      <c r="N285" s="1119"/>
      <c r="P285" s="12"/>
      <c r="Q285" s="12"/>
      <c r="R285" s="12"/>
      <c r="S285" s="12"/>
      <c r="T285" s="12"/>
      <c r="U285" s="12"/>
      <c r="V285" s="19"/>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row>
    <row r="286" spans="3:65" s="1" customFormat="1" ht="25.5" customHeight="1" x14ac:dyDescent="0.15">
      <c r="C286" s="1533"/>
      <c r="D286" s="1533"/>
      <c r="E286" s="1533"/>
      <c r="F286" s="1533"/>
      <c r="H286" s="1118"/>
      <c r="P286" s="12"/>
      <c r="Q286" s="12"/>
      <c r="R286" s="12"/>
      <c r="S286" s="12"/>
      <c r="T286" s="188"/>
      <c r="U286" s="188"/>
      <c r="V286" s="502"/>
      <c r="W286" s="188"/>
      <c r="X286" s="188"/>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row>
    <row r="287" spans="3:65" s="1" customFormat="1" ht="25.5" customHeight="1" thickBot="1" x14ac:dyDescent="0.2">
      <c r="C287" s="1524" t="str">
        <f>IF($Q$2=2,F282&amp;" Fonds disponible du compte",F282&amp;" Account Available Funds")</f>
        <v>1230 Account Available Funds</v>
      </c>
      <c r="D287" s="1524"/>
      <c r="E287" s="1524"/>
      <c r="F287" s="1524"/>
      <c r="G287" s="1120"/>
      <c r="I287" s="18"/>
      <c r="J287" s="12"/>
      <c r="K287" s="12"/>
      <c r="L287" s="12"/>
      <c r="M287" s="12"/>
      <c r="N287" s="1121"/>
      <c r="P287" s="12"/>
      <c r="Q287" s="12"/>
      <c r="R287" s="12"/>
      <c r="S287" s="12"/>
      <c r="T287" s="12"/>
      <c r="U287" s="12"/>
      <c r="V287" s="19"/>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row>
    <row r="288" spans="3:65" s="1" customFormat="1" ht="25.5" customHeight="1" thickBot="1" x14ac:dyDescent="0.2">
      <c r="C288" s="1525" t="str">
        <f>IF($Q$2=2,"Solde reporté à la ligne "&amp;F282&amp;" du Bilan - page 7","This balance fwrd'd to line "&amp;F282&amp;" of Balance Sheet -  page 7")</f>
        <v>This balance fwrd'd to line 1230 of Balance Sheet -  page 7</v>
      </c>
      <c r="D288" s="1525"/>
      <c r="E288" s="1525"/>
      <c r="F288" s="1525"/>
      <c r="G288" s="1122">
        <f>IF(AND(SUM(G283+G284-G285)&lt;0.001,SUM(G283+G284-G285)&gt;-0.001),0,SUM(G283+G284-G285))</f>
        <v>0</v>
      </c>
      <c r="H288" s="605"/>
      <c r="J288" s="82"/>
      <c r="K288" s="82"/>
      <c r="L288" s="82"/>
      <c r="M288" s="1123"/>
      <c r="N288" s="1122">
        <f>N283</f>
        <v>0</v>
      </c>
      <c r="P288" s="12"/>
      <c r="Q288" s="12"/>
      <c r="R288" s="12"/>
      <c r="S288" s="12"/>
      <c r="T288" s="12"/>
      <c r="U288" s="1117"/>
      <c r="V288" s="19"/>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row>
    <row r="289" spans="3:65" s="1" customFormat="1" ht="9.75" customHeight="1" thickBot="1" x14ac:dyDescent="0.2">
      <c r="F289" s="189"/>
      <c r="J289" s="1118"/>
      <c r="M289" s="1124"/>
      <c r="P289" s="12"/>
      <c r="Q289" s="12"/>
      <c r="R289" s="12"/>
      <c r="S289" s="12"/>
      <c r="T289" s="12"/>
      <c r="U289" s="12"/>
      <c r="V289" s="19"/>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row>
    <row r="290" spans="3:65" s="1" customFormat="1" ht="25.5" customHeight="1" thickBot="1" x14ac:dyDescent="0.2">
      <c r="C290" s="1526"/>
      <c r="D290" s="1526"/>
      <c r="E290" s="1526"/>
      <c r="F290" s="1526"/>
      <c r="G290" s="1125">
        <f>IF(AND(G288-N288&lt;0.001,G288-N288&gt;-0.001),0,G288-N288)</f>
        <v>0</v>
      </c>
      <c r="H290" s="1527">
        <f>IF($Q$2=2,IF(G290=0,$T$8,$T$5),IF(G290=0,$T$9,$T$7))</f>
        <v>0</v>
      </c>
      <c r="I290" s="1527"/>
      <c r="J290" s="1527"/>
      <c r="K290" s="1527"/>
      <c r="L290" s="1527"/>
      <c r="M290" s="1527"/>
      <c r="N290" s="1528"/>
      <c r="P290" s="12"/>
      <c r="Q290" s="12"/>
      <c r="R290" s="12"/>
      <c r="S290" s="12"/>
      <c r="T290" s="12"/>
      <c r="U290" s="12"/>
      <c r="V290" s="19"/>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row>
    <row r="291" spans="3:65" s="1" customFormat="1" ht="15" customHeight="1" x14ac:dyDescent="0.15">
      <c r="C291" s="1529"/>
      <c r="D291" s="1529"/>
      <c r="E291" s="1529"/>
      <c r="F291" s="1529"/>
      <c r="G291" s="1529"/>
      <c r="H291" s="1529"/>
      <c r="I291" s="1529"/>
      <c r="J291" s="1529"/>
      <c r="K291" s="1529"/>
      <c r="L291" s="1529"/>
      <c r="M291" s="1529"/>
      <c r="N291" s="1529"/>
      <c r="O291" s="1109"/>
      <c r="P291" s="1104"/>
      <c r="R291" s="12"/>
      <c r="S291" s="12"/>
      <c r="T291" s="12"/>
      <c r="U291" s="12"/>
      <c r="V291" s="19"/>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row>
    <row r="292" spans="3:65" s="1" customFormat="1" ht="19.5" customHeight="1" x14ac:dyDescent="0.15">
      <c r="C292" s="1530"/>
      <c r="D292" s="1530"/>
      <c r="E292" s="1530"/>
      <c r="F292" s="1530"/>
      <c r="G292" s="1530"/>
      <c r="H292" s="1530"/>
      <c r="I292" s="1530"/>
      <c r="J292" s="1530"/>
      <c r="K292" s="1530"/>
      <c r="L292" s="1530"/>
      <c r="M292" s="1530"/>
      <c r="N292" s="1530"/>
      <c r="O292" s="1109"/>
      <c r="P292" s="1104"/>
      <c r="R292" s="12"/>
      <c r="S292" s="12"/>
      <c r="T292" s="12"/>
      <c r="U292" s="12"/>
      <c r="V292" s="19"/>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row>
    <row r="293" spans="3:65" s="1" customFormat="1" ht="40.5" customHeight="1" x14ac:dyDescent="0.15">
      <c r="D293" s="1531" t="str">
        <f>IF($Q$2=2,"Réconciliation détaillée du compte "&amp;F295&amp;" - "&amp;C295,"Detailed Reconciliation of the Account "&amp;F295&amp;" - "&amp;C295)</f>
        <v>Detailed Reconciliation of the Account 1240 - Disponible ~ Available</v>
      </c>
      <c r="E293" s="1531"/>
      <c r="F293" s="1531"/>
      <c r="G293" s="1531"/>
      <c r="H293" s="1531"/>
      <c r="I293" s="1531"/>
      <c r="J293" s="1531"/>
      <c r="K293" s="1531"/>
      <c r="L293" s="1531"/>
      <c r="M293" s="1531"/>
      <c r="N293" s="1111"/>
      <c r="P293" s="12"/>
      <c r="R293" s="12"/>
      <c r="S293" s="12"/>
      <c r="T293" s="12"/>
      <c r="U293" s="12"/>
      <c r="V293" s="19"/>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row>
    <row r="294" spans="3:65" s="1" customFormat="1" ht="29.25" customHeight="1" x14ac:dyDescent="0.15">
      <c r="C294" s="1523" t="str">
        <f>IF($Q$2=2,"Réconciliation selon les livres comptables","Reconciliation as per BookKeeping")</f>
        <v>Reconciliation as per BookKeeping</v>
      </c>
      <c r="D294" s="1523"/>
      <c r="E294" s="1523"/>
      <c r="F294" s="1523"/>
      <c r="G294" s="1523"/>
      <c r="I294" s="1523" t="str">
        <f>IF($Q$2=2,"Réconciliation selon l'état de compte","Reconciliation as per Account Statement")</f>
        <v>Reconciliation as per Account Statement</v>
      </c>
      <c r="J294" s="1523"/>
      <c r="K294" s="1523"/>
      <c r="L294" s="1523"/>
      <c r="M294" s="1523"/>
      <c r="N294" s="1112" t="str">
        <f>F295</f>
        <v>1240</v>
      </c>
      <c r="P294" s="188"/>
      <c r="R294" s="188"/>
      <c r="S294" s="188"/>
      <c r="T294" s="12"/>
      <c r="U294" s="12"/>
      <c r="V294" s="19"/>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row>
    <row r="295" spans="3:65" s="1" customFormat="1" ht="25.5" customHeight="1" thickBot="1" x14ac:dyDescent="0.2">
      <c r="C295" s="1532" t="str">
        <f>'Set up ~ Config'!G67</f>
        <v>Disponible ~ Available</v>
      </c>
      <c r="D295" s="1532"/>
      <c r="E295" s="1532"/>
      <c r="F295" s="1113" t="str">
        <f>LEFT('Set up ~ Config'!F67,4)</f>
        <v>1240</v>
      </c>
      <c r="G295" s="82"/>
      <c r="I295" s="1534"/>
      <c r="J295" s="1534"/>
      <c r="K295" s="1534"/>
      <c r="L295" s="1534"/>
      <c r="M295" s="1534"/>
      <c r="N295" s="1534"/>
      <c r="P295" s="12"/>
      <c r="R295" s="12"/>
      <c r="S295" s="12"/>
      <c r="T295" s="12"/>
      <c r="U295" s="12"/>
      <c r="V295" s="19"/>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row>
    <row r="296" spans="3:65" s="1" customFormat="1" ht="25.5" customHeight="1" thickTop="1" thickBot="1" x14ac:dyDescent="0.2">
      <c r="C296" s="1535" t="str">
        <f>IF($Q$2=2,"Solde du compte au ","Account Balance on ")</f>
        <v xml:space="preserve">Account Balance on </v>
      </c>
      <c r="D296" s="1535"/>
      <c r="E296" s="1535"/>
      <c r="F296" s="1114" t="e">
        <f>DATEVALUE('Set up ~ Config'!$L$5)</f>
        <v>#VALUE!</v>
      </c>
      <c r="G296" s="1115">
        <f>'Set up ~ Config'!D67</f>
        <v>0</v>
      </c>
      <c r="I296" s="1116" t="str">
        <f>IF($Q$2=2,"Date (aaaa-mm-jj):","Date (yyyy-mm-dd):")</f>
        <v>Date (yyyy-mm-dd):</v>
      </c>
      <c r="J296" s="957"/>
      <c r="K296" s="1536" t="str">
        <f>IF($Q$2=2,"Solde :","Balance :")</f>
        <v>Balance :</v>
      </c>
      <c r="L296" s="1537"/>
      <c r="M296" s="1538"/>
      <c r="N296" s="942"/>
      <c r="P296" s="12"/>
      <c r="Q296" s="1540"/>
      <c r="R296" s="1540"/>
      <c r="S296" s="1540"/>
      <c r="T296" s="12"/>
      <c r="U296" s="12"/>
      <c r="V296" s="19"/>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row>
    <row r="297" spans="3:65" ht="25.5" customHeight="1" thickTop="1" x14ac:dyDescent="0.15">
      <c r="C297" s="1539" t="str">
        <f>IF($Q$2=2,"Plus: Accroissements (Jrnl des revenus)","Plus: Increases (Revenue Jrnl)")</f>
        <v>Plus: Increases (Revenue Jrnl)</v>
      </c>
      <c r="D297" s="1539"/>
      <c r="E297" s="1539"/>
      <c r="F297" s="1539"/>
      <c r="G297" s="1115">
        <f>'Jrnl Rev'!G544</f>
        <v>0</v>
      </c>
      <c r="H297" s="1118"/>
      <c r="I297" s="1"/>
      <c r="J297" s="1"/>
      <c r="K297" s="1"/>
      <c r="L297" s="1"/>
      <c r="M297" s="1"/>
      <c r="N297" s="1"/>
      <c r="O297" s="1"/>
      <c r="P297" s="12"/>
      <c r="Q297" s="12"/>
      <c r="R297" s="12"/>
      <c r="S297" s="12"/>
      <c r="BK297" s="187"/>
      <c r="BL297" s="187"/>
      <c r="BM297" s="187"/>
    </row>
    <row r="298" spans="3:65" ht="25.5" customHeight="1" x14ac:dyDescent="0.15">
      <c r="C298" s="1539" t="str">
        <f>IF($Q$2=2," Moins: Décroissements (Jrnl des dépenses)","Less: Decreases (Expense Jrnl)")</f>
        <v>Less: Decreases (Expense Jrnl)</v>
      </c>
      <c r="D298" s="1539"/>
      <c r="E298" s="1539"/>
      <c r="F298" s="1539"/>
      <c r="G298" s="1115">
        <f>'Jrnl Exp ~ Dép'!G544</f>
        <v>0</v>
      </c>
      <c r="H298" s="1"/>
      <c r="I298" s="188"/>
      <c r="J298" s="188"/>
      <c r="K298" s="188"/>
      <c r="L298" s="188"/>
      <c r="M298" s="188"/>
      <c r="N298" s="1119"/>
      <c r="O298" s="1"/>
      <c r="P298" s="12"/>
      <c r="Q298" s="12"/>
      <c r="R298" s="12"/>
      <c r="S298" s="12"/>
    </row>
    <row r="299" spans="3:65" s="1" customFormat="1" ht="25.5" customHeight="1" x14ac:dyDescent="0.15">
      <c r="C299" s="1533"/>
      <c r="D299" s="1533"/>
      <c r="E299" s="1533"/>
      <c r="F299" s="1533"/>
      <c r="H299" s="1118"/>
      <c r="P299" s="12"/>
      <c r="Q299" s="12"/>
      <c r="R299" s="12"/>
      <c r="S299" s="12"/>
      <c r="T299" s="12"/>
      <c r="U299" s="12"/>
      <c r="V299" s="19"/>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row>
    <row r="300" spans="3:65" s="1" customFormat="1" ht="25.5" customHeight="1" thickBot="1" x14ac:dyDescent="0.2">
      <c r="C300" s="1524" t="str">
        <f>IF($Q$2=2,F295&amp;" Fonds disponible du compte",F295&amp;" Account Available Funds")</f>
        <v>1240 Account Available Funds</v>
      </c>
      <c r="D300" s="1524"/>
      <c r="E300" s="1524"/>
      <c r="F300" s="1524"/>
      <c r="G300" s="1120"/>
      <c r="I300" s="18"/>
      <c r="J300" s="12"/>
      <c r="K300" s="12"/>
      <c r="L300" s="12"/>
      <c r="M300" s="12"/>
      <c r="N300" s="1121"/>
      <c r="P300" s="12"/>
      <c r="Q300" s="12"/>
      <c r="R300" s="12"/>
      <c r="S300" s="12"/>
      <c r="T300" s="188"/>
      <c r="U300" s="188"/>
      <c r="V300" s="502"/>
      <c r="W300" s="188"/>
      <c r="X300" s="188"/>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row>
    <row r="301" spans="3:65" s="1" customFormat="1" ht="25.5" customHeight="1" thickBot="1" x14ac:dyDescent="0.2">
      <c r="C301" s="1525" t="str">
        <f>IF($Q$2=2,"Solde reporté à la ligne "&amp;F295&amp;" du Bilan - page 7","This balance fwrd'd to line "&amp;F295&amp;" of Balance Sheet -  page 7")</f>
        <v>This balance fwrd'd to line 1240 of Balance Sheet -  page 7</v>
      </c>
      <c r="D301" s="1525"/>
      <c r="E301" s="1525"/>
      <c r="F301" s="1525"/>
      <c r="G301" s="1122">
        <f>IF(AND(SUM(G296+G297-G298)&lt;0.001,SUM(G296+G297-G298)&gt;-0.001),0,SUM(G296+G297-G298))</f>
        <v>0</v>
      </c>
      <c r="H301" s="605"/>
      <c r="J301" s="82"/>
      <c r="K301" s="82"/>
      <c r="L301" s="82"/>
      <c r="M301" s="1123"/>
      <c r="N301" s="1122">
        <f>N296</f>
        <v>0</v>
      </c>
      <c r="P301" s="12"/>
      <c r="Q301" s="12"/>
      <c r="R301" s="12"/>
      <c r="S301" s="12"/>
      <c r="T301" s="12"/>
      <c r="U301" s="12"/>
      <c r="V301" s="19"/>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row>
    <row r="302" spans="3:65" s="1" customFormat="1" ht="9.75" customHeight="1" thickBot="1" x14ac:dyDescent="0.2">
      <c r="F302" s="189"/>
      <c r="J302" s="1118"/>
      <c r="M302" s="1124"/>
      <c r="P302" s="12"/>
      <c r="Q302" s="12"/>
      <c r="R302" s="12"/>
      <c r="S302" s="12"/>
      <c r="T302" s="12"/>
      <c r="U302" s="1117"/>
      <c r="V302" s="19"/>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row>
    <row r="303" spans="3:65" s="1" customFormat="1" ht="25.5" customHeight="1" thickBot="1" x14ac:dyDescent="0.2">
      <c r="C303" s="1526"/>
      <c r="D303" s="1526"/>
      <c r="E303" s="1526"/>
      <c r="F303" s="1526"/>
      <c r="G303" s="1125">
        <f>IF(AND(G301-N301&lt;0.001,G301-N301&gt;-0.001),0,G301-N301)</f>
        <v>0</v>
      </c>
      <c r="H303" s="1527">
        <f>IF($Q$2=2,IF(G303=0,$T$8,$T$5),IF(G303=0,$T$9,$T$7))</f>
        <v>0</v>
      </c>
      <c r="I303" s="1527"/>
      <c r="J303" s="1527"/>
      <c r="K303" s="1527"/>
      <c r="L303" s="1527"/>
      <c r="M303" s="1527"/>
      <c r="N303" s="1528"/>
      <c r="P303" s="12"/>
      <c r="Q303" s="12"/>
      <c r="R303" s="12"/>
      <c r="S303" s="12"/>
      <c r="T303" s="12"/>
      <c r="U303" s="12"/>
      <c r="V303" s="19"/>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row>
    <row r="304" spans="3:65" s="1" customFormat="1" ht="15" customHeight="1" x14ac:dyDescent="0.15">
      <c r="C304" s="1529"/>
      <c r="D304" s="1529"/>
      <c r="E304" s="1529"/>
      <c r="F304" s="1529"/>
      <c r="G304" s="1529"/>
      <c r="H304" s="1529"/>
      <c r="I304" s="1529"/>
      <c r="J304" s="1529"/>
      <c r="K304" s="1529"/>
      <c r="L304" s="1529"/>
      <c r="M304" s="1529"/>
      <c r="N304" s="1529"/>
      <c r="O304" s="1109"/>
      <c r="P304" s="1104"/>
      <c r="R304" s="12"/>
      <c r="S304" s="12"/>
      <c r="T304" s="12"/>
      <c r="U304" s="12"/>
      <c r="V304" s="19"/>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row>
    <row r="305" spans="3:65" s="1" customFormat="1" ht="19.5" customHeight="1" x14ac:dyDescent="0.15">
      <c r="C305" s="1530"/>
      <c r="D305" s="1530"/>
      <c r="E305" s="1530"/>
      <c r="F305" s="1530"/>
      <c r="G305" s="1530"/>
      <c r="H305" s="1530"/>
      <c r="I305" s="1530"/>
      <c r="J305" s="1530"/>
      <c r="K305" s="1530"/>
      <c r="L305" s="1530"/>
      <c r="M305" s="1530"/>
      <c r="N305" s="1530"/>
      <c r="O305" s="1109"/>
      <c r="P305" s="1104"/>
      <c r="R305" s="12"/>
      <c r="S305" s="12"/>
      <c r="T305" s="12"/>
      <c r="U305" s="12"/>
      <c r="V305" s="19"/>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row>
    <row r="306" spans="3:65" s="1" customFormat="1" ht="40.5" customHeight="1" x14ac:dyDescent="0.15">
      <c r="D306" s="1531" t="str">
        <f>IF($Q$2=2,"Réconciliation détaillée du compte "&amp;F308&amp;" - "&amp;C308,"Detailed Reconciliation of the Account "&amp;F308&amp;" - "&amp;C308)</f>
        <v>Detailed Reconciliation of the Account 1250 - Disponible ~ Available</v>
      </c>
      <c r="E306" s="1531"/>
      <c r="F306" s="1531"/>
      <c r="G306" s="1531"/>
      <c r="H306" s="1531"/>
      <c r="I306" s="1531"/>
      <c r="J306" s="1531"/>
      <c r="K306" s="1531"/>
      <c r="L306" s="1531"/>
      <c r="M306" s="1531"/>
      <c r="N306" s="1111"/>
      <c r="P306" s="12"/>
      <c r="R306" s="12"/>
      <c r="S306" s="12"/>
      <c r="T306" s="12"/>
      <c r="U306" s="12"/>
      <c r="V306" s="19"/>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row>
    <row r="307" spans="3:65" s="1" customFormat="1" ht="29.25" customHeight="1" x14ac:dyDescent="0.15">
      <c r="C307" s="1523" t="str">
        <f>IF($Q$2=2,"Réconciliation selon les livres comptables","Reconciliation as per BookKeeping")</f>
        <v>Reconciliation as per BookKeeping</v>
      </c>
      <c r="D307" s="1523"/>
      <c r="E307" s="1523"/>
      <c r="F307" s="1523"/>
      <c r="G307" s="1523"/>
      <c r="I307" s="1523" t="str">
        <f>IF($Q$2=2,"Réconciliation selon l'état de compte","Reconciliation as per Account Statement")</f>
        <v>Reconciliation as per Account Statement</v>
      </c>
      <c r="J307" s="1523"/>
      <c r="K307" s="1523"/>
      <c r="L307" s="1523"/>
      <c r="M307" s="1523"/>
      <c r="N307" s="1112" t="str">
        <f>F308</f>
        <v>1250</v>
      </c>
      <c r="P307" s="188"/>
      <c r="R307" s="188"/>
      <c r="S307" s="188"/>
      <c r="T307" s="12"/>
      <c r="U307" s="12"/>
      <c r="V307" s="19"/>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row>
    <row r="308" spans="3:65" s="1" customFormat="1" ht="25.5" customHeight="1" thickBot="1" x14ac:dyDescent="0.2">
      <c r="C308" s="1532" t="str">
        <f>'Set up ~ Config'!G68</f>
        <v>Disponible ~ Available</v>
      </c>
      <c r="D308" s="1532"/>
      <c r="E308" s="1532"/>
      <c r="F308" s="1113" t="str">
        <f>LEFT('Set up ~ Config'!F68,4)</f>
        <v>1250</v>
      </c>
      <c r="G308" s="82"/>
      <c r="I308" s="1534"/>
      <c r="J308" s="1534"/>
      <c r="K308" s="1534"/>
      <c r="L308" s="1534"/>
      <c r="M308" s="1534"/>
      <c r="N308" s="1534"/>
      <c r="P308" s="12"/>
      <c r="R308" s="12"/>
      <c r="S308" s="12"/>
      <c r="T308" s="12"/>
      <c r="U308" s="12"/>
      <c r="V308" s="19"/>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row>
    <row r="309" spans="3:65" s="1" customFormat="1" ht="25.5" customHeight="1" thickTop="1" thickBot="1" x14ac:dyDescent="0.2">
      <c r="C309" s="1535" t="str">
        <f>IF($Q$2=2,"Solde du compte au ","Account Balance on ")</f>
        <v xml:space="preserve">Account Balance on </v>
      </c>
      <c r="D309" s="1535"/>
      <c r="E309" s="1535"/>
      <c r="F309" s="1114" t="e">
        <f>DATEVALUE('Set up ~ Config'!$L$5)</f>
        <v>#VALUE!</v>
      </c>
      <c r="G309" s="1115">
        <f>'Set up ~ Config'!D68</f>
        <v>0</v>
      </c>
      <c r="I309" s="1116" t="str">
        <f>IF($Q$2=2,"Date (aaaa-mm-jj):","Date (yyyy-mm-dd):")</f>
        <v>Date (yyyy-mm-dd):</v>
      </c>
      <c r="J309" s="957"/>
      <c r="K309" s="1536" t="str">
        <f>IF($Q$2=2,"Solde :","Balance :")</f>
        <v>Balance :</v>
      </c>
      <c r="L309" s="1537"/>
      <c r="M309" s="1538"/>
      <c r="N309" s="942"/>
      <c r="P309" s="12"/>
      <c r="Q309" s="1540"/>
      <c r="R309" s="1540"/>
      <c r="S309" s="1540"/>
      <c r="T309" s="12"/>
      <c r="U309" s="12"/>
      <c r="V309" s="19"/>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row>
    <row r="310" spans="3:65" s="1" customFormat="1" ht="25.5" customHeight="1" thickTop="1" x14ac:dyDescent="0.15">
      <c r="C310" s="1539" t="str">
        <f>IF($Q$2=2,"Plus: Accroissements (Jrnl des revenus)","Plus: Increases (Revenue Jrnl)")</f>
        <v>Plus: Increases (Revenue Jrnl)</v>
      </c>
      <c r="D310" s="1539"/>
      <c r="E310" s="1539"/>
      <c r="F310" s="1539"/>
      <c r="G310" s="1115">
        <f>'Jrnl Rev'!G545</f>
        <v>0</v>
      </c>
      <c r="H310" s="1118"/>
      <c r="P310" s="12"/>
      <c r="Q310" s="12"/>
      <c r="R310" s="12"/>
      <c r="S310" s="12"/>
      <c r="T310" s="12"/>
      <c r="U310" s="12"/>
      <c r="V310" s="19"/>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row>
    <row r="311" spans="3:65" ht="25.5" customHeight="1" x14ac:dyDescent="0.15">
      <c r="C311" s="1539" t="str">
        <f>IF($Q$2=2," Moins: Décroissements (Jrnl des dépenses)","Less: Decreases (Expense Jrnl)")</f>
        <v>Less: Decreases (Expense Jrnl)</v>
      </c>
      <c r="D311" s="1539"/>
      <c r="E311" s="1539"/>
      <c r="F311" s="1539"/>
      <c r="G311" s="1115">
        <f>'Jrnl Exp ~ Dép'!G545</f>
        <v>0</v>
      </c>
      <c r="H311" s="1"/>
      <c r="I311" s="188"/>
      <c r="J311" s="188"/>
      <c r="K311" s="188"/>
      <c r="L311" s="188"/>
      <c r="M311" s="188"/>
      <c r="N311" s="1119"/>
      <c r="O311" s="1"/>
      <c r="P311" s="12"/>
      <c r="Q311" s="12"/>
      <c r="R311" s="12"/>
      <c r="S311" s="12"/>
      <c r="BK311" s="187"/>
      <c r="BL311" s="187"/>
      <c r="BM311" s="187"/>
    </row>
    <row r="312" spans="3:65" ht="25.5" customHeight="1" x14ac:dyDescent="0.15">
      <c r="C312" s="1533"/>
      <c r="D312" s="1533"/>
      <c r="E312" s="1533"/>
      <c r="F312" s="1533"/>
      <c r="G312" s="1"/>
      <c r="H312" s="1118"/>
      <c r="I312" s="1"/>
      <c r="J312" s="1"/>
      <c r="K312" s="1"/>
      <c r="L312" s="1"/>
      <c r="M312" s="1"/>
      <c r="N312" s="1"/>
      <c r="O312" s="1"/>
      <c r="P312" s="12"/>
      <c r="Q312" s="12"/>
      <c r="R312" s="12"/>
      <c r="S312" s="12"/>
    </row>
    <row r="313" spans="3:65" s="1" customFormat="1" ht="25.5" customHeight="1" thickBot="1" x14ac:dyDescent="0.2">
      <c r="C313" s="1524" t="str">
        <f>IF($Q$2=2,F308&amp;" Fonds disponible du compte",F308&amp;" Account Available Funds")</f>
        <v>1250 Account Available Funds</v>
      </c>
      <c r="D313" s="1524"/>
      <c r="E313" s="1524"/>
      <c r="F313" s="1524"/>
      <c r="G313" s="1120"/>
      <c r="I313" s="18"/>
      <c r="J313" s="12"/>
      <c r="K313" s="12"/>
      <c r="L313" s="12"/>
      <c r="M313" s="12"/>
      <c r="N313" s="1121"/>
      <c r="P313" s="12"/>
      <c r="Q313" s="12"/>
      <c r="R313" s="12"/>
      <c r="S313" s="12"/>
      <c r="T313" s="12"/>
      <c r="U313" s="12"/>
      <c r="V313" s="19"/>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row>
    <row r="314" spans="3:65" s="1" customFormat="1" ht="25.5" customHeight="1" thickBot="1" x14ac:dyDescent="0.2">
      <c r="C314" s="1525" t="str">
        <f>IF($Q$2=2,"Solde reporté à la ligne "&amp;F308&amp;" du Bilan - page 7","This balance fwrd'd to line "&amp;F308&amp;" of Balance Sheet -  page 7")</f>
        <v>This balance fwrd'd to line 1250 of Balance Sheet -  page 7</v>
      </c>
      <c r="D314" s="1525"/>
      <c r="E314" s="1525"/>
      <c r="F314" s="1525"/>
      <c r="G314" s="1122">
        <f>IF(AND(SUM(G309+G310-G311)&lt;0.001,SUM(G309+G310-G311)&gt;-0.001),0,SUM(G309+G310-G311))</f>
        <v>0</v>
      </c>
      <c r="H314" s="605"/>
      <c r="J314" s="82"/>
      <c r="K314" s="82"/>
      <c r="L314" s="82"/>
      <c r="M314" s="1123"/>
      <c r="N314" s="1122">
        <f>N309</f>
        <v>0</v>
      </c>
      <c r="P314" s="12"/>
      <c r="Q314" s="12"/>
      <c r="R314" s="12"/>
      <c r="S314" s="12"/>
      <c r="T314" s="188"/>
      <c r="U314" s="188"/>
      <c r="V314" s="502"/>
      <c r="W314" s="188"/>
      <c r="X314" s="188"/>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row>
    <row r="315" spans="3:65" s="1" customFormat="1" ht="9.75" customHeight="1" thickBot="1" x14ac:dyDescent="0.2">
      <c r="F315" s="189"/>
      <c r="J315" s="1118"/>
      <c r="M315" s="1124"/>
      <c r="P315" s="12"/>
      <c r="Q315" s="12"/>
      <c r="R315" s="12"/>
      <c r="S315" s="12"/>
      <c r="T315" s="12"/>
      <c r="U315" s="12"/>
      <c r="V315" s="19"/>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row>
    <row r="316" spans="3:65" s="1" customFormat="1" ht="25.5" customHeight="1" thickBot="1" x14ac:dyDescent="0.2">
      <c r="C316" s="1526"/>
      <c r="D316" s="1526"/>
      <c r="E316" s="1526"/>
      <c r="F316" s="1526"/>
      <c r="G316" s="1125">
        <f>IF(AND(G314-N314&lt;0.001,G314-N314&gt;-0.001),0,G314-N314)</f>
        <v>0</v>
      </c>
      <c r="H316" s="1527">
        <f>IF($Q$2=2,IF(G316=0,$T$8,$T$5),IF(G316=0,$T$9,$T$7))</f>
        <v>0</v>
      </c>
      <c r="I316" s="1527"/>
      <c r="J316" s="1527"/>
      <c r="K316" s="1527"/>
      <c r="L316" s="1527"/>
      <c r="M316" s="1527"/>
      <c r="N316" s="1528"/>
      <c r="P316" s="12"/>
      <c r="Q316" s="12"/>
      <c r="R316" s="12"/>
      <c r="S316" s="12"/>
      <c r="T316" s="12"/>
      <c r="U316" s="1117"/>
      <c r="V316" s="19"/>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row>
    <row r="317" spans="3:65" s="1" customFormat="1" ht="15" customHeight="1" x14ac:dyDescent="0.15">
      <c r="C317" s="1529"/>
      <c r="D317" s="1529"/>
      <c r="E317" s="1529"/>
      <c r="F317" s="1529"/>
      <c r="G317" s="1529"/>
      <c r="H317" s="1529"/>
      <c r="I317" s="1529"/>
      <c r="J317" s="1529"/>
      <c r="K317" s="1529"/>
      <c r="L317" s="1529"/>
      <c r="M317" s="1529"/>
      <c r="N317" s="1529"/>
      <c r="O317" s="1109"/>
      <c r="P317" s="1104"/>
      <c r="R317" s="12"/>
      <c r="S317" s="12"/>
      <c r="T317" s="12"/>
      <c r="U317" s="12"/>
      <c r="V317" s="19"/>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row>
    <row r="318" spans="3:65" s="1" customFormat="1" ht="19.5" customHeight="1" x14ac:dyDescent="0.15">
      <c r="C318" s="1530"/>
      <c r="D318" s="1530"/>
      <c r="E318" s="1530"/>
      <c r="F318" s="1530"/>
      <c r="G318" s="1530"/>
      <c r="H318" s="1530"/>
      <c r="I318" s="1530"/>
      <c r="J318" s="1530"/>
      <c r="K318" s="1530"/>
      <c r="L318" s="1530"/>
      <c r="M318" s="1530"/>
      <c r="N318" s="1530"/>
      <c r="O318" s="1109"/>
      <c r="P318" s="1104"/>
      <c r="R318" s="12"/>
      <c r="S318" s="12"/>
      <c r="T318" s="12"/>
      <c r="U318" s="12"/>
      <c r="V318" s="19"/>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row>
    <row r="319" spans="3:65" s="1" customFormat="1" ht="40.5" customHeight="1" x14ac:dyDescent="0.15">
      <c r="D319" s="1531" t="str">
        <f>IF($Q$2=2,"Réconciliation détaillée du compte "&amp;F321&amp;" - "&amp;C321,"Detailed Reconciliation of the Account "&amp;F321&amp;" - "&amp;C321)</f>
        <v>Detailed Reconciliation of the Account 1260 - Disponible ~ Available</v>
      </c>
      <c r="E319" s="1531"/>
      <c r="F319" s="1531"/>
      <c r="G319" s="1531"/>
      <c r="H319" s="1531"/>
      <c r="I319" s="1531"/>
      <c r="J319" s="1531"/>
      <c r="K319" s="1531"/>
      <c r="L319" s="1531"/>
      <c r="M319" s="1531"/>
      <c r="N319" s="1111"/>
      <c r="P319" s="12"/>
      <c r="R319" s="12"/>
      <c r="S319" s="12"/>
      <c r="T319" s="12"/>
      <c r="U319" s="12"/>
      <c r="V319" s="19"/>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row>
    <row r="320" spans="3:65" s="1" customFormat="1" ht="29.25" customHeight="1" x14ac:dyDescent="0.15">
      <c r="C320" s="1523" t="str">
        <f>IF($Q$2=2,"Réconciliation selon les livres comptables","Reconciliation as per BookKeeping")</f>
        <v>Reconciliation as per BookKeeping</v>
      </c>
      <c r="D320" s="1523"/>
      <c r="E320" s="1523"/>
      <c r="F320" s="1523"/>
      <c r="G320" s="1523"/>
      <c r="I320" s="1523" t="str">
        <f>IF($Q$2=2,"Réconciliation selon l'état de compte","Reconciliation as per Account Statement")</f>
        <v>Reconciliation as per Account Statement</v>
      </c>
      <c r="J320" s="1523"/>
      <c r="K320" s="1523"/>
      <c r="L320" s="1523"/>
      <c r="M320" s="1523"/>
      <c r="N320" s="1112" t="str">
        <f>F321</f>
        <v>1260</v>
      </c>
      <c r="P320" s="188"/>
      <c r="R320" s="188"/>
      <c r="S320" s="188"/>
      <c r="T320" s="12"/>
      <c r="U320" s="12"/>
      <c r="V320" s="19"/>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row>
    <row r="321" spans="3:65" s="1" customFormat="1" ht="25.5" customHeight="1" thickBot="1" x14ac:dyDescent="0.2">
      <c r="C321" s="1532" t="str">
        <f>'Set up ~ Config'!G69</f>
        <v>Disponible ~ Available</v>
      </c>
      <c r="D321" s="1532"/>
      <c r="E321" s="1532"/>
      <c r="F321" s="1113" t="str">
        <f>LEFT('Set up ~ Config'!F69,4)</f>
        <v>1260</v>
      </c>
      <c r="G321" s="82"/>
      <c r="I321" s="1534"/>
      <c r="J321" s="1534"/>
      <c r="K321" s="1534"/>
      <c r="L321" s="1534"/>
      <c r="M321" s="1534"/>
      <c r="N321" s="1534"/>
      <c r="P321" s="12"/>
      <c r="R321" s="12"/>
      <c r="S321" s="12"/>
      <c r="T321" s="12"/>
      <c r="U321" s="12"/>
      <c r="V321" s="19"/>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row>
    <row r="322" spans="3:65" s="1" customFormat="1" ht="25.5" customHeight="1" thickTop="1" thickBot="1" x14ac:dyDescent="0.2">
      <c r="C322" s="1535" t="str">
        <f>IF($Q$2=2,"Solde du compte au ","Account Balance on ")</f>
        <v xml:space="preserve">Account Balance on </v>
      </c>
      <c r="D322" s="1535"/>
      <c r="E322" s="1535"/>
      <c r="F322" s="1114" t="e">
        <f>DATEVALUE('Set up ~ Config'!$L$5)</f>
        <v>#VALUE!</v>
      </c>
      <c r="G322" s="1115">
        <f>'Set up ~ Config'!D69</f>
        <v>0</v>
      </c>
      <c r="I322" s="1116" t="str">
        <f>IF($Q$2=2,"Date (aaaa-mm-jj):","Date (yyyy-mm-dd):")</f>
        <v>Date (yyyy-mm-dd):</v>
      </c>
      <c r="J322" s="957"/>
      <c r="K322" s="1536" t="str">
        <f>IF($Q$2=2,"Solde :","Balance :")</f>
        <v>Balance :</v>
      </c>
      <c r="L322" s="1537"/>
      <c r="M322" s="1538"/>
      <c r="N322" s="942"/>
      <c r="P322" s="12"/>
      <c r="Q322" s="1540"/>
      <c r="R322" s="1540"/>
      <c r="S322" s="1540"/>
      <c r="T322" s="12"/>
      <c r="U322" s="12"/>
      <c r="V322" s="19"/>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row>
    <row r="323" spans="3:65" s="1" customFormat="1" ht="25.5" customHeight="1" thickTop="1" x14ac:dyDescent="0.15">
      <c r="C323" s="1539" t="str">
        <f>IF($Q$2=2,"Plus: Accroissements (Jrnl des revenus)","Plus: Increases (Revenue Jrnl)")</f>
        <v>Plus: Increases (Revenue Jrnl)</v>
      </c>
      <c r="D323" s="1539"/>
      <c r="E323" s="1539"/>
      <c r="F323" s="1539"/>
      <c r="G323" s="1115">
        <f>'Jrnl Rev'!G546</f>
        <v>0</v>
      </c>
      <c r="H323" s="1118"/>
      <c r="P323" s="12"/>
      <c r="Q323" s="12"/>
      <c r="R323" s="12"/>
      <c r="S323" s="12"/>
      <c r="T323" s="12"/>
      <c r="U323" s="12"/>
      <c r="V323" s="19"/>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row>
    <row r="324" spans="3:65" s="1" customFormat="1" ht="25.5" customHeight="1" x14ac:dyDescent="0.15">
      <c r="C324" s="1539" t="str">
        <f>IF($Q$2=2," Moins: Décroissements (Jrnl des dépenses)","Less: Decreases (Expense Jrnl)")</f>
        <v>Less: Decreases (Expense Jrnl)</v>
      </c>
      <c r="D324" s="1539"/>
      <c r="E324" s="1539"/>
      <c r="F324" s="1539"/>
      <c r="G324" s="1115">
        <f>'Jrnl Exp ~ Dép'!G546</f>
        <v>0</v>
      </c>
      <c r="I324" s="188"/>
      <c r="J324" s="188"/>
      <c r="K324" s="188"/>
      <c r="L324" s="188"/>
      <c r="M324" s="188"/>
      <c r="N324" s="1119"/>
      <c r="P324" s="12"/>
      <c r="Q324" s="12"/>
      <c r="R324" s="12"/>
      <c r="S324" s="12"/>
      <c r="T324" s="12"/>
      <c r="U324" s="12"/>
      <c r="V324" s="19"/>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row>
    <row r="325" spans="3:65" ht="25.5" customHeight="1" x14ac:dyDescent="0.15">
      <c r="C325" s="1533"/>
      <c r="D325" s="1533"/>
      <c r="E325" s="1533"/>
      <c r="F325" s="1533"/>
      <c r="G325" s="1"/>
      <c r="H325" s="1118"/>
      <c r="I325" s="1"/>
      <c r="J325" s="1"/>
      <c r="K325" s="1"/>
      <c r="L325" s="1"/>
      <c r="M325" s="1"/>
      <c r="N325" s="1"/>
      <c r="O325" s="1"/>
      <c r="P325" s="12"/>
      <c r="Q325" s="12"/>
      <c r="R325" s="12"/>
      <c r="S325" s="12"/>
      <c r="BK325" s="187"/>
      <c r="BL325" s="187"/>
      <c r="BM325" s="187"/>
    </row>
    <row r="326" spans="3:65" ht="25.5" customHeight="1" thickBot="1" x14ac:dyDescent="0.2">
      <c r="C326" s="1524" t="str">
        <f>IF($Q$2=2,F321&amp;" Fonds disponible du compte",F321&amp;" Account Available Funds")</f>
        <v>1260 Account Available Funds</v>
      </c>
      <c r="D326" s="1524"/>
      <c r="E326" s="1524"/>
      <c r="F326" s="1524"/>
      <c r="G326" s="1120"/>
      <c r="H326" s="1"/>
      <c r="I326" s="18"/>
      <c r="J326" s="12"/>
      <c r="K326" s="12"/>
      <c r="L326" s="12"/>
      <c r="M326" s="12"/>
      <c r="N326" s="1121"/>
      <c r="O326" s="1"/>
      <c r="P326" s="12"/>
      <c r="Q326" s="12"/>
      <c r="R326" s="12"/>
      <c r="S326" s="12"/>
    </row>
    <row r="327" spans="3:65" s="1" customFormat="1" ht="25.5" customHeight="1" thickBot="1" x14ac:dyDescent="0.2">
      <c r="C327" s="1525" t="str">
        <f>IF($Q$2=2,"Solde reporté à la ligne "&amp;F321&amp;" du Bilan - page 7","This balance fwrd'd to line "&amp;F321&amp;" of Balance Sheet -  page 7")</f>
        <v>This balance fwrd'd to line 1260 of Balance Sheet -  page 7</v>
      </c>
      <c r="D327" s="1525"/>
      <c r="E327" s="1525"/>
      <c r="F327" s="1525"/>
      <c r="G327" s="1122">
        <f>IF(AND(SUM(G322+G323-G324)&lt;0.001,SUM(G322+G323-G324)&gt;-0.001),0,SUM(G322+G323-G324))</f>
        <v>0</v>
      </c>
      <c r="H327" s="605"/>
      <c r="J327" s="82"/>
      <c r="K327" s="82"/>
      <c r="L327" s="82"/>
      <c r="M327" s="1123"/>
      <c r="N327" s="1122">
        <f>N322</f>
        <v>0</v>
      </c>
      <c r="P327" s="12"/>
      <c r="Q327" s="12"/>
      <c r="R327" s="12"/>
      <c r="S327" s="12"/>
      <c r="T327" s="12"/>
      <c r="U327" s="12"/>
      <c r="V327" s="19"/>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row>
    <row r="328" spans="3:65" s="1" customFormat="1" ht="9.75" customHeight="1" thickBot="1" x14ac:dyDescent="0.2">
      <c r="F328" s="189"/>
      <c r="J328" s="1118"/>
      <c r="M328" s="1124"/>
      <c r="P328" s="12"/>
      <c r="Q328" s="12"/>
      <c r="R328" s="12"/>
      <c r="S328" s="12"/>
      <c r="T328" s="188"/>
      <c r="U328" s="188"/>
      <c r="V328" s="502"/>
      <c r="W328" s="188"/>
      <c r="X328" s="188"/>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row>
    <row r="329" spans="3:65" s="1" customFormat="1" ht="25.5" customHeight="1" thickBot="1" x14ac:dyDescent="0.2">
      <c r="C329" s="1526"/>
      <c r="D329" s="1526"/>
      <c r="E329" s="1526"/>
      <c r="F329" s="1526"/>
      <c r="G329" s="1125">
        <f>IF(AND(G327-N327&lt;0.001,G327-N327&gt;-0.001),0,G327-N327)</f>
        <v>0</v>
      </c>
      <c r="H329" s="1527">
        <f>IF($Q$2=2,IF(G329=0,$T$8,$T$5),IF(G329=0,$T$9,$T$7))</f>
        <v>0</v>
      </c>
      <c r="I329" s="1527"/>
      <c r="J329" s="1527"/>
      <c r="K329" s="1527"/>
      <c r="L329" s="1527"/>
      <c r="M329" s="1527"/>
      <c r="N329" s="1528"/>
      <c r="P329" s="12"/>
      <c r="Q329" s="12"/>
      <c r="R329" s="12"/>
      <c r="S329" s="12"/>
      <c r="T329" s="12"/>
      <c r="U329" s="12"/>
      <c r="V329" s="19"/>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row>
    <row r="330" spans="3:65" s="1" customFormat="1" ht="15" customHeight="1" x14ac:dyDescent="0.15">
      <c r="C330" s="1529"/>
      <c r="D330" s="1529"/>
      <c r="E330" s="1529"/>
      <c r="F330" s="1529"/>
      <c r="G330" s="1529"/>
      <c r="H330" s="1529"/>
      <c r="I330" s="1529"/>
      <c r="J330" s="1529"/>
      <c r="K330" s="1529"/>
      <c r="L330" s="1529"/>
      <c r="M330" s="1529"/>
      <c r="N330" s="1529"/>
      <c r="O330" s="1109"/>
      <c r="P330" s="1104"/>
      <c r="R330" s="12"/>
      <c r="S330" s="12"/>
      <c r="T330" s="12"/>
      <c r="U330" s="1117"/>
      <c r="V330" s="19"/>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row>
    <row r="331" spans="3:65" s="1" customFormat="1" ht="19.5" customHeight="1" x14ac:dyDescent="0.15">
      <c r="C331" s="1530"/>
      <c r="D331" s="1530"/>
      <c r="E331" s="1530"/>
      <c r="F331" s="1530"/>
      <c r="G331" s="1530"/>
      <c r="H331" s="1530"/>
      <c r="I331" s="1530"/>
      <c r="J331" s="1530"/>
      <c r="K331" s="1530"/>
      <c r="L331" s="1530"/>
      <c r="M331" s="1530"/>
      <c r="N331" s="1530"/>
      <c r="O331" s="1109"/>
      <c r="P331" s="1104"/>
      <c r="R331" s="12"/>
      <c r="S331" s="12"/>
      <c r="T331" s="12"/>
      <c r="U331" s="12"/>
      <c r="V331" s="19"/>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row>
    <row r="332" spans="3:65" s="1" customFormat="1" ht="40.5" customHeight="1" x14ac:dyDescent="0.15">
      <c r="D332" s="1531" t="str">
        <f>IF($Q$2=2,"Réconciliation détaillée du compte "&amp;F334&amp;" - "&amp;C334,"Detailed Reconciliation of the Account "&amp;F334&amp;" - "&amp;C334)</f>
        <v>Detailed Reconciliation of the Account 1270 - Disponible ~ Available</v>
      </c>
      <c r="E332" s="1531"/>
      <c r="F332" s="1531"/>
      <c r="G332" s="1531"/>
      <c r="H332" s="1531"/>
      <c r="I332" s="1531"/>
      <c r="J332" s="1531"/>
      <c r="K332" s="1531"/>
      <c r="L332" s="1531"/>
      <c r="M332" s="1531"/>
      <c r="N332" s="1111"/>
      <c r="P332" s="12"/>
      <c r="R332" s="12"/>
      <c r="S332" s="12"/>
      <c r="T332" s="12"/>
      <c r="U332" s="12"/>
      <c r="V332" s="19"/>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row>
    <row r="333" spans="3:65" s="1" customFormat="1" ht="29.25" customHeight="1" x14ac:dyDescent="0.15">
      <c r="C333" s="1523" t="str">
        <f>IF($Q$2=2,"Réconciliation selon les livres comptables","Reconciliation as per BookKeeping")</f>
        <v>Reconciliation as per BookKeeping</v>
      </c>
      <c r="D333" s="1523"/>
      <c r="E333" s="1523"/>
      <c r="F333" s="1523"/>
      <c r="G333" s="1523"/>
      <c r="I333" s="1523" t="str">
        <f>IF($Q$2=2,"Réconciliation selon l'état de compte","Reconciliation as per Account Statement")</f>
        <v>Reconciliation as per Account Statement</v>
      </c>
      <c r="J333" s="1523"/>
      <c r="K333" s="1523"/>
      <c r="L333" s="1523"/>
      <c r="M333" s="1523"/>
      <c r="N333" s="1112" t="str">
        <f>F334</f>
        <v>1270</v>
      </c>
      <c r="P333" s="188"/>
      <c r="R333" s="188"/>
      <c r="S333" s="188"/>
      <c r="T333" s="12"/>
      <c r="U333" s="12"/>
      <c r="V333" s="19"/>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row>
    <row r="334" spans="3:65" s="1" customFormat="1" ht="25.5" customHeight="1" thickBot="1" x14ac:dyDescent="0.2">
      <c r="C334" s="1532" t="str">
        <f>'Set up ~ Config'!G70</f>
        <v>Disponible ~ Available</v>
      </c>
      <c r="D334" s="1532"/>
      <c r="E334" s="1532"/>
      <c r="F334" s="1113" t="str">
        <f>LEFT('Set up ~ Config'!F70,4)</f>
        <v>1270</v>
      </c>
      <c r="G334" s="82"/>
      <c r="I334" s="1534"/>
      <c r="J334" s="1534"/>
      <c r="K334" s="1534"/>
      <c r="L334" s="1534"/>
      <c r="M334" s="1534"/>
      <c r="N334" s="1534"/>
      <c r="P334" s="12"/>
      <c r="R334" s="12"/>
      <c r="S334" s="12"/>
      <c r="T334" s="12"/>
      <c r="U334" s="12"/>
      <c r="V334" s="19"/>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row>
    <row r="335" spans="3:65" s="1" customFormat="1" ht="25.5" customHeight="1" thickTop="1" thickBot="1" x14ac:dyDescent="0.2">
      <c r="C335" s="1535" t="str">
        <f>IF($Q$2=2,"Solde du compte au ","Account Balance on ")</f>
        <v xml:space="preserve">Account Balance on </v>
      </c>
      <c r="D335" s="1535"/>
      <c r="E335" s="1535"/>
      <c r="F335" s="1114" t="e">
        <f>DATEVALUE('Set up ~ Config'!$L$5)</f>
        <v>#VALUE!</v>
      </c>
      <c r="G335" s="1115">
        <f>'Set up ~ Config'!D70</f>
        <v>0</v>
      </c>
      <c r="I335" s="1116" t="str">
        <f>IF($Q$2=2,"Date (aaaa-mm-jj):","Date (yyyy-mm-dd):")</f>
        <v>Date (yyyy-mm-dd):</v>
      </c>
      <c r="J335" s="957"/>
      <c r="K335" s="1536" t="str">
        <f>IF($Q$2=2,"Solde :","Balance :")</f>
        <v>Balance :</v>
      </c>
      <c r="L335" s="1537"/>
      <c r="M335" s="1538"/>
      <c r="N335" s="942"/>
      <c r="P335" s="12"/>
      <c r="Q335" s="1540"/>
      <c r="R335" s="1540"/>
      <c r="S335" s="1540"/>
      <c r="T335" s="12"/>
      <c r="U335" s="12"/>
      <c r="V335" s="19"/>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row>
    <row r="336" spans="3:65" s="1" customFormat="1" ht="25.5" customHeight="1" thickTop="1" x14ac:dyDescent="0.15">
      <c r="C336" s="1539" t="str">
        <f>IF($Q$2=2,"Plus: Accroissements (Jrnl des revenus)","Plus: Increases (Revenue Jrnl)")</f>
        <v>Plus: Increases (Revenue Jrnl)</v>
      </c>
      <c r="D336" s="1539"/>
      <c r="E336" s="1539"/>
      <c r="F336" s="1539"/>
      <c r="G336" s="1115">
        <f>'Jrnl Rev'!G547</f>
        <v>0</v>
      </c>
      <c r="H336" s="1118"/>
      <c r="P336" s="12"/>
      <c r="Q336" s="12"/>
      <c r="R336" s="12"/>
      <c r="S336" s="12"/>
      <c r="T336" s="12"/>
      <c r="U336" s="12"/>
      <c r="V336" s="19"/>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row>
    <row r="337" spans="3:65" s="1" customFormat="1" ht="25.5" customHeight="1" x14ac:dyDescent="0.15">
      <c r="C337" s="1539" t="str">
        <f>IF($Q$2=2," Moins: Décroissements (Jrnl des dépenses)","Less: Decreases (Expense Jrnl)")</f>
        <v>Less: Decreases (Expense Jrnl)</v>
      </c>
      <c r="D337" s="1539"/>
      <c r="E337" s="1539"/>
      <c r="F337" s="1539"/>
      <c r="G337" s="1115">
        <f>'Jrnl Exp ~ Dép'!G547</f>
        <v>0</v>
      </c>
      <c r="I337" s="188"/>
      <c r="J337" s="188"/>
      <c r="K337" s="188"/>
      <c r="L337" s="188"/>
      <c r="M337" s="188"/>
      <c r="N337" s="1119"/>
      <c r="P337" s="12"/>
      <c r="Q337" s="12"/>
      <c r="R337" s="12"/>
      <c r="S337" s="12"/>
      <c r="T337" s="12"/>
      <c r="U337" s="12"/>
      <c r="V337" s="19"/>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row>
    <row r="338" spans="3:65" s="1" customFormat="1" ht="25.5" customHeight="1" x14ac:dyDescent="0.15">
      <c r="C338" s="1533"/>
      <c r="D338" s="1533"/>
      <c r="E338" s="1533"/>
      <c r="F338" s="1533"/>
      <c r="H338" s="1118"/>
      <c r="P338" s="12"/>
      <c r="Q338" s="12"/>
      <c r="R338" s="12"/>
      <c r="S338" s="12"/>
      <c r="T338" s="12"/>
      <c r="U338" s="12"/>
      <c r="V338" s="19"/>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row>
    <row r="339" spans="3:65" ht="25.5" customHeight="1" thickBot="1" x14ac:dyDescent="0.2">
      <c r="C339" s="1524" t="str">
        <f>IF($Q$2=2,F334&amp;" Fonds disponible du compte",F334&amp;" Account Available Funds")</f>
        <v>1270 Account Available Funds</v>
      </c>
      <c r="D339" s="1524"/>
      <c r="E339" s="1524"/>
      <c r="F339" s="1524"/>
      <c r="G339" s="1120"/>
      <c r="H339" s="1"/>
      <c r="I339" s="18"/>
      <c r="J339" s="12"/>
      <c r="K339" s="12"/>
      <c r="L339" s="12"/>
      <c r="M339" s="12"/>
      <c r="N339" s="1121"/>
      <c r="O339" s="1"/>
      <c r="P339" s="12"/>
      <c r="Q339" s="12"/>
      <c r="R339" s="12"/>
      <c r="S339" s="12"/>
      <c r="BK339" s="187"/>
      <c r="BL339" s="187"/>
      <c r="BM339" s="187"/>
    </row>
    <row r="340" spans="3:65" ht="25.5" customHeight="1" thickBot="1" x14ac:dyDescent="0.2">
      <c r="C340" s="1525" t="str">
        <f>IF($Q$2=2,"Solde reporté à la ligne "&amp;F334&amp;" du Bilan - page 7","This balance fwrd'd to line "&amp;F334&amp;" of Balance Sheet -  page 7")</f>
        <v>This balance fwrd'd to line 1270 of Balance Sheet -  page 7</v>
      </c>
      <c r="D340" s="1525"/>
      <c r="E340" s="1525"/>
      <c r="F340" s="1525"/>
      <c r="G340" s="1122">
        <f>IF(AND(SUM(G335+G336-G337)&lt;0.001,SUM(G335+G336-G337)&gt;-0.001),0,SUM(G335+G336-G337))</f>
        <v>0</v>
      </c>
      <c r="H340" s="605"/>
      <c r="I340" s="1"/>
      <c r="J340" s="82"/>
      <c r="K340" s="82"/>
      <c r="L340" s="82"/>
      <c r="M340" s="1123"/>
      <c r="N340" s="1122">
        <f>N335</f>
        <v>0</v>
      </c>
      <c r="O340" s="1"/>
      <c r="P340" s="12"/>
      <c r="Q340" s="12"/>
      <c r="R340" s="12"/>
      <c r="S340" s="12"/>
    </row>
    <row r="341" spans="3:65" s="1" customFormat="1" ht="9.75" customHeight="1" thickBot="1" x14ac:dyDescent="0.2">
      <c r="F341" s="189"/>
      <c r="J341" s="1118"/>
      <c r="M341" s="1124"/>
      <c r="P341" s="12"/>
      <c r="Q341" s="12"/>
      <c r="R341" s="12"/>
      <c r="S341" s="12"/>
      <c r="T341" s="12"/>
      <c r="U341" s="12"/>
      <c r="V341" s="19"/>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row>
    <row r="342" spans="3:65" s="1" customFormat="1" ht="25.5" customHeight="1" thickBot="1" x14ac:dyDescent="0.2">
      <c r="C342" s="1526"/>
      <c r="D342" s="1526"/>
      <c r="E342" s="1526"/>
      <c r="F342" s="1526"/>
      <c r="G342" s="1125">
        <f>IF(AND(G340-N340&lt;0.001,G340-N340&gt;-0.001),0,G340-N340)</f>
        <v>0</v>
      </c>
      <c r="H342" s="1527">
        <f>IF($Q$2=2,IF(G342=0,$T$8,$T$5),IF(G342=0,$T$9,$T$7))</f>
        <v>0</v>
      </c>
      <c r="I342" s="1527"/>
      <c r="J342" s="1527"/>
      <c r="K342" s="1527"/>
      <c r="L342" s="1527"/>
      <c r="M342" s="1527"/>
      <c r="N342" s="1528"/>
      <c r="P342" s="12"/>
      <c r="Q342" s="12"/>
      <c r="R342" s="12"/>
      <c r="S342" s="12"/>
      <c r="T342" s="188"/>
      <c r="U342" s="188"/>
      <c r="V342" s="502"/>
      <c r="W342" s="188"/>
      <c r="X342" s="188"/>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row>
    <row r="343" spans="3:65" s="1" customFormat="1" ht="15" customHeight="1" x14ac:dyDescent="0.15">
      <c r="C343" s="1529"/>
      <c r="D343" s="1529"/>
      <c r="E343" s="1529"/>
      <c r="F343" s="1529"/>
      <c r="G343" s="1529"/>
      <c r="H343" s="1529"/>
      <c r="I343" s="1529"/>
      <c r="J343" s="1529"/>
      <c r="K343" s="1529"/>
      <c r="L343" s="1529"/>
      <c r="M343" s="1529"/>
      <c r="N343" s="1529"/>
      <c r="O343" s="1109"/>
      <c r="P343" s="1104"/>
      <c r="R343" s="12"/>
      <c r="S343" s="12"/>
      <c r="T343" s="12"/>
      <c r="U343" s="12"/>
      <c r="V343" s="19"/>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row>
    <row r="344" spans="3:65" s="1" customFormat="1" ht="19.5" customHeight="1" x14ac:dyDescent="0.15">
      <c r="C344" s="1530"/>
      <c r="D344" s="1530"/>
      <c r="E344" s="1530"/>
      <c r="F344" s="1530"/>
      <c r="G344" s="1530"/>
      <c r="H344" s="1530"/>
      <c r="I344" s="1530"/>
      <c r="J344" s="1530"/>
      <c r="K344" s="1530"/>
      <c r="L344" s="1530"/>
      <c r="M344" s="1530"/>
      <c r="N344" s="1530"/>
      <c r="O344" s="1109"/>
      <c r="P344" s="1104"/>
      <c r="R344" s="12"/>
      <c r="S344" s="12"/>
      <c r="T344" s="12"/>
      <c r="U344" s="1117"/>
      <c r="V344" s="19"/>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row>
    <row r="345" spans="3:65" s="1" customFormat="1" ht="40.5" customHeight="1" x14ac:dyDescent="0.15">
      <c r="D345" s="1531" t="str">
        <f>IF($Q$2=2,"Réconciliation détaillée du compte "&amp;F347&amp;" - "&amp;C347,"Detailed Reconciliation of the Account "&amp;F347&amp;" - "&amp;C347)</f>
        <v>Detailed Reconciliation of the Account 1280 - Disponible ~ Available</v>
      </c>
      <c r="E345" s="1531"/>
      <c r="F345" s="1531"/>
      <c r="G345" s="1531"/>
      <c r="H345" s="1531"/>
      <c r="I345" s="1531"/>
      <c r="J345" s="1531"/>
      <c r="K345" s="1531"/>
      <c r="L345" s="1531"/>
      <c r="M345" s="1531"/>
      <c r="N345" s="1111"/>
      <c r="P345" s="12"/>
      <c r="R345" s="12"/>
      <c r="S345" s="12"/>
      <c r="T345" s="12"/>
      <c r="U345" s="12"/>
      <c r="V345" s="19"/>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row>
    <row r="346" spans="3:65" s="1" customFormat="1" ht="29.25" customHeight="1" x14ac:dyDescent="0.15">
      <c r="C346" s="1523" t="str">
        <f>IF($Q$2=2,"Réconciliation selon les livres comptables","Reconciliation as per BookKeeping")</f>
        <v>Reconciliation as per BookKeeping</v>
      </c>
      <c r="D346" s="1523"/>
      <c r="E346" s="1523"/>
      <c r="F346" s="1523"/>
      <c r="G346" s="1523"/>
      <c r="I346" s="1523" t="str">
        <f>IF($Q$2=2,"Réconciliation selon l'état de compte","Reconciliation as per Account Statement")</f>
        <v>Reconciliation as per Account Statement</v>
      </c>
      <c r="J346" s="1523"/>
      <c r="K346" s="1523"/>
      <c r="L346" s="1523"/>
      <c r="M346" s="1523"/>
      <c r="N346" s="1112" t="str">
        <f>F347</f>
        <v>1280</v>
      </c>
      <c r="P346" s="188"/>
      <c r="R346" s="188"/>
      <c r="S346" s="188"/>
      <c r="T346" s="12"/>
      <c r="U346" s="12"/>
      <c r="V346" s="19"/>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row>
    <row r="347" spans="3:65" s="1" customFormat="1" ht="25.5" customHeight="1" thickBot="1" x14ac:dyDescent="0.2">
      <c r="C347" s="1532" t="str">
        <f>'Set up ~ Config'!G71</f>
        <v>Disponible ~ Available</v>
      </c>
      <c r="D347" s="1532"/>
      <c r="E347" s="1532"/>
      <c r="F347" s="1113" t="str">
        <f>LEFT('Set up ~ Config'!F71,4)</f>
        <v>1280</v>
      </c>
      <c r="G347" s="82"/>
      <c r="I347" s="1534"/>
      <c r="J347" s="1534"/>
      <c r="K347" s="1534"/>
      <c r="L347" s="1534"/>
      <c r="M347" s="1534"/>
      <c r="N347" s="1534"/>
      <c r="P347" s="12"/>
      <c r="R347" s="12"/>
      <c r="S347" s="12"/>
      <c r="T347" s="12"/>
      <c r="U347" s="12"/>
      <c r="V347" s="19"/>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row>
    <row r="348" spans="3:65" s="1" customFormat="1" ht="25.5" customHeight="1" thickTop="1" thickBot="1" x14ac:dyDescent="0.2">
      <c r="C348" s="1535" t="str">
        <f>IF($Q$2=2,"Solde du compte au ","Account Balance on ")</f>
        <v xml:space="preserve">Account Balance on </v>
      </c>
      <c r="D348" s="1535"/>
      <c r="E348" s="1535"/>
      <c r="F348" s="1114" t="e">
        <f>DATEVALUE('Set up ~ Config'!$L$5)</f>
        <v>#VALUE!</v>
      </c>
      <c r="G348" s="1115">
        <f>'Set up ~ Config'!D71</f>
        <v>0</v>
      </c>
      <c r="I348" s="1116" t="str">
        <f>IF($Q$2=2,"Date (aaaa-mm-jj):","Date (yyyy-mm-dd):")</f>
        <v>Date (yyyy-mm-dd):</v>
      </c>
      <c r="J348" s="957"/>
      <c r="K348" s="1536" t="str">
        <f>IF($Q$2=2,"Solde :","Balance :")</f>
        <v>Balance :</v>
      </c>
      <c r="L348" s="1537"/>
      <c r="M348" s="1538"/>
      <c r="N348" s="942"/>
      <c r="P348" s="12"/>
      <c r="Q348" s="1540"/>
      <c r="R348" s="1540"/>
      <c r="S348" s="1540"/>
      <c r="T348" s="12"/>
      <c r="U348" s="12"/>
      <c r="V348" s="19"/>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row>
    <row r="349" spans="3:65" s="1" customFormat="1" ht="25.5" customHeight="1" thickTop="1" x14ac:dyDescent="0.15">
      <c r="C349" s="1539" t="str">
        <f>IF($Q$2=2,"Plus: Accroissements (Jrnl des revenus)","Plus: Increases (Revenue Jrnl)")</f>
        <v>Plus: Increases (Revenue Jrnl)</v>
      </c>
      <c r="D349" s="1539"/>
      <c r="E349" s="1539"/>
      <c r="F349" s="1539"/>
      <c r="G349" s="1115">
        <f>'Jrnl Rev'!G548</f>
        <v>0</v>
      </c>
      <c r="H349" s="1118"/>
      <c r="P349" s="12"/>
      <c r="Q349" s="12"/>
      <c r="R349" s="12"/>
      <c r="S349" s="12"/>
      <c r="T349" s="12"/>
      <c r="U349" s="12"/>
      <c r="V349" s="19"/>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row>
    <row r="350" spans="3:65" s="1" customFormat="1" ht="25.5" customHeight="1" x14ac:dyDescent="0.15">
      <c r="C350" s="1539" t="str">
        <f>IF($Q$2=2," Moins: Décroissements (Jrnl des dépenses)","Less: Decreases (Expense Jrnl)")</f>
        <v>Less: Decreases (Expense Jrnl)</v>
      </c>
      <c r="D350" s="1539"/>
      <c r="E350" s="1539"/>
      <c r="F350" s="1539"/>
      <c r="G350" s="1115">
        <f>'Jrnl Exp ~ Dép'!G548</f>
        <v>0</v>
      </c>
      <c r="I350" s="188"/>
      <c r="J350" s="188"/>
      <c r="K350" s="188"/>
      <c r="L350" s="188"/>
      <c r="M350" s="188"/>
      <c r="N350" s="1119"/>
      <c r="P350" s="12"/>
      <c r="Q350" s="12"/>
      <c r="R350" s="12"/>
      <c r="S350" s="12"/>
      <c r="T350" s="12"/>
      <c r="U350" s="12"/>
      <c r="V350" s="19"/>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row>
    <row r="351" spans="3:65" s="1" customFormat="1" ht="25.5" customHeight="1" x14ac:dyDescent="0.15">
      <c r="C351" s="1533"/>
      <c r="D351" s="1533"/>
      <c r="E351" s="1533"/>
      <c r="F351" s="1533"/>
      <c r="H351" s="1118"/>
      <c r="P351" s="12"/>
      <c r="Q351" s="12"/>
      <c r="R351" s="12"/>
      <c r="S351" s="12"/>
      <c r="T351" s="12"/>
      <c r="U351" s="12"/>
      <c r="V351" s="19"/>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row>
    <row r="352" spans="3:65" s="1" customFormat="1" ht="25.5" customHeight="1" thickBot="1" x14ac:dyDescent="0.2">
      <c r="C352" s="1524" t="str">
        <f>IF($Q$2=2,F347&amp;" Fonds disponible du compte",F347&amp;" Account Available Funds")</f>
        <v>1280 Account Available Funds</v>
      </c>
      <c r="D352" s="1524"/>
      <c r="E352" s="1524"/>
      <c r="F352" s="1524"/>
      <c r="G352" s="1120"/>
      <c r="I352" s="18"/>
      <c r="J352" s="12"/>
      <c r="K352" s="12"/>
      <c r="L352" s="12"/>
      <c r="M352" s="12"/>
      <c r="N352" s="1121"/>
      <c r="P352" s="12"/>
      <c r="Q352" s="12"/>
      <c r="R352" s="12"/>
      <c r="S352" s="12"/>
      <c r="T352" s="12"/>
      <c r="U352" s="12"/>
      <c r="V352" s="19"/>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row>
    <row r="353" spans="3:65" ht="25.5" customHeight="1" thickBot="1" x14ac:dyDescent="0.2">
      <c r="C353" s="1525" t="str">
        <f>IF($Q$2=2,"Solde reporté à la ligne "&amp;F347&amp;" du Bilan - page 7","This balance fwrd'd to line "&amp;F347&amp;" of Balance Sheet -  page 7")</f>
        <v>This balance fwrd'd to line 1280 of Balance Sheet -  page 7</v>
      </c>
      <c r="D353" s="1525"/>
      <c r="E353" s="1525"/>
      <c r="F353" s="1525"/>
      <c r="G353" s="1122">
        <f>IF(AND(SUM(G348+G349-G350)&lt;0.001,SUM(G348+G349-G350)&gt;-0.001),0,SUM(G348+G349-G350))</f>
        <v>0</v>
      </c>
      <c r="H353" s="605"/>
      <c r="I353" s="1"/>
      <c r="J353" s="82"/>
      <c r="K353" s="82"/>
      <c r="L353" s="82"/>
      <c r="M353" s="1123"/>
      <c r="N353" s="1122">
        <f>N348</f>
        <v>0</v>
      </c>
      <c r="O353" s="1"/>
      <c r="P353" s="12"/>
      <c r="Q353" s="12"/>
      <c r="R353" s="12"/>
      <c r="S353" s="12"/>
      <c r="BK353" s="187"/>
      <c r="BL353" s="187"/>
      <c r="BM353" s="187"/>
    </row>
    <row r="354" spans="3:65" ht="9.75" customHeight="1" thickBot="1" x14ac:dyDescent="0.2">
      <c r="C354" s="1"/>
      <c r="D354" s="1"/>
      <c r="E354" s="1"/>
      <c r="F354" s="189"/>
      <c r="G354" s="1"/>
      <c r="H354" s="1"/>
      <c r="I354" s="1"/>
      <c r="J354" s="1118"/>
      <c r="K354" s="1"/>
      <c r="L354" s="1"/>
      <c r="M354" s="1124"/>
      <c r="N354" s="1"/>
      <c r="O354" s="1"/>
      <c r="P354" s="12"/>
      <c r="Q354" s="12"/>
      <c r="R354" s="12"/>
      <c r="S354" s="12"/>
    </row>
    <row r="355" spans="3:65" s="1" customFormat="1" ht="25.5" customHeight="1" thickBot="1" x14ac:dyDescent="0.2">
      <c r="C355" s="1526"/>
      <c r="D355" s="1526"/>
      <c r="E355" s="1526"/>
      <c r="F355" s="1526"/>
      <c r="G355" s="1125">
        <f>IF(AND(G353-N353&lt;0.001,G353-N353&gt;-0.001),0,G353-N353)</f>
        <v>0</v>
      </c>
      <c r="H355" s="1527">
        <f>IF($Q$2=2,IF(G355=0,$T$8,$T$5),IF(G355=0,$T$9,$T$7))</f>
        <v>0</v>
      </c>
      <c r="I355" s="1527"/>
      <c r="J355" s="1527"/>
      <c r="K355" s="1527"/>
      <c r="L355" s="1527"/>
      <c r="M355" s="1527"/>
      <c r="N355" s="1528"/>
      <c r="P355" s="12"/>
      <c r="Q355" s="12"/>
      <c r="R355" s="12"/>
      <c r="S355" s="12"/>
      <c r="T355" s="12"/>
      <c r="U355" s="12"/>
      <c r="V355" s="19"/>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row>
    <row r="356" spans="3:65" s="1" customFormat="1" ht="15" customHeight="1" x14ac:dyDescent="0.15">
      <c r="C356" s="1529"/>
      <c r="D356" s="1529"/>
      <c r="E356" s="1529"/>
      <c r="F356" s="1529"/>
      <c r="G356" s="1529"/>
      <c r="H356" s="1529"/>
      <c r="I356" s="1529"/>
      <c r="J356" s="1529"/>
      <c r="K356" s="1529"/>
      <c r="L356" s="1529"/>
      <c r="M356" s="1529"/>
      <c r="N356" s="1529"/>
      <c r="O356" s="1109"/>
      <c r="P356" s="1104"/>
      <c r="R356" s="12"/>
      <c r="S356" s="12"/>
      <c r="T356" s="188"/>
      <c r="U356" s="188"/>
      <c r="V356" s="502"/>
      <c r="W356" s="188"/>
      <c r="X356" s="188"/>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row>
    <row r="357" spans="3:65" s="1" customFormat="1" ht="19.5" customHeight="1" x14ac:dyDescent="0.15">
      <c r="C357" s="1530"/>
      <c r="D357" s="1530"/>
      <c r="E357" s="1530"/>
      <c r="F357" s="1530"/>
      <c r="G357" s="1530"/>
      <c r="H357" s="1530"/>
      <c r="I357" s="1530"/>
      <c r="J357" s="1530"/>
      <c r="K357" s="1530"/>
      <c r="L357" s="1530"/>
      <c r="M357" s="1530"/>
      <c r="N357" s="1530"/>
      <c r="O357" s="1109"/>
      <c r="P357" s="1104"/>
      <c r="R357" s="12"/>
      <c r="S357" s="12"/>
      <c r="T357" s="12"/>
      <c r="U357" s="12"/>
      <c r="V357" s="19"/>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row>
    <row r="358" spans="3:65" s="1" customFormat="1" ht="40.5" customHeight="1" x14ac:dyDescent="0.15">
      <c r="D358" s="1531" t="str">
        <f>IF($Q$2=2,"Réconciliation détaillée du compte "&amp;F360&amp;" - "&amp;C360,"Detailed Reconciliation of the Account "&amp;F360&amp;" - "&amp;C360)</f>
        <v>Detailed Reconciliation of the Account 1290 - Disponible ~ Available</v>
      </c>
      <c r="E358" s="1531"/>
      <c r="F358" s="1531"/>
      <c r="G358" s="1531"/>
      <c r="H358" s="1531"/>
      <c r="I358" s="1531"/>
      <c r="J358" s="1531"/>
      <c r="K358" s="1531"/>
      <c r="L358" s="1531"/>
      <c r="M358" s="1531"/>
      <c r="N358" s="1111"/>
      <c r="P358" s="12"/>
      <c r="R358" s="12"/>
      <c r="S358" s="12"/>
      <c r="T358" s="12"/>
      <c r="U358" s="1117"/>
      <c r="V358" s="19"/>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row>
    <row r="359" spans="3:65" s="1" customFormat="1" ht="29.25" customHeight="1" x14ac:dyDescent="0.15">
      <c r="C359" s="1523" t="str">
        <f>IF($Q$2=2,"Réconciliation selon les livres comptables","Reconciliation as per BookKeeping")</f>
        <v>Reconciliation as per BookKeeping</v>
      </c>
      <c r="D359" s="1523"/>
      <c r="E359" s="1523"/>
      <c r="F359" s="1523"/>
      <c r="G359" s="1523"/>
      <c r="I359" s="1523" t="str">
        <f>IF($Q$2=2,"Réconciliation selon l'état de compte","Reconciliation as per Account Statement")</f>
        <v>Reconciliation as per Account Statement</v>
      </c>
      <c r="J359" s="1523"/>
      <c r="K359" s="1523"/>
      <c r="L359" s="1523"/>
      <c r="M359" s="1523"/>
      <c r="N359" s="1112" t="str">
        <f>F360</f>
        <v>1290</v>
      </c>
      <c r="P359" s="188"/>
      <c r="R359" s="188"/>
      <c r="S359" s="188"/>
      <c r="T359" s="12"/>
      <c r="U359" s="12"/>
      <c r="V359" s="19"/>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row>
    <row r="360" spans="3:65" s="1" customFormat="1" ht="25.5" customHeight="1" thickBot="1" x14ac:dyDescent="0.2">
      <c r="C360" s="1532" t="str">
        <f>'Set up ~ Config'!G72</f>
        <v>Disponible ~ Available</v>
      </c>
      <c r="D360" s="1532"/>
      <c r="E360" s="1532"/>
      <c r="F360" s="1113" t="str">
        <f>LEFT('Set up ~ Config'!F72,4)</f>
        <v>1290</v>
      </c>
      <c r="G360" s="82"/>
      <c r="I360" s="1534"/>
      <c r="J360" s="1534"/>
      <c r="K360" s="1534"/>
      <c r="L360" s="1534"/>
      <c r="M360" s="1534"/>
      <c r="N360" s="1534"/>
      <c r="P360" s="12"/>
      <c r="R360" s="12"/>
      <c r="S360" s="12"/>
      <c r="T360" s="12"/>
      <c r="U360" s="12"/>
      <c r="V360" s="19"/>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row>
    <row r="361" spans="3:65" s="1" customFormat="1" ht="25.5" customHeight="1" thickTop="1" thickBot="1" x14ac:dyDescent="0.2">
      <c r="C361" s="1535" t="str">
        <f>IF($Q$2=2,"Solde du compte au ","Account Balance on ")</f>
        <v xml:space="preserve">Account Balance on </v>
      </c>
      <c r="D361" s="1535"/>
      <c r="E361" s="1535"/>
      <c r="F361" s="1114" t="e">
        <f>DATEVALUE('Set up ~ Config'!$L$5)</f>
        <v>#VALUE!</v>
      </c>
      <c r="G361" s="1115">
        <f>'Set up ~ Config'!D72</f>
        <v>0</v>
      </c>
      <c r="I361" s="1116" t="str">
        <f>IF($Q$2=2,"Date (aaaa-mm-jj):","Date (yyyy-mm-dd):")</f>
        <v>Date (yyyy-mm-dd):</v>
      </c>
      <c r="J361" s="957"/>
      <c r="K361" s="1536" t="str">
        <f>IF($Q$2=2,"Solde :","Balance :")</f>
        <v>Balance :</v>
      </c>
      <c r="L361" s="1537"/>
      <c r="M361" s="1538"/>
      <c r="N361" s="942"/>
      <c r="P361" s="12"/>
      <c r="Q361" s="1540"/>
      <c r="R361" s="1540"/>
      <c r="S361" s="1540"/>
      <c r="T361" s="12"/>
      <c r="U361" s="12"/>
      <c r="V361" s="19"/>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row>
    <row r="362" spans="3:65" s="1" customFormat="1" ht="25.5" customHeight="1" thickTop="1" x14ac:dyDescent="0.15">
      <c r="C362" s="1539" t="str">
        <f>IF($Q$2=2,"Plus: Accroissements (Jrnl des revenus)","Plus: Increases (Revenue Jrnl)")</f>
        <v>Plus: Increases (Revenue Jrnl)</v>
      </c>
      <c r="D362" s="1539"/>
      <c r="E362" s="1539"/>
      <c r="F362" s="1539"/>
      <c r="G362" s="1115">
        <f>'Jrnl Rev'!G549</f>
        <v>0</v>
      </c>
      <c r="H362" s="1118"/>
      <c r="P362" s="12"/>
      <c r="Q362" s="12"/>
      <c r="R362" s="12"/>
      <c r="S362" s="12"/>
      <c r="T362" s="12"/>
      <c r="U362" s="12"/>
      <c r="V362" s="19"/>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row>
    <row r="363" spans="3:65" s="1" customFormat="1" ht="25.5" customHeight="1" x14ac:dyDescent="0.15">
      <c r="C363" s="1539" t="str">
        <f>IF($Q$2=2," Moins: Décroissements (Jrnl des dépenses)","Less: Decreases (Expense Jrnl)")</f>
        <v>Less: Decreases (Expense Jrnl)</v>
      </c>
      <c r="D363" s="1539"/>
      <c r="E363" s="1539"/>
      <c r="F363" s="1539"/>
      <c r="G363" s="1115">
        <f>'Jrnl Exp ~ Dép'!G549</f>
        <v>0</v>
      </c>
      <c r="I363" s="188"/>
      <c r="J363" s="188"/>
      <c r="K363" s="188"/>
      <c r="L363" s="188"/>
      <c r="M363" s="188"/>
      <c r="N363" s="1119"/>
      <c r="P363" s="12"/>
      <c r="Q363" s="12"/>
      <c r="R363" s="12"/>
      <c r="S363" s="12"/>
      <c r="T363" s="12"/>
      <c r="U363" s="12"/>
      <c r="V363" s="19"/>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row>
    <row r="364" spans="3:65" s="1" customFormat="1" ht="25.5" customHeight="1" x14ac:dyDescent="0.15">
      <c r="C364" s="1533"/>
      <c r="D364" s="1533"/>
      <c r="E364" s="1533"/>
      <c r="F364" s="1533"/>
      <c r="H364" s="1118"/>
      <c r="P364" s="12"/>
      <c r="Q364" s="12"/>
      <c r="R364" s="12"/>
      <c r="S364" s="12"/>
      <c r="T364" s="12"/>
      <c r="U364" s="12"/>
      <c r="V364" s="19"/>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row>
    <row r="365" spans="3:65" s="1" customFormat="1" ht="25.5" customHeight="1" thickBot="1" x14ac:dyDescent="0.2">
      <c r="C365" s="1524" t="str">
        <f>IF($Q$2=2,F360&amp;" Fonds disponible du compte",F360&amp;" Account Available Funds")</f>
        <v>1290 Account Available Funds</v>
      </c>
      <c r="D365" s="1524"/>
      <c r="E365" s="1524"/>
      <c r="F365" s="1524"/>
      <c r="G365" s="1120"/>
      <c r="I365" s="18"/>
      <c r="J365" s="12"/>
      <c r="K365" s="12"/>
      <c r="L365" s="12"/>
      <c r="M365" s="12"/>
      <c r="N365" s="1121"/>
      <c r="P365" s="12"/>
      <c r="Q365" s="12"/>
      <c r="R365" s="12"/>
      <c r="S365" s="12"/>
      <c r="T365" s="12"/>
      <c r="U365" s="12"/>
      <c r="V365" s="19"/>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row>
    <row r="366" spans="3:65" s="1" customFormat="1" ht="25.5" customHeight="1" thickBot="1" x14ac:dyDescent="0.2">
      <c r="C366" s="1525" t="str">
        <f>IF($Q$2=2,"Solde reporté à la ligne "&amp;F360&amp;" du Bilan - page 7","This balance fwrd'd to line "&amp;F360&amp;" of Balance Sheet -  page 7")</f>
        <v>This balance fwrd'd to line 1290 of Balance Sheet -  page 7</v>
      </c>
      <c r="D366" s="1525"/>
      <c r="E366" s="1525"/>
      <c r="F366" s="1525"/>
      <c r="G366" s="1122">
        <f>IF(AND(SUM(G361+G362-G363)&lt;0.001,SUM(G361+G362-G363)&gt;-0.001),0,SUM(G361+G362-G363))</f>
        <v>0</v>
      </c>
      <c r="H366" s="605"/>
      <c r="J366" s="82"/>
      <c r="K366" s="82"/>
      <c r="L366" s="82"/>
      <c r="M366" s="1123"/>
      <c r="N366" s="1122">
        <f>N361</f>
        <v>0</v>
      </c>
      <c r="P366" s="12"/>
      <c r="Q366" s="12"/>
      <c r="R366" s="12"/>
      <c r="S366" s="12"/>
      <c r="T366" s="12"/>
      <c r="U366" s="12"/>
      <c r="V366" s="19"/>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row>
    <row r="367" spans="3:65" ht="9.75" customHeight="1" thickBot="1" x14ac:dyDescent="0.2">
      <c r="C367" s="1"/>
      <c r="D367" s="1"/>
      <c r="E367" s="1"/>
      <c r="F367" s="189"/>
      <c r="G367" s="1"/>
      <c r="H367" s="1"/>
      <c r="I367" s="1"/>
      <c r="J367" s="1118"/>
      <c r="K367" s="1"/>
      <c r="L367" s="1"/>
      <c r="M367" s="1124"/>
      <c r="N367" s="1"/>
      <c r="O367" s="1"/>
      <c r="P367" s="12"/>
      <c r="Q367" s="12"/>
      <c r="R367" s="12"/>
      <c r="S367" s="12"/>
      <c r="BK367" s="187"/>
      <c r="BL367" s="187"/>
      <c r="BM367" s="187"/>
    </row>
    <row r="368" spans="3:65" ht="25.5" customHeight="1" thickBot="1" x14ac:dyDescent="0.2">
      <c r="C368" s="1526"/>
      <c r="D368" s="1526"/>
      <c r="E368" s="1526"/>
      <c r="F368" s="1526"/>
      <c r="G368" s="1125">
        <f>IF(AND(G366-N366&lt;0.001,G366-N366&gt;-0.001),0,G366-N366)</f>
        <v>0</v>
      </c>
      <c r="H368" s="1527">
        <f>IF($Q$2=2,IF(G368=0,$T$8,$T$5),IF(G368=0,$T$9,$T$7))</f>
        <v>0</v>
      </c>
      <c r="I368" s="1527"/>
      <c r="J368" s="1527"/>
      <c r="K368" s="1527"/>
      <c r="L368" s="1527"/>
      <c r="M368" s="1527"/>
      <c r="N368" s="1528"/>
      <c r="O368" s="1"/>
      <c r="P368" s="12"/>
      <c r="Q368" s="12"/>
      <c r="R368" s="12"/>
      <c r="S368" s="12"/>
    </row>
    <row r="369" spans="3:65" s="1" customFormat="1" ht="15" customHeight="1" x14ac:dyDescent="0.15">
      <c r="C369" s="1529"/>
      <c r="D369" s="1529"/>
      <c r="E369" s="1529"/>
      <c r="F369" s="1529"/>
      <c r="G369" s="1529"/>
      <c r="H369" s="1529"/>
      <c r="I369" s="1529"/>
      <c r="J369" s="1529"/>
      <c r="K369" s="1529"/>
      <c r="L369" s="1529"/>
      <c r="M369" s="1529"/>
      <c r="N369" s="1529"/>
      <c r="O369" s="1109"/>
      <c r="P369" s="1104"/>
      <c r="R369" s="12"/>
      <c r="S369" s="12"/>
      <c r="T369" s="12"/>
      <c r="U369" s="12"/>
      <c r="V369" s="19"/>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row>
    <row r="370" spans="3:65" s="1" customFormat="1" ht="19.5" customHeight="1" x14ac:dyDescent="0.15">
      <c r="C370" s="1530"/>
      <c r="D370" s="1530"/>
      <c r="E370" s="1530"/>
      <c r="F370" s="1530"/>
      <c r="G370" s="1530"/>
      <c r="H370" s="1530"/>
      <c r="I370" s="1530"/>
      <c r="J370" s="1530"/>
      <c r="K370" s="1530"/>
      <c r="L370" s="1530"/>
      <c r="M370" s="1530"/>
      <c r="N370" s="1530"/>
      <c r="O370" s="1109"/>
      <c r="P370" s="1104"/>
      <c r="R370" s="12"/>
      <c r="S370" s="12"/>
      <c r="T370" s="188"/>
      <c r="U370" s="188"/>
      <c r="V370" s="502"/>
      <c r="W370" s="188"/>
      <c r="X370" s="188"/>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row>
    <row r="371" spans="3:65" s="1" customFormat="1" ht="40.5" customHeight="1" x14ac:dyDescent="0.15">
      <c r="D371" s="1531" t="str">
        <f>IF($Q$2=2,"Réconciliation détaillée du compte "&amp;F373&amp;" - "&amp;C373,"Detailed Reconciliation of the Account "&amp;F373&amp;" - "&amp;C373)</f>
        <v>Detailed Reconciliation of the Account 2010 - Credit Card</v>
      </c>
      <c r="E371" s="1531"/>
      <c r="F371" s="1531"/>
      <c r="G371" s="1531"/>
      <c r="H371" s="1531"/>
      <c r="I371" s="1531"/>
      <c r="J371" s="1531"/>
      <c r="K371" s="1531"/>
      <c r="L371" s="1531"/>
      <c r="M371" s="1531"/>
      <c r="N371" s="1111"/>
      <c r="P371" s="12"/>
      <c r="R371" s="12"/>
      <c r="S371" s="12"/>
      <c r="T371" s="12"/>
      <c r="U371" s="12"/>
      <c r="V371" s="19"/>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row>
    <row r="372" spans="3:65" s="1" customFormat="1" ht="29.25" customHeight="1" x14ac:dyDescent="0.15">
      <c r="C372" s="1523" t="str">
        <f>IF($Q$2=2,"Réconciliation selon les livres comptables","Reconciliation as per BookKeeping")</f>
        <v>Reconciliation as per BookKeeping</v>
      </c>
      <c r="D372" s="1523"/>
      <c r="E372" s="1523"/>
      <c r="F372" s="1523"/>
      <c r="G372" s="1523"/>
      <c r="I372" s="1523" t="str">
        <f>IF($Q$2=2,"Réconciliation selon l'état de compte","Reconciliation as per Account Statement")</f>
        <v>Reconciliation as per Account Statement</v>
      </c>
      <c r="J372" s="1523"/>
      <c r="K372" s="1523"/>
      <c r="L372" s="1523"/>
      <c r="M372" s="1523"/>
      <c r="N372" s="1112" t="str">
        <f>F373</f>
        <v>2010</v>
      </c>
      <c r="P372" s="188"/>
      <c r="R372" s="188"/>
      <c r="S372" s="188"/>
      <c r="T372" s="12"/>
      <c r="U372" s="1117"/>
      <c r="V372" s="19"/>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row>
    <row r="373" spans="3:65" s="1" customFormat="1" ht="25.5" customHeight="1" thickBot="1" x14ac:dyDescent="0.2">
      <c r="C373" s="1532" t="str">
        <f>'Set up ~ Config'!G76</f>
        <v>Credit Card</v>
      </c>
      <c r="D373" s="1532"/>
      <c r="E373" s="1532"/>
      <c r="F373" s="1113" t="str">
        <f>LEFT('Set up ~ Config'!F76,4)</f>
        <v>2010</v>
      </c>
      <c r="G373" s="82"/>
      <c r="I373" s="1534"/>
      <c r="J373" s="1534"/>
      <c r="K373" s="1534"/>
      <c r="L373" s="1534"/>
      <c r="M373" s="1534"/>
      <c r="N373" s="1534"/>
      <c r="P373" s="12"/>
      <c r="R373" s="12"/>
      <c r="S373" s="12"/>
      <c r="T373" s="12"/>
      <c r="U373" s="12"/>
      <c r="V373" s="19"/>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row>
    <row r="374" spans="3:65" s="1" customFormat="1" ht="25.5" customHeight="1" thickTop="1" thickBot="1" x14ac:dyDescent="0.2">
      <c r="C374" s="1535" t="str">
        <f>IF($Q$2=2,"Solde du compte au ","Account Balance on ")</f>
        <v xml:space="preserve">Account Balance on </v>
      </c>
      <c r="D374" s="1535"/>
      <c r="E374" s="1535"/>
      <c r="F374" s="1114" t="e">
        <f>DATEVALUE('Set up ~ Config'!$L$5)</f>
        <v>#VALUE!</v>
      </c>
      <c r="G374" s="1115">
        <f>'Set up ~ Config'!D76</f>
        <v>0</v>
      </c>
      <c r="I374" s="1116" t="str">
        <f>IF($Q$2=2,"Date (aaaa-mm-jj):","Date (yyyy-mm-dd):")</f>
        <v>Date (yyyy-mm-dd):</v>
      </c>
      <c r="J374" s="957"/>
      <c r="K374" s="1536" t="str">
        <f>IF($Q$2=2,"Solde :","Balance :")</f>
        <v>Balance :</v>
      </c>
      <c r="L374" s="1537"/>
      <c r="M374" s="1538"/>
      <c r="N374" s="942"/>
      <c r="P374" s="12"/>
      <c r="Q374" s="1540"/>
      <c r="R374" s="1540"/>
      <c r="S374" s="1540"/>
      <c r="T374" s="12"/>
      <c r="U374" s="12"/>
      <c r="V374" s="19"/>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row>
    <row r="375" spans="3:65" s="1" customFormat="1" ht="25.5" customHeight="1" thickTop="1" x14ac:dyDescent="0.15">
      <c r="C375" s="1539" t="str">
        <f>IF($Q$2=2," Plus: Dépenses (Jrnl des dépenses)","Plus: Expenses (Expense Jrnl)")</f>
        <v>Plus: Expenses (Expense Jrnl)</v>
      </c>
      <c r="D375" s="1539"/>
      <c r="E375" s="1539"/>
      <c r="F375" s="1539"/>
      <c r="G375" s="1115">
        <f>'Jrnl Exp ~ Dép'!G550</f>
        <v>0</v>
      </c>
      <c r="H375" s="1118"/>
      <c r="P375" s="12"/>
      <c r="Q375" s="12"/>
      <c r="R375" s="12"/>
      <c r="S375" s="12"/>
      <c r="T375" s="12"/>
      <c r="U375" s="12"/>
      <c r="V375" s="19"/>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row>
    <row r="376" spans="3:65" s="1" customFormat="1" ht="25.5" customHeight="1" x14ac:dyDescent="0.15">
      <c r="C376" s="1539" t="str">
        <f>IF($Q$2=2,"Moins: Remboursements (Jrnl des revenus)","Less: Reimbursements (Revenue Jrnl)")</f>
        <v>Less: Reimbursements (Revenue Jrnl)</v>
      </c>
      <c r="D376" s="1539"/>
      <c r="E376" s="1539"/>
      <c r="F376" s="1539"/>
      <c r="G376" s="1115">
        <f>'Jrnl Rev'!G550</f>
        <v>0</v>
      </c>
      <c r="N376" s="1119"/>
      <c r="P376" s="12"/>
      <c r="Q376" s="12"/>
      <c r="R376" s="12"/>
      <c r="S376" s="12"/>
      <c r="T376" s="12"/>
      <c r="U376" s="12"/>
      <c r="V376" s="19"/>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row>
    <row r="377" spans="3:65" s="1" customFormat="1" ht="25.5" customHeight="1" x14ac:dyDescent="0.15">
      <c r="C377" s="1533"/>
      <c r="D377" s="1533"/>
      <c r="E377" s="1533"/>
      <c r="F377" s="1533"/>
      <c r="H377" s="1118"/>
      <c r="P377" s="12"/>
      <c r="Q377" s="12"/>
      <c r="R377" s="12"/>
      <c r="S377" s="12"/>
      <c r="T377" s="12"/>
      <c r="U377" s="12"/>
      <c r="V377" s="19"/>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row>
    <row r="378" spans="3:65" s="1" customFormat="1" ht="25.5" customHeight="1" thickBot="1" x14ac:dyDescent="0.2">
      <c r="C378" s="1524" t="str">
        <f>IF($Q$2=2,F373&amp;" Fonds disponible du compte",F373&amp;" Account Available Funds")</f>
        <v>2010 Account Available Funds</v>
      </c>
      <c r="D378" s="1524"/>
      <c r="E378" s="1524"/>
      <c r="F378" s="1524"/>
      <c r="G378" s="1120"/>
      <c r="I378" s="18"/>
      <c r="J378" s="12"/>
      <c r="K378" s="12"/>
      <c r="L378" s="12"/>
      <c r="M378" s="12"/>
      <c r="N378" s="1121"/>
      <c r="P378" s="12"/>
      <c r="Q378" s="12"/>
      <c r="R378" s="12"/>
      <c r="S378" s="12"/>
      <c r="T378" s="12"/>
      <c r="U378" s="12"/>
      <c r="V378" s="19"/>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row>
    <row r="379" spans="3:65" s="1" customFormat="1" ht="25.5" customHeight="1" thickBot="1" x14ac:dyDescent="0.2">
      <c r="C379" s="1525" t="str">
        <f>IF($Q$2=2,"Solde reporté à la ligne "&amp;F373&amp;" du Bilan - page 8","This balance fwrd'd to line "&amp;F373&amp;" of Balance Sheet -  page 8")</f>
        <v>This balance fwrd'd to line 2010 of Balance Sheet -  page 8</v>
      </c>
      <c r="D379" s="1525"/>
      <c r="E379" s="1525"/>
      <c r="F379" s="1525"/>
      <c r="G379" s="1122">
        <f>IF(AND(SUM(G374+G375-G376)&lt;0.001,SUM(G374+G375-G376)&gt;-0.001),0,SUM(G374+G375-G376))</f>
        <v>0</v>
      </c>
      <c r="H379" s="605"/>
      <c r="J379" s="82"/>
      <c r="K379" s="82"/>
      <c r="L379" s="82"/>
      <c r="M379" s="1123"/>
      <c r="N379" s="1122">
        <f>N374</f>
        <v>0</v>
      </c>
      <c r="P379" s="12"/>
      <c r="Q379" s="12"/>
      <c r="R379" s="12"/>
      <c r="S379" s="12"/>
      <c r="T379" s="12"/>
      <c r="U379" s="12"/>
      <c r="V379" s="19"/>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row>
    <row r="380" spans="3:65" s="1" customFormat="1" ht="9.75" customHeight="1" thickBot="1" x14ac:dyDescent="0.2">
      <c r="F380" s="189"/>
      <c r="J380" s="1118"/>
      <c r="M380" s="1124"/>
      <c r="P380" s="12"/>
      <c r="Q380" s="12"/>
      <c r="R380" s="12"/>
      <c r="S380" s="12"/>
      <c r="T380" s="12"/>
      <c r="U380" s="12"/>
      <c r="V380" s="19"/>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row>
    <row r="381" spans="3:65" ht="25.5" customHeight="1" thickBot="1" x14ac:dyDescent="0.2">
      <c r="C381" s="1526"/>
      <c r="D381" s="1526"/>
      <c r="E381" s="1526"/>
      <c r="F381" s="1526"/>
      <c r="G381" s="1125">
        <f>IF(AND(G379-N379&lt;0.001,G379-N379&gt;-0.001),0,G379-N379)</f>
        <v>0</v>
      </c>
      <c r="H381" s="1527">
        <f>IF($Q$2=2,IF(G381=0,$T$8,$T$5),IF(G381=0,$T$9,$T$7))</f>
        <v>0</v>
      </c>
      <c r="I381" s="1527"/>
      <c r="J381" s="1527"/>
      <c r="K381" s="1527"/>
      <c r="L381" s="1527"/>
      <c r="M381" s="1527"/>
      <c r="N381" s="1528"/>
      <c r="O381" s="1"/>
      <c r="P381" s="12"/>
      <c r="Q381" s="12"/>
      <c r="R381" s="12"/>
      <c r="S381" s="12"/>
      <c r="BK381" s="187"/>
      <c r="BL381" s="187"/>
      <c r="BM381" s="187"/>
    </row>
    <row r="382" spans="3:65" ht="15" customHeight="1" x14ac:dyDescent="0.15">
      <c r="C382" s="1529"/>
      <c r="D382" s="1529"/>
      <c r="E382" s="1529"/>
      <c r="F382" s="1529"/>
      <c r="G382" s="1529"/>
      <c r="H382" s="1529"/>
      <c r="I382" s="1529"/>
      <c r="J382" s="1529"/>
      <c r="K382" s="1529"/>
      <c r="L382" s="1529"/>
      <c r="M382" s="1529"/>
      <c r="N382" s="1529"/>
      <c r="O382" s="1109"/>
      <c r="P382" s="1104"/>
      <c r="Q382" s="1"/>
      <c r="R382" s="12"/>
      <c r="S382" s="12"/>
    </row>
    <row r="383" spans="3:65" s="1" customFormat="1" ht="19.5" customHeight="1" x14ac:dyDescent="0.15">
      <c r="C383" s="1530"/>
      <c r="D383" s="1530"/>
      <c r="E383" s="1530"/>
      <c r="F383" s="1530"/>
      <c r="G383" s="1530"/>
      <c r="H383" s="1530"/>
      <c r="I383" s="1530"/>
      <c r="J383" s="1530"/>
      <c r="K383" s="1530"/>
      <c r="L383" s="1530"/>
      <c r="M383" s="1530"/>
      <c r="N383" s="1530"/>
      <c r="O383" s="1109"/>
      <c r="P383" s="1104"/>
      <c r="R383" s="12"/>
      <c r="S383" s="12"/>
      <c r="T383" s="12"/>
      <c r="U383" s="12"/>
      <c r="V383" s="19"/>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row>
    <row r="384" spans="3:65" s="1" customFormat="1" ht="40.5" customHeight="1" x14ac:dyDescent="0.15">
      <c r="D384" s="1531" t="str">
        <f>IF($Q$2=2,"Réconciliation détaillée du compte "&amp;F386&amp;" - "&amp;C386,"Detailed Reconciliation of the Account "&amp;F386&amp;" - "&amp;C386)</f>
        <v>Detailed Reconciliation of the Account 2020 - Payables - Short Terms</v>
      </c>
      <c r="E384" s="1531"/>
      <c r="F384" s="1531"/>
      <c r="G384" s="1531"/>
      <c r="H384" s="1531"/>
      <c r="I384" s="1531"/>
      <c r="J384" s="1531"/>
      <c r="K384" s="1531"/>
      <c r="L384" s="1531"/>
      <c r="M384" s="1531"/>
      <c r="N384" s="1111"/>
      <c r="P384" s="12"/>
      <c r="R384" s="12"/>
      <c r="S384" s="12"/>
      <c r="T384" s="188"/>
      <c r="U384" s="188"/>
      <c r="V384" s="502"/>
      <c r="W384" s="188"/>
      <c r="X384" s="188"/>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row>
    <row r="385" spans="3:62" s="1" customFormat="1" ht="29.25" customHeight="1" x14ac:dyDescent="0.15">
      <c r="C385" s="1523" t="str">
        <f>IF($Q$2=2,"Réconciliation selon les livres comptables","Reconciliation as per BookKeeping")</f>
        <v>Reconciliation as per BookKeeping</v>
      </c>
      <c r="D385" s="1523"/>
      <c r="E385" s="1523"/>
      <c r="F385" s="1523"/>
      <c r="G385" s="1523"/>
      <c r="I385" s="1523" t="str">
        <f>IF($Q$2=2,"Réconciliation selon l'état de compte","Reconciliation as per Account Statement")</f>
        <v>Reconciliation as per Account Statement</v>
      </c>
      <c r="J385" s="1523"/>
      <c r="K385" s="1523"/>
      <c r="L385" s="1523"/>
      <c r="M385" s="1523"/>
      <c r="N385" s="1112" t="str">
        <f>F386</f>
        <v>2020</v>
      </c>
      <c r="P385" s="188"/>
      <c r="R385" s="188"/>
      <c r="S385" s="188"/>
      <c r="T385" s="12"/>
      <c r="U385" s="12"/>
      <c r="V385" s="19"/>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row>
    <row r="386" spans="3:62" s="1" customFormat="1" ht="25.5" customHeight="1" thickBot="1" x14ac:dyDescent="0.2">
      <c r="C386" s="1532" t="str">
        <f>'Set up ~ Config'!G77</f>
        <v>Payables - Short Terms</v>
      </c>
      <c r="D386" s="1532"/>
      <c r="E386" s="1532"/>
      <c r="F386" s="1113" t="str">
        <f>LEFT('Set up ~ Config'!F77,4)</f>
        <v>2020</v>
      </c>
      <c r="G386" s="82"/>
      <c r="I386" s="1534"/>
      <c r="J386" s="1534"/>
      <c r="K386" s="1534"/>
      <c r="L386" s="1534"/>
      <c r="M386" s="1534"/>
      <c r="N386" s="1534"/>
      <c r="P386" s="12"/>
      <c r="R386" s="12"/>
      <c r="S386" s="12"/>
      <c r="T386" s="12"/>
      <c r="U386" s="1117"/>
      <c r="V386" s="19"/>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row>
    <row r="387" spans="3:62" s="1" customFormat="1" ht="25.5" customHeight="1" thickTop="1" thickBot="1" x14ac:dyDescent="0.2">
      <c r="C387" s="1535" t="str">
        <f>IF($Q$2=2,"Solde du compte au ","Account Balance on ")</f>
        <v xml:space="preserve">Account Balance on </v>
      </c>
      <c r="D387" s="1535"/>
      <c r="E387" s="1535"/>
      <c r="F387" s="1114" t="e">
        <f>DATEVALUE('Set up ~ Config'!$L$5)</f>
        <v>#VALUE!</v>
      </c>
      <c r="G387" s="1115">
        <f>'Set up ~ Config'!D77</f>
        <v>0</v>
      </c>
      <c r="I387" s="1116" t="str">
        <f>IF($Q$2=2,"Date (aaaa-mm-jj):","Date (yyyy-mm-dd):")</f>
        <v>Date (yyyy-mm-dd):</v>
      </c>
      <c r="J387" s="957"/>
      <c r="K387" s="1536" t="str">
        <f>IF($Q$2=2,"Solde :","Balance :")</f>
        <v>Balance :</v>
      </c>
      <c r="L387" s="1537"/>
      <c r="M387" s="1538"/>
      <c r="N387" s="942"/>
      <c r="P387" s="12"/>
      <c r="Q387" s="1540"/>
      <c r="R387" s="1540"/>
      <c r="S387" s="1540"/>
      <c r="T387" s="12"/>
      <c r="U387" s="12"/>
      <c r="V387" s="19"/>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row>
    <row r="388" spans="3:62" s="1" customFormat="1" ht="25.5" customHeight="1" thickTop="1" x14ac:dyDescent="0.15">
      <c r="C388" s="1539" t="str">
        <f>IF($Q$2=2," Plus: Accroissements (Jrnl des dépenses)","Plus: Increases (Expense Jrnl)")</f>
        <v>Plus: Increases (Expense Jrnl)</v>
      </c>
      <c r="D388" s="1539"/>
      <c r="E388" s="1539"/>
      <c r="F388" s="1539"/>
      <c r="G388" s="1115">
        <f>'Jrnl Exp ~ Dép'!G551</f>
        <v>0</v>
      </c>
      <c r="H388" s="1118"/>
      <c r="P388" s="12"/>
      <c r="Q388" s="12"/>
      <c r="R388" s="12"/>
      <c r="S388" s="12"/>
      <c r="T388" s="12"/>
      <c r="U388" s="12"/>
      <c r="V388" s="19"/>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row>
    <row r="389" spans="3:62" s="1" customFormat="1" ht="25.5" customHeight="1" x14ac:dyDescent="0.15">
      <c r="C389" s="1539" t="str">
        <f>IF($Q$2=2,"Moins: Décroissements (Jrnl des revenus)","Less: Decreases (Revenue Jrnl)")</f>
        <v>Less: Decreases (Revenue Jrnl)</v>
      </c>
      <c r="D389" s="1539"/>
      <c r="E389" s="1539"/>
      <c r="F389" s="1539"/>
      <c r="G389" s="1115">
        <f>'Jrnl Rev'!G551</f>
        <v>0</v>
      </c>
      <c r="J389" s="188"/>
      <c r="K389" s="188"/>
      <c r="L389" s="188"/>
      <c r="M389" s="188"/>
      <c r="N389" s="1119"/>
      <c r="P389" s="12"/>
      <c r="Q389" s="12"/>
      <c r="R389" s="12"/>
      <c r="S389" s="12"/>
      <c r="T389" s="12"/>
      <c r="U389" s="12"/>
      <c r="V389" s="19"/>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row>
    <row r="390" spans="3:62" s="1" customFormat="1" ht="25.5" customHeight="1" x14ac:dyDescent="0.15">
      <c r="C390" s="1533"/>
      <c r="D390" s="1533"/>
      <c r="E390" s="1533"/>
      <c r="F390" s="1533"/>
      <c r="H390" s="1118"/>
      <c r="P390" s="12"/>
      <c r="Q390" s="12"/>
      <c r="R390" s="12"/>
      <c r="S390" s="12"/>
      <c r="T390" s="12"/>
      <c r="U390" s="12"/>
      <c r="V390" s="19"/>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row>
    <row r="391" spans="3:62" s="1" customFormat="1" ht="25.5" customHeight="1" thickBot="1" x14ac:dyDescent="0.2">
      <c r="C391" s="1524" t="str">
        <f>IF($Q$2=2,F386&amp;" Fonds disponible du compte",F386&amp;" Account Available Funds")</f>
        <v>2020 Account Available Funds</v>
      </c>
      <c r="D391" s="1524"/>
      <c r="E391" s="1524"/>
      <c r="F391" s="1524"/>
      <c r="G391" s="1120"/>
      <c r="I391" s="18"/>
      <c r="J391" s="12"/>
      <c r="K391" s="12"/>
      <c r="L391" s="12"/>
      <c r="M391" s="12"/>
      <c r="N391" s="1121"/>
      <c r="P391" s="12"/>
      <c r="Q391" s="12"/>
      <c r="R391" s="12"/>
      <c r="S391" s="12"/>
      <c r="T391" s="12"/>
      <c r="U391" s="12"/>
      <c r="V391" s="19"/>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row>
    <row r="392" spans="3:62" s="1" customFormat="1" ht="25.5" customHeight="1" thickBot="1" x14ac:dyDescent="0.2">
      <c r="C392" s="1525" t="str">
        <f>IF($Q$2=2,"Solde reporté à la ligne "&amp;F386&amp;" du Bilan - page 8","This balance fwrd'd to line "&amp;F386&amp;" of Balance Sheet -  page 8")</f>
        <v>This balance fwrd'd to line 2020 of Balance Sheet -  page 8</v>
      </c>
      <c r="D392" s="1525"/>
      <c r="E392" s="1525"/>
      <c r="F392" s="1525"/>
      <c r="G392" s="1122">
        <f>IF(AND(SUM(G387+G388-G389)&lt;0.001,SUM(G387+G388-G389)&gt;-0.001),0,SUM(G387+G388-G389))</f>
        <v>0</v>
      </c>
      <c r="H392" s="605"/>
      <c r="J392" s="82"/>
      <c r="K392" s="82"/>
      <c r="L392" s="82"/>
      <c r="M392" s="1123"/>
      <c r="N392" s="1122">
        <f>N387</f>
        <v>0</v>
      </c>
      <c r="P392" s="12"/>
      <c r="Q392" s="12"/>
      <c r="R392" s="12"/>
      <c r="S392" s="12"/>
      <c r="T392" s="12"/>
      <c r="U392" s="12"/>
      <c r="V392" s="19"/>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row>
    <row r="393" spans="3:62" s="1" customFormat="1" ht="9.75" customHeight="1" thickBot="1" x14ac:dyDescent="0.2">
      <c r="F393" s="189"/>
      <c r="J393" s="1118"/>
      <c r="M393" s="1124"/>
      <c r="P393" s="12"/>
      <c r="Q393" s="12"/>
      <c r="R393" s="12"/>
      <c r="S393" s="12"/>
      <c r="T393" s="12"/>
      <c r="U393" s="12"/>
      <c r="V393" s="19"/>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row>
    <row r="394" spans="3:62" s="1" customFormat="1" ht="25.5" customHeight="1" thickBot="1" x14ac:dyDescent="0.2">
      <c r="C394" s="1526"/>
      <c r="D394" s="1526"/>
      <c r="E394" s="1526"/>
      <c r="F394" s="1526"/>
      <c r="G394" s="1125">
        <f>IF(AND(G392-N392&lt;0.001,G392-N392&gt;-0.001),0,G392-N392)</f>
        <v>0</v>
      </c>
      <c r="H394" s="1527">
        <f>IF($Q$2=2,IF(G394=0,$T$8,$T$5),IF(G394=0,$T$9,$T$7))</f>
        <v>0</v>
      </c>
      <c r="I394" s="1527"/>
      <c r="J394" s="1527"/>
      <c r="K394" s="1527"/>
      <c r="L394" s="1527"/>
      <c r="M394" s="1527"/>
      <c r="N394" s="1528"/>
      <c r="P394" s="12"/>
      <c r="Q394" s="12"/>
      <c r="R394" s="12"/>
      <c r="S394" s="12"/>
      <c r="T394" s="12"/>
      <c r="U394" s="12"/>
      <c r="V394" s="19"/>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row>
    <row r="395" spans="3:62" ht="15" customHeight="1" x14ac:dyDescent="0.15">
      <c r="C395" s="1529"/>
      <c r="D395" s="1529"/>
      <c r="E395" s="1529"/>
      <c r="F395" s="1529"/>
      <c r="G395" s="1529"/>
      <c r="H395" s="1529"/>
      <c r="I395" s="1529"/>
      <c r="J395" s="1529"/>
      <c r="K395" s="1529"/>
      <c r="L395" s="1529"/>
      <c r="M395" s="1529"/>
      <c r="N395" s="1529"/>
      <c r="O395" s="1109"/>
      <c r="P395" s="1104"/>
      <c r="Q395" s="1"/>
      <c r="R395" s="12"/>
      <c r="S395" s="12"/>
    </row>
    <row r="396" spans="3:62" ht="19.5" customHeight="1" x14ac:dyDescent="0.15">
      <c r="C396" s="1530"/>
      <c r="D396" s="1530"/>
      <c r="E396" s="1530"/>
      <c r="F396" s="1530"/>
      <c r="G396" s="1530"/>
      <c r="H396" s="1530"/>
      <c r="I396" s="1530"/>
      <c r="J396" s="1530"/>
      <c r="K396" s="1530"/>
      <c r="L396" s="1530"/>
      <c r="M396" s="1530"/>
      <c r="N396" s="1530"/>
      <c r="O396" s="1109"/>
      <c r="P396" s="1104"/>
      <c r="Q396" s="1"/>
      <c r="R396" s="12"/>
      <c r="S396" s="12"/>
    </row>
    <row r="397" spans="3:62" s="1" customFormat="1" ht="40.5" customHeight="1" x14ac:dyDescent="0.15">
      <c r="D397" s="1531" t="str">
        <f>IF($Q$2=2,"Réconciliation détaillée du compte "&amp;F399&amp;" - "&amp;C399,"Detailed Reconciliation of the Account "&amp;F399&amp;" - "&amp;C399)</f>
        <v>Detailed Reconciliation of the Account 2030 - Disponible ~ Available</v>
      </c>
      <c r="E397" s="1531"/>
      <c r="F397" s="1531"/>
      <c r="G397" s="1531"/>
      <c r="H397" s="1531"/>
      <c r="I397" s="1531"/>
      <c r="J397" s="1531"/>
      <c r="K397" s="1531"/>
      <c r="L397" s="1531"/>
      <c r="M397" s="1531"/>
      <c r="N397" s="1111"/>
      <c r="P397" s="12"/>
      <c r="R397" s="12"/>
      <c r="S397" s="12"/>
      <c r="T397" s="12"/>
      <c r="U397" s="12"/>
      <c r="V397" s="19"/>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row>
    <row r="398" spans="3:62" s="1" customFormat="1" ht="29.25" customHeight="1" x14ac:dyDescent="0.15">
      <c r="C398" s="1523" t="str">
        <f>IF($Q$2=2,"Réconciliation selon les livres comptables","Reconciliation as per BookKeeping")</f>
        <v>Reconciliation as per BookKeeping</v>
      </c>
      <c r="D398" s="1523"/>
      <c r="E398" s="1523"/>
      <c r="F398" s="1523"/>
      <c r="G398" s="1523"/>
      <c r="I398" s="1523" t="str">
        <f>IF($Q$2=2,"Réconciliation selon le décompte","Reconciliation as per counting")</f>
        <v>Reconciliation as per counting</v>
      </c>
      <c r="J398" s="1523"/>
      <c r="K398" s="1523"/>
      <c r="L398" s="1523"/>
      <c r="M398" s="1523"/>
      <c r="N398" s="1112" t="str">
        <f>F399</f>
        <v>2030</v>
      </c>
      <c r="P398" s="188"/>
      <c r="R398" s="188"/>
      <c r="S398" s="188"/>
      <c r="T398" s="188"/>
      <c r="U398" s="188"/>
      <c r="V398" s="502"/>
      <c r="W398" s="188"/>
      <c r="X398" s="188"/>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row>
    <row r="399" spans="3:62" s="1" customFormat="1" ht="25.5" customHeight="1" thickBot="1" x14ac:dyDescent="0.2">
      <c r="C399" s="1532" t="str">
        <f>'Set up ~ Config'!G78</f>
        <v>Disponible ~ Available</v>
      </c>
      <c r="D399" s="1532"/>
      <c r="E399" s="1532"/>
      <c r="F399" s="1113" t="str">
        <f>LEFT('Set up ~ Config'!F78,4)</f>
        <v>2030</v>
      </c>
      <c r="G399" s="82"/>
      <c r="I399" s="1534"/>
      <c r="J399" s="1534"/>
      <c r="K399" s="1534"/>
      <c r="L399" s="1534"/>
      <c r="M399" s="1534"/>
      <c r="N399" s="1534"/>
      <c r="P399" s="12"/>
      <c r="R399" s="12"/>
      <c r="S399" s="12"/>
      <c r="T399" s="12"/>
      <c r="U399" s="12"/>
      <c r="V399" s="19"/>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row>
    <row r="400" spans="3:62" s="1" customFormat="1" ht="25.5" customHeight="1" thickTop="1" thickBot="1" x14ac:dyDescent="0.2">
      <c r="C400" s="1535" t="str">
        <f>IF($Q$2=2,"Solde du compte au ","Account Balance on ")</f>
        <v xml:space="preserve">Account Balance on </v>
      </c>
      <c r="D400" s="1535"/>
      <c r="E400" s="1535"/>
      <c r="F400" s="1114" t="e">
        <f>DATEVALUE('Set up ~ Config'!$L$5)</f>
        <v>#VALUE!</v>
      </c>
      <c r="G400" s="1115">
        <f>'Set up ~ Config'!D78</f>
        <v>0</v>
      </c>
      <c r="I400" s="1116" t="str">
        <f>IF($Q$2=2,"Date (aaaa-mm-jj):","Date (yyyy-mm-dd):")</f>
        <v>Date (yyyy-mm-dd):</v>
      </c>
      <c r="J400" s="957"/>
      <c r="K400" s="1536" t="str">
        <f>IF($Q$2=2,"Solde :","Balance :")</f>
        <v>Balance :</v>
      </c>
      <c r="L400" s="1537"/>
      <c r="M400" s="1538"/>
      <c r="N400" s="942"/>
      <c r="P400" s="12"/>
      <c r="Q400" s="1540"/>
      <c r="R400" s="1540"/>
      <c r="S400" s="1540"/>
      <c r="T400" s="12"/>
      <c r="U400" s="1117"/>
      <c r="V400" s="19"/>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row>
    <row r="401" spans="3:62" s="1" customFormat="1" ht="25.5" customHeight="1" thickTop="1" x14ac:dyDescent="0.15">
      <c r="C401" s="1539" t="str">
        <f>IF($Q$2=2," Plus: Accroissements (Jrnl des dépenses)","Plus: Increases (Expense Jrnl)")</f>
        <v>Plus: Increases (Expense Jrnl)</v>
      </c>
      <c r="D401" s="1539"/>
      <c r="E401" s="1539"/>
      <c r="F401" s="1539"/>
      <c r="G401" s="1115">
        <f>'Jrnl Exp ~ Dép'!G552</f>
        <v>0</v>
      </c>
      <c r="H401" s="1118"/>
      <c r="P401" s="12"/>
      <c r="Q401" s="12"/>
      <c r="R401" s="12"/>
      <c r="S401" s="12"/>
      <c r="T401" s="12"/>
      <c r="U401" s="12"/>
      <c r="V401" s="19"/>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row>
    <row r="402" spans="3:62" s="1" customFormat="1" ht="25.5" customHeight="1" x14ac:dyDescent="0.15">
      <c r="C402" s="1539" t="str">
        <f>IF($Q$2=2,"Moins: Décroissements (Jrnl des revenus)","Less: Decreases (Revenue Jrnl)")</f>
        <v>Less: Decreases (Revenue Jrnl)</v>
      </c>
      <c r="D402" s="1539"/>
      <c r="E402" s="1539"/>
      <c r="F402" s="1539"/>
      <c r="G402" s="1115">
        <f>'Jrnl Rev'!G552</f>
        <v>0</v>
      </c>
      <c r="J402" s="188"/>
      <c r="K402" s="188"/>
      <c r="L402" s="188"/>
      <c r="M402" s="188"/>
      <c r="N402" s="1119"/>
      <c r="P402" s="12"/>
      <c r="Q402" s="12"/>
      <c r="R402" s="12"/>
      <c r="S402" s="12"/>
      <c r="T402" s="12"/>
      <c r="U402" s="12"/>
      <c r="V402" s="19"/>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row>
    <row r="403" spans="3:62" s="1" customFormat="1" ht="25.5" customHeight="1" x14ac:dyDescent="0.15">
      <c r="C403" s="1533"/>
      <c r="D403" s="1533"/>
      <c r="E403" s="1533"/>
      <c r="F403" s="1533"/>
      <c r="H403" s="1118"/>
      <c r="P403" s="12"/>
      <c r="Q403" s="12"/>
      <c r="R403" s="12"/>
      <c r="S403" s="12"/>
      <c r="T403" s="12"/>
      <c r="U403" s="12"/>
      <c r="V403" s="19"/>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row>
    <row r="404" spans="3:62" s="1" customFormat="1" ht="25.5" customHeight="1" thickBot="1" x14ac:dyDescent="0.2">
      <c r="C404" s="1524" t="str">
        <f>IF($Q$2=2,F399&amp;" Fonds disponible du compte",F399&amp;" Account Available Funds")</f>
        <v>2030 Account Available Funds</v>
      </c>
      <c r="D404" s="1524"/>
      <c r="E404" s="1524"/>
      <c r="F404" s="1524"/>
      <c r="G404" s="1120"/>
      <c r="I404" s="18"/>
      <c r="J404" s="12"/>
      <c r="K404" s="12"/>
      <c r="L404" s="12"/>
      <c r="M404" s="12"/>
      <c r="N404" s="1121"/>
      <c r="P404" s="12"/>
      <c r="Q404" s="12"/>
      <c r="R404" s="12"/>
      <c r="S404" s="12"/>
      <c r="T404" s="12"/>
      <c r="U404" s="12"/>
      <c r="V404" s="19"/>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row>
    <row r="405" spans="3:62" s="1" customFormat="1" ht="25.5" customHeight="1" thickBot="1" x14ac:dyDescent="0.2">
      <c r="C405" s="1525" t="str">
        <f>IF($Q$2=2,"Solde reporté à la ligne "&amp;F399&amp;" du Bilan - page 8","This balance fwrd'd to line "&amp;F399&amp;" of Balance Sheet -  page 8")</f>
        <v>This balance fwrd'd to line 2030 of Balance Sheet -  page 8</v>
      </c>
      <c r="D405" s="1525"/>
      <c r="E405" s="1525"/>
      <c r="F405" s="1525"/>
      <c r="G405" s="1122">
        <f>IF(AND(SUM(G400+G401-G402)&lt;0.001,SUM(G400+G401-G402)&gt;-0.001),0,SUM(G400+G401-G402))</f>
        <v>0</v>
      </c>
      <c r="H405" s="605"/>
      <c r="J405" s="82"/>
      <c r="K405" s="82"/>
      <c r="L405" s="82"/>
      <c r="M405" s="1123"/>
      <c r="N405" s="1122">
        <f>N400</f>
        <v>0</v>
      </c>
      <c r="P405" s="12"/>
      <c r="Q405" s="12"/>
      <c r="R405" s="12"/>
      <c r="S405" s="12"/>
      <c r="T405" s="12"/>
      <c r="U405" s="12"/>
      <c r="V405" s="19"/>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row>
    <row r="406" spans="3:62" s="1" customFormat="1" ht="9.75" customHeight="1" thickBot="1" x14ac:dyDescent="0.2">
      <c r="F406" s="189"/>
      <c r="J406" s="1118"/>
      <c r="M406" s="1124"/>
      <c r="P406" s="12"/>
      <c r="Q406" s="12"/>
      <c r="R406" s="12"/>
      <c r="S406" s="12"/>
      <c r="T406" s="12"/>
      <c r="U406" s="12"/>
      <c r="V406" s="19"/>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row>
    <row r="407" spans="3:62" s="1" customFormat="1" ht="25.5" customHeight="1" thickBot="1" x14ac:dyDescent="0.2">
      <c r="C407" s="1526"/>
      <c r="D407" s="1526"/>
      <c r="E407" s="1526"/>
      <c r="F407" s="1526"/>
      <c r="G407" s="1125">
        <f>IF(AND(G405-N405&lt;0.001,G405-N405&gt;-0.001),0,G405-N405)</f>
        <v>0</v>
      </c>
      <c r="H407" s="1527">
        <f>IF($Q$2=2,IF(G407=0,$T$8,$T$5),IF(G407=0,$T$9,$T$7))</f>
        <v>0</v>
      </c>
      <c r="I407" s="1527"/>
      <c r="J407" s="1527"/>
      <c r="K407" s="1527"/>
      <c r="L407" s="1527"/>
      <c r="M407" s="1527"/>
      <c r="N407" s="1528"/>
      <c r="P407" s="12"/>
      <c r="Q407" s="12"/>
      <c r="R407" s="12"/>
      <c r="S407" s="12"/>
      <c r="T407" s="12"/>
      <c r="U407" s="12"/>
      <c r="V407" s="19"/>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row>
    <row r="408" spans="3:62" s="1" customFormat="1" ht="15" customHeight="1" x14ac:dyDescent="0.15">
      <c r="C408" s="1529"/>
      <c r="D408" s="1529"/>
      <c r="E408" s="1529"/>
      <c r="F408" s="1529"/>
      <c r="G408" s="1529"/>
      <c r="H408" s="1529"/>
      <c r="I408" s="1529"/>
      <c r="J408" s="1529"/>
      <c r="K408" s="1529"/>
      <c r="L408" s="1529"/>
      <c r="M408" s="1529"/>
      <c r="N408" s="1529"/>
      <c r="O408" s="1109"/>
      <c r="P408" s="1104"/>
      <c r="R408" s="12"/>
      <c r="S408" s="12"/>
      <c r="T408" s="12"/>
      <c r="U408" s="12"/>
      <c r="V408" s="19"/>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row>
    <row r="409" spans="3:62" ht="19.5" customHeight="1" x14ac:dyDescent="0.15">
      <c r="C409" s="1530"/>
      <c r="D409" s="1530"/>
      <c r="E409" s="1530"/>
      <c r="F409" s="1530"/>
      <c r="G409" s="1530"/>
      <c r="H409" s="1530"/>
      <c r="I409" s="1530"/>
      <c r="J409" s="1530"/>
      <c r="K409" s="1530"/>
      <c r="L409" s="1530"/>
      <c r="M409" s="1530"/>
      <c r="N409" s="1530"/>
      <c r="O409" s="1109"/>
      <c r="P409" s="1104"/>
      <c r="Q409" s="1"/>
      <c r="R409" s="12"/>
      <c r="S409" s="12"/>
    </row>
    <row r="410" spans="3:62" ht="40.5" customHeight="1" x14ac:dyDescent="0.15">
      <c r="C410" s="1"/>
      <c r="D410" s="1531" t="str">
        <f>IF($Q$2=2,"Réconciliation détaillée du compte "&amp;F412&amp;" - "&amp;C412,"Detailed Reconciliation of the Account "&amp;F412&amp;" - "&amp;C412)</f>
        <v>Detailed Reconciliation of the Account 2040 - Disponible ~ Available</v>
      </c>
      <c r="E410" s="1531"/>
      <c r="F410" s="1531"/>
      <c r="G410" s="1531"/>
      <c r="H410" s="1531"/>
      <c r="I410" s="1531"/>
      <c r="J410" s="1531"/>
      <c r="K410" s="1531"/>
      <c r="L410" s="1531"/>
      <c r="M410" s="1531"/>
      <c r="N410" s="1111"/>
      <c r="O410" s="1"/>
      <c r="P410" s="12"/>
      <c r="Q410" s="1"/>
      <c r="R410" s="12"/>
      <c r="S410" s="12"/>
    </row>
    <row r="411" spans="3:62" s="1" customFormat="1" ht="29.25" customHeight="1" x14ac:dyDescent="0.15">
      <c r="C411" s="1523" t="str">
        <f>IF($Q$2=2,"Réconciliation selon les livres comptables","Reconciliation as per BookKeeping")</f>
        <v>Reconciliation as per BookKeeping</v>
      </c>
      <c r="D411" s="1523"/>
      <c r="E411" s="1523"/>
      <c r="F411" s="1523"/>
      <c r="G411" s="1523"/>
      <c r="I411" s="1523" t="str">
        <f>IF($Q$2=2,"Réconciliation selon l'état de compte","Reconciliation as per Account Statement")</f>
        <v>Reconciliation as per Account Statement</v>
      </c>
      <c r="J411" s="1523"/>
      <c r="K411" s="1523"/>
      <c r="L411" s="1523"/>
      <c r="M411" s="1523"/>
      <c r="N411" s="1112" t="str">
        <f>F412</f>
        <v>2040</v>
      </c>
      <c r="P411" s="188"/>
      <c r="R411" s="188"/>
      <c r="S411" s="188"/>
      <c r="T411" s="12"/>
      <c r="U411" s="12"/>
      <c r="V411" s="19"/>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row>
    <row r="412" spans="3:62" s="1" customFormat="1" ht="25.5" customHeight="1" thickBot="1" x14ac:dyDescent="0.2">
      <c r="C412" s="1532" t="str">
        <f>'Set up ~ Config'!G79</f>
        <v>Disponible ~ Available</v>
      </c>
      <c r="D412" s="1532"/>
      <c r="E412" s="1532"/>
      <c r="F412" s="1113" t="str">
        <f>LEFT('Set up ~ Config'!F79,4)</f>
        <v>2040</v>
      </c>
      <c r="G412" s="82"/>
      <c r="I412" s="1534"/>
      <c r="J412" s="1534"/>
      <c r="K412" s="1534"/>
      <c r="L412" s="1534"/>
      <c r="M412" s="1534"/>
      <c r="N412" s="1534"/>
      <c r="P412" s="12"/>
      <c r="R412" s="12"/>
      <c r="S412" s="12"/>
      <c r="T412" s="188"/>
      <c r="U412" s="188"/>
      <c r="V412" s="502"/>
      <c r="W412" s="188"/>
      <c r="X412" s="188"/>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row>
    <row r="413" spans="3:62" s="1" customFormat="1" ht="25.5" customHeight="1" thickTop="1" thickBot="1" x14ac:dyDescent="0.2">
      <c r="C413" s="1535" t="str">
        <f>IF($Q$2=2,"Solde du compte au ","Account Balance on ")</f>
        <v xml:space="preserve">Account Balance on </v>
      </c>
      <c r="D413" s="1535"/>
      <c r="E413" s="1535"/>
      <c r="F413" s="1114" t="e">
        <f>DATEVALUE('Set up ~ Config'!$L$5)</f>
        <v>#VALUE!</v>
      </c>
      <c r="G413" s="1115">
        <f>'Set up ~ Config'!D79</f>
        <v>0</v>
      </c>
      <c r="I413" s="1116" t="str">
        <f>IF($Q$2=2,"Date (aaaa-mm-jj):","Date (yyyy-mm-dd):")</f>
        <v>Date (yyyy-mm-dd):</v>
      </c>
      <c r="J413" s="957"/>
      <c r="K413" s="1536" t="str">
        <f>IF($Q$2=2,"Solde :","Balance :")</f>
        <v>Balance :</v>
      </c>
      <c r="L413" s="1537"/>
      <c r="M413" s="1538"/>
      <c r="N413" s="942"/>
      <c r="P413" s="12"/>
      <c r="Q413" s="1540"/>
      <c r="R413" s="1540"/>
      <c r="S413" s="1540"/>
      <c r="T413" s="12"/>
      <c r="U413" s="12"/>
      <c r="V413" s="19"/>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row>
    <row r="414" spans="3:62" s="1" customFormat="1" ht="25.5" customHeight="1" thickTop="1" x14ac:dyDescent="0.15">
      <c r="C414" s="1539" t="str">
        <f>IF($Q$2=2," Plus: Accroissements (Jrnl des dépenses)","Plus: Increases (Expense Jrnl)")</f>
        <v>Plus: Increases (Expense Jrnl)</v>
      </c>
      <c r="D414" s="1539"/>
      <c r="E414" s="1539"/>
      <c r="F414" s="1539"/>
      <c r="G414" s="1115">
        <f>'Jrnl Exp ~ Dép'!G553</f>
        <v>0</v>
      </c>
      <c r="H414" s="1118"/>
      <c r="P414" s="12"/>
      <c r="Q414" s="12"/>
      <c r="R414" s="12"/>
      <c r="S414" s="12"/>
      <c r="T414" s="12"/>
      <c r="U414" s="1117"/>
      <c r="V414" s="19"/>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row>
    <row r="415" spans="3:62" s="1" customFormat="1" ht="25.5" customHeight="1" x14ac:dyDescent="0.15">
      <c r="C415" s="1539" t="str">
        <f>IF($Q$2=2,"Moins: Décroissements (Jrnl des revenus)","Less: Decreases (Revenue Jrnl)")</f>
        <v>Less: Decreases (Revenue Jrnl)</v>
      </c>
      <c r="D415" s="1539"/>
      <c r="E415" s="1539"/>
      <c r="F415" s="1539"/>
      <c r="G415" s="1115">
        <f>'Jrnl Rev'!G553</f>
        <v>0</v>
      </c>
      <c r="J415" s="188"/>
      <c r="K415" s="188"/>
      <c r="L415" s="188"/>
      <c r="M415" s="188"/>
      <c r="N415" s="1119"/>
      <c r="P415" s="12"/>
      <c r="Q415" s="12"/>
      <c r="R415" s="12"/>
      <c r="S415" s="12"/>
      <c r="T415" s="12"/>
      <c r="U415" s="12"/>
      <c r="V415" s="19"/>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row>
    <row r="416" spans="3:62" s="1" customFormat="1" ht="25.5" customHeight="1" x14ac:dyDescent="0.15">
      <c r="C416" s="1533"/>
      <c r="D416" s="1533"/>
      <c r="E416" s="1533"/>
      <c r="F416" s="1533"/>
      <c r="H416" s="1118"/>
      <c r="P416" s="12"/>
      <c r="Q416" s="12"/>
      <c r="R416" s="12"/>
      <c r="S416" s="12"/>
      <c r="T416" s="12"/>
      <c r="U416" s="12"/>
      <c r="V416" s="19"/>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row>
    <row r="417" spans="3:62" s="1" customFormat="1" ht="25.5" customHeight="1" thickBot="1" x14ac:dyDescent="0.2">
      <c r="C417" s="1524" t="str">
        <f>IF($Q$2=2,F412&amp;" Fonds disponible du compte",F412&amp;" Account Available Funds")</f>
        <v>2040 Account Available Funds</v>
      </c>
      <c r="D417" s="1524"/>
      <c r="E417" s="1524"/>
      <c r="F417" s="1524"/>
      <c r="G417" s="1120"/>
      <c r="I417" s="18"/>
      <c r="J417" s="12"/>
      <c r="K417" s="12"/>
      <c r="L417" s="12"/>
      <c r="M417" s="12"/>
      <c r="N417" s="1121"/>
      <c r="P417" s="12"/>
      <c r="Q417" s="12"/>
      <c r="R417" s="12"/>
      <c r="S417" s="12"/>
      <c r="T417" s="12"/>
      <c r="U417" s="12"/>
      <c r="V417" s="19"/>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row>
    <row r="418" spans="3:62" s="1" customFormat="1" ht="25.5" customHeight="1" thickBot="1" x14ac:dyDescent="0.2">
      <c r="C418" s="1525" t="str">
        <f>IF($Q$2=2,"Solde reporté à la ligne "&amp;F412&amp;" du Bilan - page 8","This balance fwrd'd to line "&amp;F412&amp;" of Balance Sheet -  page 8")</f>
        <v>This balance fwrd'd to line 2040 of Balance Sheet -  page 8</v>
      </c>
      <c r="D418" s="1525"/>
      <c r="E418" s="1525"/>
      <c r="F418" s="1525"/>
      <c r="G418" s="1122">
        <f>IF(AND(SUM(G413+G414-G415)&lt;0.001,SUM(G413+G414-G415)&gt;-0.001),0,SUM(G413+G414-G415))</f>
        <v>0</v>
      </c>
      <c r="H418" s="605"/>
      <c r="J418" s="82"/>
      <c r="K418" s="82"/>
      <c r="L418" s="82"/>
      <c r="M418" s="1123"/>
      <c r="N418" s="1122">
        <f>N413</f>
        <v>0</v>
      </c>
      <c r="P418" s="12"/>
      <c r="Q418" s="12"/>
      <c r="R418" s="12"/>
      <c r="S418" s="12"/>
      <c r="T418" s="12"/>
      <c r="U418" s="12"/>
      <c r="V418" s="19"/>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row>
    <row r="419" spans="3:62" s="1" customFormat="1" ht="9.75" customHeight="1" thickBot="1" x14ac:dyDescent="0.2">
      <c r="F419" s="189"/>
      <c r="J419" s="1118"/>
      <c r="M419" s="1124"/>
      <c r="P419" s="12"/>
      <c r="Q419" s="12"/>
      <c r="R419" s="12"/>
      <c r="S419" s="12"/>
      <c r="T419" s="12"/>
      <c r="U419" s="12"/>
      <c r="V419" s="19"/>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row>
    <row r="420" spans="3:62" s="1" customFormat="1" ht="25.5" customHeight="1" thickBot="1" x14ac:dyDescent="0.2">
      <c r="C420" s="1526"/>
      <c r="D420" s="1526"/>
      <c r="E420" s="1526"/>
      <c r="F420" s="1526"/>
      <c r="G420" s="1125">
        <f>IF(AND(G418-N418&lt;0.001,G418-N418&gt;-0.001),0,G418-N418)</f>
        <v>0</v>
      </c>
      <c r="H420" s="1527">
        <f>IF($Q$2=2,IF(G420=0,$T$8,$T$5),IF(G420=0,$T$9,$T$7))</f>
        <v>0</v>
      </c>
      <c r="I420" s="1527"/>
      <c r="J420" s="1527"/>
      <c r="K420" s="1527"/>
      <c r="L420" s="1527"/>
      <c r="M420" s="1527"/>
      <c r="N420" s="1528"/>
      <c r="P420" s="12"/>
      <c r="Q420" s="12"/>
      <c r="R420" s="12"/>
      <c r="S420" s="12"/>
      <c r="T420" s="12"/>
      <c r="U420" s="12"/>
      <c r="V420" s="19"/>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row>
    <row r="421" spans="3:62" s="1" customFormat="1" ht="15" customHeight="1" x14ac:dyDescent="0.15">
      <c r="C421" s="1529"/>
      <c r="D421" s="1529"/>
      <c r="E421" s="1529"/>
      <c r="F421" s="1529"/>
      <c r="G421" s="1529"/>
      <c r="H421" s="1529"/>
      <c r="I421" s="1529"/>
      <c r="J421" s="1529"/>
      <c r="K421" s="1529"/>
      <c r="L421" s="1529"/>
      <c r="M421" s="1529"/>
      <c r="N421" s="1529"/>
      <c r="O421" s="1109"/>
      <c r="P421" s="1104"/>
      <c r="R421" s="12"/>
      <c r="S421" s="12"/>
      <c r="T421" s="12"/>
      <c r="U421" s="12"/>
      <c r="V421" s="19"/>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row>
    <row r="422" spans="3:62" s="1" customFormat="1" ht="19.5" customHeight="1" x14ac:dyDescent="0.15">
      <c r="C422" s="1530"/>
      <c r="D422" s="1530"/>
      <c r="E422" s="1530"/>
      <c r="F422" s="1530"/>
      <c r="G422" s="1530"/>
      <c r="H422" s="1530"/>
      <c r="I422" s="1530"/>
      <c r="J422" s="1530"/>
      <c r="K422" s="1530"/>
      <c r="L422" s="1530"/>
      <c r="M422" s="1530"/>
      <c r="N422" s="1530"/>
      <c r="O422" s="1109"/>
      <c r="P422" s="1104"/>
      <c r="R422" s="12"/>
      <c r="S422" s="12"/>
      <c r="T422" s="12"/>
      <c r="U422" s="12"/>
      <c r="V422" s="19"/>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row>
    <row r="423" spans="3:62" ht="40.5" customHeight="1" x14ac:dyDescent="0.15">
      <c r="C423" s="1"/>
      <c r="D423" s="1531" t="str">
        <f>IF($Q$2=2,"Réconciliation détaillée du compte "&amp;F425&amp;" - "&amp;C425,"Detailed Reconciliation of the Account "&amp;F425&amp;" - "&amp;C425)</f>
        <v>Detailed Reconciliation of the Account 2050 - Disponible ~ Available</v>
      </c>
      <c r="E423" s="1531"/>
      <c r="F423" s="1531"/>
      <c r="G423" s="1531"/>
      <c r="H423" s="1531"/>
      <c r="I423" s="1531"/>
      <c r="J423" s="1531"/>
      <c r="K423" s="1531"/>
      <c r="L423" s="1531"/>
      <c r="M423" s="1531"/>
      <c r="N423" s="1111"/>
      <c r="O423" s="1"/>
      <c r="P423" s="12"/>
      <c r="Q423" s="1"/>
      <c r="R423" s="12"/>
      <c r="S423" s="12"/>
    </row>
    <row r="424" spans="3:62" ht="29.25" customHeight="1" x14ac:dyDescent="0.15">
      <c r="C424" s="1523" t="str">
        <f>IF($Q$2=2,"Réconciliation selon les livres comptables","Reconciliation as per BookKeeping")</f>
        <v>Reconciliation as per BookKeeping</v>
      </c>
      <c r="D424" s="1523"/>
      <c r="E424" s="1523"/>
      <c r="F424" s="1523"/>
      <c r="G424" s="1523"/>
      <c r="H424" s="1"/>
      <c r="I424" s="1523" t="str">
        <f>IF($Q$2=2,"Réconciliation selon l'état de compte","Reconciliation as per Account Statement")</f>
        <v>Reconciliation as per Account Statement</v>
      </c>
      <c r="J424" s="1523"/>
      <c r="K424" s="1523"/>
      <c r="L424" s="1523"/>
      <c r="M424" s="1523"/>
      <c r="N424" s="1112" t="str">
        <f>F425</f>
        <v>2050</v>
      </c>
      <c r="O424" s="1"/>
      <c r="P424" s="188"/>
      <c r="Q424" s="1"/>
      <c r="R424" s="188"/>
      <c r="S424" s="188"/>
    </row>
    <row r="425" spans="3:62" s="1" customFormat="1" ht="25.5" customHeight="1" thickBot="1" x14ac:dyDescent="0.2">
      <c r="C425" s="1532" t="str">
        <f>'Set up ~ Config'!G80</f>
        <v>Disponible ~ Available</v>
      </c>
      <c r="D425" s="1532"/>
      <c r="E425" s="1532"/>
      <c r="F425" s="1113" t="str">
        <f>LEFT('Set up ~ Config'!F80,4)</f>
        <v>2050</v>
      </c>
      <c r="G425" s="82"/>
      <c r="I425" s="1534"/>
      <c r="J425" s="1534"/>
      <c r="K425" s="1534"/>
      <c r="L425" s="1534"/>
      <c r="M425" s="1534"/>
      <c r="N425" s="1534"/>
      <c r="P425" s="12"/>
      <c r="R425" s="12"/>
      <c r="S425" s="12"/>
      <c r="T425" s="12"/>
      <c r="U425" s="12"/>
      <c r="V425" s="19"/>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row>
    <row r="426" spans="3:62" s="1" customFormat="1" ht="25.5" customHeight="1" thickTop="1" thickBot="1" x14ac:dyDescent="0.2">
      <c r="C426" s="1535" t="str">
        <f>IF($Q$2=2,"Solde du compte au ","Account Balance on ")</f>
        <v xml:space="preserve">Account Balance on </v>
      </c>
      <c r="D426" s="1535"/>
      <c r="E426" s="1535"/>
      <c r="F426" s="1114" t="e">
        <f>DATEVALUE('Set up ~ Config'!$L$5)</f>
        <v>#VALUE!</v>
      </c>
      <c r="G426" s="1115">
        <f>'Set up ~ Config'!D80</f>
        <v>0</v>
      </c>
      <c r="I426" s="1116" t="str">
        <f>IF($Q$2=2,"Date (aaaa-mm-jj):","Date (yyyy-mm-dd):")</f>
        <v>Date (yyyy-mm-dd):</v>
      </c>
      <c r="J426" s="957"/>
      <c r="K426" s="1536" t="str">
        <f>IF($Q$2=2,"Solde :","Balance :")</f>
        <v>Balance :</v>
      </c>
      <c r="L426" s="1537"/>
      <c r="M426" s="1538"/>
      <c r="N426" s="942"/>
      <c r="P426" s="12"/>
      <c r="Q426" s="1540"/>
      <c r="R426" s="1540"/>
      <c r="S426" s="1540"/>
      <c r="T426" s="188"/>
      <c r="U426" s="188"/>
      <c r="V426" s="502"/>
      <c r="W426" s="188"/>
      <c r="X426" s="188"/>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row>
    <row r="427" spans="3:62" s="1" customFormat="1" ht="25.5" customHeight="1" thickTop="1" x14ac:dyDescent="0.15">
      <c r="C427" s="1539" t="str">
        <f>IF($Q$2=2," Plus: Accroissements (Jrnl des dépenses)","Plus: Increases (Expense Jrnl)")</f>
        <v>Plus: Increases (Expense Jrnl)</v>
      </c>
      <c r="D427" s="1539"/>
      <c r="E427" s="1539"/>
      <c r="F427" s="1539"/>
      <c r="G427" s="1115">
        <f>'Jrnl Exp ~ Dép'!G554</f>
        <v>0</v>
      </c>
      <c r="H427" s="1118"/>
      <c r="P427" s="12"/>
      <c r="Q427" s="12"/>
      <c r="R427" s="12"/>
      <c r="S427" s="12"/>
      <c r="T427" s="12"/>
      <c r="U427" s="12"/>
      <c r="V427" s="19"/>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row>
    <row r="428" spans="3:62" s="1" customFormat="1" ht="25.5" customHeight="1" x14ac:dyDescent="0.15">
      <c r="C428" s="1539" t="str">
        <f>IF($Q$2=2,"Moins: Décroissements (Jrnl des revenus)","Less: Decreases (Revenue Jrnl)")</f>
        <v>Less: Decreases (Revenue Jrnl)</v>
      </c>
      <c r="D428" s="1539"/>
      <c r="E428" s="1539"/>
      <c r="F428" s="1539"/>
      <c r="G428" s="1115">
        <f>'Jrnl Rev'!G554</f>
        <v>0</v>
      </c>
      <c r="J428" s="188"/>
      <c r="K428" s="188"/>
      <c r="L428" s="188"/>
      <c r="M428" s="188"/>
      <c r="N428" s="1119"/>
      <c r="P428" s="12"/>
      <c r="Q428" s="12"/>
      <c r="R428" s="12"/>
      <c r="S428" s="12"/>
      <c r="T428" s="12"/>
      <c r="U428" s="1117"/>
      <c r="V428" s="19"/>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row>
    <row r="429" spans="3:62" s="1" customFormat="1" ht="25.5" customHeight="1" x14ac:dyDescent="0.15">
      <c r="C429" s="1533"/>
      <c r="D429" s="1533"/>
      <c r="E429" s="1533"/>
      <c r="F429" s="1533"/>
      <c r="H429" s="1118"/>
      <c r="P429" s="12"/>
      <c r="Q429" s="12"/>
      <c r="R429" s="12"/>
      <c r="S429" s="12"/>
      <c r="T429" s="12"/>
      <c r="U429" s="12"/>
      <c r="V429" s="19"/>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row>
    <row r="430" spans="3:62" s="1" customFormat="1" ht="25.5" customHeight="1" thickBot="1" x14ac:dyDescent="0.2">
      <c r="C430" s="1524" t="str">
        <f>IF($Q$2=2,F425&amp;" Fonds disponible du compte",F425&amp;" Account Available Funds")</f>
        <v>2050 Account Available Funds</v>
      </c>
      <c r="D430" s="1524"/>
      <c r="E430" s="1524"/>
      <c r="F430" s="1524"/>
      <c r="G430" s="1120"/>
      <c r="I430" s="18"/>
      <c r="J430" s="12"/>
      <c r="K430" s="12"/>
      <c r="L430" s="12"/>
      <c r="M430" s="12"/>
      <c r="N430" s="1121"/>
      <c r="P430" s="12"/>
      <c r="Q430" s="12"/>
      <c r="R430" s="12"/>
      <c r="S430" s="12"/>
      <c r="T430" s="12"/>
      <c r="U430" s="12"/>
      <c r="V430" s="19"/>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row>
    <row r="431" spans="3:62" s="1" customFormat="1" ht="25.5" customHeight="1" thickBot="1" x14ac:dyDescent="0.2">
      <c r="C431" s="1525" t="str">
        <f>IF($Q$2=2,"Solde reporté à la ligne "&amp;F425&amp;" du Bilan - page 8","This balance fwrd'd to line "&amp;F425&amp;" of Balance Sheet -  page 8")</f>
        <v>This balance fwrd'd to line 2050 of Balance Sheet -  page 8</v>
      </c>
      <c r="D431" s="1525"/>
      <c r="E431" s="1525"/>
      <c r="F431" s="1525"/>
      <c r="G431" s="1122">
        <f>IF(AND(SUM(G426+G427-G428)&lt;0.001,SUM(G426+G427-G428)&gt;-0.001),0,SUM(G426+G427-G428))</f>
        <v>0</v>
      </c>
      <c r="H431" s="605"/>
      <c r="J431" s="82"/>
      <c r="K431" s="82"/>
      <c r="L431" s="82"/>
      <c r="M431" s="1123"/>
      <c r="N431" s="1122">
        <f>N426</f>
        <v>0</v>
      </c>
      <c r="P431" s="12"/>
      <c r="Q431" s="12"/>
      <c r="R431" s="12"/>
      <c r="S431" s="12"/>
      <c r="T431" s="12"/>
      <c r="U431" s="12"/>
      <c r="V431" s="19"/>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row>
    <row r="432" spans="3:62" s="1" customFormat="1" ht="9.75" customHeight="1" thickBot="1" x14ac:dyDescent="0.2">
      <c r="F432" s="189"/>
      <c r="J432" s="1118"/>
      <c r="M432" s="1124"/>
      <c r="P432" s="12"/>
      <c r="Q432" s="12"/>
      <c r="R432" s="12"/>
      <c r="S432" s="12"/>
      <c r="T432" s="12"/>
      <c r="U432" s="12"/>
      <c r="V432" s="19"/>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row>
    <row r="433" spans="3:62" s="1" customFormat="1" ht="25.5" customHeight="1" thickBot="1" x14ac:dyDescent="0.2">
      <c r="C433" s="1526"/>
      <c r="D433" s="1526"/>
      <c r="E433" s="1526"/>
      <c r="F433" s="1526"/>
      <c r="G433" s="1125">
        <f>IF(AND(G431-N431&lt;0.001,G431-N431&gt;-0.001),0,G431-N431)</f>
        <v>0</v>
      </c>
      <c r="H433" s="1527">
        <f>IF($Q$2=2,IF(G433=0,$T$8,$T$5),IF(G433=0,$T$9,$T$7))</f>
        <v>0</v>
      </c>
      <c r="I433" s="1527"/>
      <c r="J433" s="1527"/>
      <c r="K433" s="1527"/>
      <c r="L433" s="1527"/>
      <c r="M433" s="1527"/>
      <c r="N433" s="1528"/>
      <c r="P433" s="12"/>
      <c r="Q433" s="12"/>
      <c r="R433" s="12"/>
      <c r="S433" s="12"/>
      <c r="T433" s="12"/>
      <c r="U433" s="12"/>
      <c r="V433" s="19"/>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row>
    <row r="434" spans="3:62" s="1" customFormat="1" ht="15" customHeight="1" x14ac:dyDescent="0.15">
      <c r="C434" s="1529"/>
      <c r="D434" s="1529"/>
      <c r="E434" s="1529"/>
      <c r="F434" s="1529"/>
      <c r="G434" s="1529"/>
      <c r="H434" s="1529"/>
      <c r="I434" s="1529"/>
      <c r="J434" s="1529"/>
      <c r="K434" s="1529"/>
      <c r="L434" s="1529"/>
      <c r="M434" s="1529"/>
      <c r="N434" s="1529"/>
      <c r="O434" s="1109"/>
      <c r="P434" s="1104"/>
      <c r="R434" s="12"/>
      <c r="S434" s="12"/>
      <c r="T434" s="12"/>
      <c r="U434" s="12"/>
      <c r="V434" s="19"/>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row>
    <row r="435" spans="3:62" s="1" customFormat="1" ht="19.5" customHeight="1" x14ac:dyDescent="0.15">
      <c r="C435" s="1530"/>
      <c r="D435" s="1530"/>
      <c r="E435" s="1530"/>
      <c r="F435" s="1530"/>
      <c r="G435" s="1530"/>
      <c r="H435" s="1530"/>
      <c r="I435" s="1530"/>
      <c r="J435" s="1530"/>
      <c r="K435" s="1530"/>
      <c r="L435" s="1530"/>
      <c r="M435" s="1530"/>
      <c r="N435" s="1530"/>
      <c r="O435" s="1109"/>
      <c r="P435" s="1104"/>
      <c r="R435" s="12"/>
      <c r="S435" s="12"/>
      <c r="T435" s="12"/>
      <c r="U435" s="12"/>
      <c r="V435" s="19"/>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row>
    <row r="436" spans="3:62" s="1" customFormat="1" ht="40.5" customHeight="1" x14ac:dyDescent="0.15">
      <c r="D436" s="1531" t="str">
        <f>IF($Q$2=2,"Réconciliation détaillée du compte "&amp;F438&amp;" - "&amp;C438,"Detailed Reconciliation of the Account "&amp;F438&amp;" - "&amp;C438)</f>
        <v>Detailed Reconciliation of the Account 2060 - Disponible ~ Available</v>
      </c>
      <c r="E436" s="1531"/>
      <c r="F436" s="1531"/>
      <c r="G436" s="1531"/>
      <c r="H436" s="1531"/>
      <c r="I436" s="1531"/>
      <c r="J436" s="1531"/>
      <c r="K436" s="1531"/>
      <c r="L436" s="1531"/>
      <c r="M436" s="1531"/>
      <c r="N436" s="1111"/>
      <c r="P436" s="12"/>
      <c r="R436" s="12"/>
      <c r="S436" s="12"/>
      <c r="T436" s="12"/>
      <c r="U436" s="12"/>
      <c r="V436" s="19"/>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row>
    <row r="437" spans="3:62" ht="29.25" customHeight="1" x14ac:dyDescent="0.15">
      <c r="C437" s="1523" t="str">
        <f>IF($Q$2=2,"Réconciliation selon les livres comptables","Reconciliation as per BookKeeping")</f>
        <v>Reconciliation as per BookKeeping</v>
      </c>
      <c r="D437" s="1523"/>
      <c r="E437" s="1523"/>
      <c r="F437" s="1523"/>
      <c r="G437" s="1523"/>
      <c r="H437" s="1"/>
      <c r="I437" s="1523" t="str">
        <f>IF($Q$2=2,"Réconciliation selon l'état de compte","Reconciliation as per Account Statement")</f>
        <v>Reconciliation as per Account Statement</v>
      </c>
      <c r="J437" s="1523"/>
      <c r="K437" s="1523"/>
      <c r="L437" s="1523"/>
      <c r="M437" s="1523"/>
      <c r="N437" s="1112" t="str">
        <f>F438</f>
        <v>2060</v>
      </c>
      <c r="O437" s="1"/>
      <c r="P437" s="188"/>
      <c r="Q437" s="1"/>
      <c r="R437" s="188"/>
      <c r="S437" s="188"/>
    </row>
    <row r="438" spans="3:62" ht="25.5" customHeight="1" thickBot="1" x14ac:dyDescent="0.2">
      <c r="C438" s="1532" t="str">
        <f>'Set up ~ Config'!G81</f>
        <v>Disponible ~ Available</v>
      </c>
      <c r="D438" s="1532"/>
      <c r="E438" s="1532"/>
      <c r="F438" s="1113" t="str">
        <f>LEFT('Set up ~ Config'!F81,4)</f>
        <v>2060</v>
      </c>
      <c r="G438" s="82"/>
      <c r="H438" s="1"/>
      <c r="I438" s="1534"/>
      <c r="J438" s="1534"/>
      <c r="K438" s="1534"/>
      <c r="L438" s="1534"/>
      <c r="M438" s="1534"/>
      <c r="N438" s="1534"/>
      <c r="O438" s="1"/>
      <c r="P438" s="12"/>
      <c r="Q438" s="1"/>
      <c r="R438" s="12"/>
      <c r="S438" s="12"/>
    </row>
    <row r="439" spans="3:62" s="1" customFormat="1" ht="25.5" customHeight="1" thickTop="1" thickBot="1" x14ac:dyDescent="0.2">
      <c r="C439" s="1535" t="str">
        <f>IF($Q$2=2,"Solde du compte au ","Account Balance on ")</f>
        <v xml:space="preserve">Account Balance on </v>
      </c>
      <c r="D439" s="1535"/>
      <c r="E439" s="1535"/>
      <c r="F439" s="1114" t="e">
        <f>DATEVALUE('Set up ~ Config'!$L$5)</f>
        <v>#VALUE!</v>
      </c>
      <c r="G439" s="1115">
        <f>'Set up ~ Config'!D81</f>
        <v>0</v>
      </c>
      <c r="I439" s="1116" t="str">
        <f>IF($Q$2=2,"Date (aaaa-mm-jj):","Date (yyyy-mm-dd):")</f>
        <v>Date (yyyy-mm-dd):</v>
      </c>
      <c r="J439" s="957"/>
      <c r="K439" s="1536" t="str">
        <f>IF($Q$2=2,"Solde :","Balance :")</f>
        <v>Balance :</v>
      </c>
      <c r="L439" s="1537"/>
      <c r="M439" s="1538"/>
      <c r="N439" s="942"/>
      <c r="P439" s="12"/>
      <c r="Q439" s="1540"/>
      <c r="R439" s="1540"/>
      <c r="S439" s="1540"/>
      <c r="T439" s="12"/>
      <c r="U439" s="12"/>
      <c r="V439" s="19"/>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row>
    <row r="440" spans="3:62" s="1" customFormat="1" ht="25.5" customHeight="1" thickTop="1" x14ac:dyDescent="0.15">
      <c r="C440" s="1539" t="str">
        <f>IF($Q$2=2," Plus: Accroissements (Jrnl des dépenses)","Plus: Increases (Expense Jrnl)")</f>
        <v>Plus: Increases (Expense Jrnl)</v>
      </c>
      <c r="D440" s="1539"/>
      <c r="E440" s="1539"/>
      <c r="F440" s="1539"/>
      <c r="G440" s="1115">
        <f>'Jrnl Exp ~ Dép'!G555</f>
        <v>0</v>
      </c>
      <c r="H440" s="1118"/>
      <c r="P440" s="12"/>
      <c r="Q440" s="12"/>
      <c r="R440" s="12"/>
      <c r="S440" s="12"/>
      <c r="T440" s="188"/>
      <c r="U440" s="188"/>
      <c r="V440" s="502"/>
      <c r="W440" s="188"/>
      <c r="X440" s="188"/>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row>
    <row r="441" spans="3:62" s="1" customFormat="1" ht="25.5" customHeight="1" x14ac:dyDescent="0.15">
      <c r="C441" s="1539" t="str">
        <f>IF($Q$2=2,"Moins: Décroissements (Jrnl des revenus)","Less: Decreases (Revenue Jrnl)")</f>
        <v>Less: Decreases (Revenue Jrnl)</v>
      </c>
      <c r="D441" s="1539"/>
      <c r="E441" s="1539"/>
      <c r="F441" s="1539"/>
      <c r="G441" s="1115">
        <f>'Jrnl Rev'!G555</f>
        <v>0</v>
      </c>
      <c r="J441" s="188"/>
      <c r="K441" s="188"/>
      <c r="L441" s="188"/>
      <c r="M441" s="188"/>
      <c r="N441" s="1119"/>
      <c r="P441" s="12"/>
      <c r="Q441" s="12"/>
      <c r="R441" s="12"/>
      <c r="S441" s="12"/>
      <c r="T441" s="12"/>
      <c r="U441" s="12"/>
      <c r="V441" s="19"/>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row>
    <row r="442" spans="3:62" s="1" customFormat="1" ht="25.5" customHeight="1" x14ac:dyDescent="0.15">
      <c r="C442" s="1533"/>
      <c r="D442" s="1533"/>
      <c r="E442" s="1533"/>
      <c r="F442" s="1533"/>
      <c r="H442" s="1118"/>
      <c r="P442" s="12"/>
      <c r="Q442" s="12"/>
      <c r="R442" s="12"/>
      <c r="S442" s="12"/>
      <c r="T442" s="12"/>
      <c r="U442" s="1117"/>
      <c r="V442" s="19"/>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row>
    <row r="443" spans="3:62" s="1" customFormat="1" ht="25.5" customHeight="1" thickBot="1" x14ac:dyDescent="0.2">
      <c r="C443" s="1524" t="str">
        <f>IF($Q$2=2,F438&amp;" Fonds disponible du compte",F438&amp;" Account Available Funds")</f>
        <v>2060 Account Available Funds</v>
      </c>
      <c r="D443" s="1524"/>
      <c r="E443" s="1524"/>
      <c r="F443" s="1524"/>
      <c r="G443" s="1120"/>
      <c r="I443" s="18"/>
      <c r="J443" s="12"/>
      <c r="K443" s="12"/>
      <c r="L443" s="12"/>
      <c r="M443" s="12"/>
      <c r="N443" s="1121"/>
      <c r="P443" s="12"/>
      <c r="Q443" s="12"/>
      <c r="R443" s="12"/>
      <c r="S443" s="12"/>
      <c r="T443" s="12"/>
      <c r="U443" s="12"/>
      <c r="V443" s="19"/>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row>
    <row r="444" spans="3:62" s="1" customFormat="1" ht="25.5" customHeight="1" thickBot="1" x14ac:dyDescent="0.2">
      <c r="C444" s="1525" t="str">
        <f>IF($Q$2=2,"Solde reporté à la ligne "&amp;F438&amp;" du Bilan - page 8","This balance fwrd'd to line "&amp;F438&amp;" of Balance Sheet -  page 8")</f>
        <v>This balance fwrd'd to line 2060 of Balance Sheet -  page 8</v>
      </c>
      <c r="D444" s="1525"/>
      <c r="E444" s="1525"/>
      <c r="F444" s="1525"/>
      <c r="G444" s="1122">
        <f>IF(AND(SUM(G439+G440-G441)&lt;0.001,SUM(G439+G440-G441)&gt;-0.001),0,SUM(G439+G440-G441))</f>
        <v>0</v>
      </c>
      <c r="H444" s="605"/>
      <c r="J444" s="82"/>
      <c r="K444" s="82"/>
      <c r="L444" s="82"/>
      <c r="M444" s="1123"/>
      <c r="N444" s="1122">
        <f>N439</f>
        <v>0</v>
      </c>
      <c r="P444" s="12"/>
      <c r="Q444" s="12"/>
      <c r="R444" s="12"/>
      <c r="S444" s="12"/>
      <c r="T444" s="12"/>
      <c r="U444" s="12"/>
      <c r="V444" s="19"/>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row>
    <row r="445" spans="3:62" s="1" customFormat="1" ht="9.75" customHeight="1" thickBot="1" x14ac:dyDescent="0.2">
      <c r="F445" s="189"/>
      <c r="J445" s="1118"/>
      <c r="M445" s="1124"/>
      <c r="P445" s="12"/>
      <c r="Q445" s="12"/>
      <c r="R445" s="12"/>
      <c r="S445" s="12"/>
      <c r="T445" s="12"/>
      <c r="U445" s="12"/>
      <c r="V445" s="19"/>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row>
    <row r="446" spans="3:62" s="1" customFormat="1" ht="25.5" customHeight="1" thickBot="1" x14ac:dyDescent="0.2">
      <c r="C446" s="1526"/>
      <c r="D446" s="1526"/>
      <c r="E446" s="1526"/>
      <c r="F446" s="1526"/>
      <c r="G446" s="1125">
        <f>IF(AND(G444-N444&lt;0.001,G444-N444&gt;-0.001),0,G444-N444)</f>
        <v>0</v>
      </c>
      <c r="H446" s="1527">
        <f>IF($Q$2=2,IF(G446=0,$T$8,$T$5),IF(G446=0,$T$9,$T$7))</f>
        <v>0</v>
      </c>
      <c r="I446" s="1527"/>
      <c r="J446" s="1527"/>
      <c r="K446" s="1527"/>
      <c r="L446" s="1527"/>
      <c r="M446" s="1527"/>
      <c r="N446" s="1528"/>
      <c r="P446" s="12"/>
      <c r="Q446" s="12"/>
      <c r="R446" s="12"/>
      <c r="S446" s="12"/>
      <c r="T446" s="12"/>
      <c r="U446" s="12"/>
      <c r="V446" s="19"/>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row>
    <row r="447" spans="3:62" s="1" customFormat="1" ht="15" customHeight="1" x14ac:dyDescent="0.15">
      <c r="C447" s="1529"/>
      <c r="D447" s="1529"/>
      <c r="E447" s="1529"/>
      <c r="F447" s="1529"/>
      <c r="G447" s="1529"/>
      <c r="H447" s="1529"/>
      <c r="I447" s="1529"/>
      <c r="J447" s="1529"/>
      <c r="K447" s="1529"/>
      <c r="L447" s="1529"/>
      <c r="M447" s="1529"/>
      <c r="N447" s="1529"/>
      <c r="O447" s="1109"/>
      <c r="P447" s="1104"/>
      <c r="R447" s="12"/>
      <c r="S447" s="12"/>
      <c r="T447" s="12"/>
      <c r="U447" s="12"/>
      <c r="V447" s="19"/>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row>
    <row r="448" spans="3:62" s="1" customFormat="1" ht="19.5" customHeight="1" x14ac:dyDescent="0.15">
      <c r="C448" s="1530"/>
      <c r="D448" s="1530"/>
      <c r="E448" s="1530"/>
      <c r="F448" s="1530"/>
      <c r="G448" s="1530"/>
      <c r="H448" s="1530"/>
      <c r="I448" s="1530"/>
      <c r="J448" s="1530"/>
      <c r="K448" s="1530"/>
      <c r="L448" s="1530"/>
      <c r="M448" s="1530"/>
      <c r="N448" s="1530"/>
      <c r="O448" s="1109"/>
      <c r="P448" s="1104"/>
      <c r="R448" s="12"/>
      <c r="S448" s="12"/>
      <c r="T448" s="12"/>
      <c r="U448" s="12"/>
      <c r="V448" s="19"/>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row>
    <row r="449" spans="3:62" s="1" customFormat="1" ht="40.5" customHeight="1" x14ac:dyDescent="0.15">
      <c r="D449" s="1531" t="str">
        <f>IF($Q$2=2,"Réconciliation détaillée du compte "&amp;F451&amp;" - "&amp;C451,"Detailed Reconciliation of the Account "&amp;F451&amp;" - "&amp;C451)</f>
        <v>Detailed Reconciliation of the Account 2070 - Disponible ~ Available</v>
      </c>
      <c r="E449" s="1531"/>
      <c r="F449" s="1531"/>
      <c r="G449" s="1531"/>
      <c r="H449" s="1531"/>
      <c r="I449" s="1531"/>
      <c r="J449" s="1531"/>
      <c r="K449" s="1531"/>
      <c r="L449" s="1531"/>
      <c r="M449" s="1531"/>
      <c r="N449" s="1111"/>
      <c r="P449" s="12"/>
      <c r="R449" s="12"/>
      <c r="S449" s="12"/>
      <c r="T449" s="12"/>
      <c r="U449" s="12"/>
      <c r="V449" s="19"/>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row>
    <row r="450" spans="3:62" s="1" customFormat="1" ht="29.25" customHeight="1" x14ac:dyDescent="0.15">
      <c r="C450" s="1523" t="str">
        <f>IF($Q$2=2,"Réconciliation selon les livres comptables","Reconciliation as per BookKeeping")</f>
        <v>Reconciliation as per BookKeeping</v>
      </c>
      <c r="D450" s="1523"/>
      <c r="E450" s="1523"/>
      <c r="F450" s="1523"/>
      <c r="G450" s="1523"/>
      <c r="I450" s="1523" t="str">
        <f>IF($Q$2=2,"Réconciliation selon l'état de compte","Reconciliation as per Account Statement")</f>
        <v>Reconciliation as per Account Statement</v>
      </c>
      <c r="J450" s="1523"/>
      <c r="K450" s="1523"/>
      <c r="L450" s="1523"/>
      <c r="M450" s="1523"/>
      <c r="N450" s="1112" t="str">
        <f>F451</f>
        <v>2070</v>
      </c>
      <c r="P450" s="188"/>
      <c r="R450" s="188"/>
      <c r="S450" s="188"/>
      <c r="T450" s="12"/>
      <c r="U450" s="12"/>
      <c r="V450" s="19"/>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row>
    <row r="451" spans="3:62" ht="25.5" customHeight="1" thickBot="1" x14ac:dyDescent="0.2">
      <c r="C451" s="1532" t="str">
        <f>'Set up ~ Config'!G82</f>
        <v>Disponible ~ Available</v>
      </c>
      <c r="D451" s="1532"/>
      <c r="E451" s="1532"/>
      <c r="F451" s="1113" t="str">
        <f>LEFT('Set up ~ Config'!F82,4)</f>
        <v>2070</v>
      </c>
      <c r="G451" s="82"/>
      <c r="H451" s="1"/>
      <c r="I451" s="1534"/>
      <c r="J451" s="1534"/>
      <c r="K451" s="1534"/>
      <c r="L451" s="1534"/>
      <c r="M451" s="1534"/>
      <c r="N451" s="1534"/>
      <c r="O451" s="1"/>
      <c r="P451" s="12"/>
      <c r="Q451" s="1"/>
      <c r="R451" s="12"/>
      <c r="S451" s="12"/>
    </row>
    <row r="452" spans="3:62" ht="25.5" customHeight="1" thickTop="1" thickBot="1" x14ac:dyDescent="0.2">
      <c r="C452" s="1535" t="str">
        <f>IF($Q$2=2,"Solde du compte au ","Account Balance on ")</f>
        <v xml:space="preserve">Account Balance on </v>
      </c>
      <c r="D452" s="1535"/>
      <c r="E452" s="1535"/>
      <c r="F452" s="1114" t="e">
        <f>DATEVALUE('Set up ~ Config'!$L$5)</f>
        <v>#VALUE!</v>
      </c>
      <c r="G452" s="1115">
        <f>'Set up ~ Config'!D82</f>
        <v>0</v>
      </c>
      <c r="H452" s="1"/>
      <c r="I452" s="1116" t="str">
        <f>IF($Q$2=2,"Date (aaaa-mm-jj):","Date (yyyy-mm-dd):")</f>
        <v>Date (yyyy-mm-dd):</v>
      </c>
      <c r="J452" s="957"/>
      <c r="K452" s="1536" t="str">
        <f>IF($Q$2=2,"Solde :","Balance :")</f>
        <v>Balance :</v>
      </c>
      <c r="L452" s="1537"/>
      <c r="M452" s="1538"/>
      <c r="N452" s="942"/>
      <c r="O452" s="1"/>
      <c r="P452" s="12"/>
      <c r="Q452" s="1540"/>
      <c r="R452" s="1540"/>
      <c r="S452" s="1540"/>
    </row>
    <row r="453" spans="3:62" s="1" customFormat="1" ht="25.5" customHeight="1" thickTop="1" x14ac:dyDescent="0.15">
      <c r="C453" s="1539" t="str">
        <f>IF($Q$2=2," Plus: Accroissements (Jrnl des dépenses)","Plus: Increases (Expense Jrnl)")</f>
        <v>Plus: Increases (Expense Jrnl)</v>
      </c>
      <c r="D453" s="1539"/>
      <c r="E453" s="1539"/>
      <c r="F453" s="1539"/>
      <c r="G453" s="1115">
        <f>'Jrnl Exp ~ Dép'!G556</f>
        <v>0</v>
      </c>
      <c r="H453" s="1118"/>
      <c r="P453" s="12"/>
      <c r="Q453" s="12"/>
      <c r="R453" s="12"/>
      <c r="S453" s="12"/>
      <c r="T453" s="12"/>
      <c r="U453" s="12"/>
      <c r="V453" s="19"/>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row>
    <row r="454" spans="3:62" s="1" customFormat="1" ht="25.5" customHeight="1" x14ac:dyDescent="0.15">
      <c r="C454" s="1539" t="str">
        <f>IF($Q$2=2,"Moins: Décroissements (Jrnl des revenus)","Less: Decreases (Revenue Jrnl)")</f>
        <v>Less: Decreases (Revenue Jrnl)</v>
      </c>
      <c r="D454" s="1539"/>
      <c r="E454" s="1539"/>
      <c r="F454" s="1539"/>
      <c r="G454" s="1115">
        <f>'Jrnl Rev'!G556</f>
        <v>0</v>
      </c>
      <c r="J454" s="188"/>
      <c r="K454" s="188"/>
      <c r="L454" s="188"/>
      <c r="M454" s="188"/>
      <c r="N454" s="1119"/>
      <c r="P454" s="12"/>
      <c r="Q454" s="12"/>
      <c r="R454" s="12"/>
      <c r="S454" s="12"/>
      <c r="T454" s="188"/>
      <c r="U454" s="188"/>
      <c r="V454" s="502"/>
      <c r="W454" s="188"/>
      <c r="X454" s="188"/>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row>
    <row r="455" spans="3:62" s="1" customFormat="1" ht="25.5" customHeight="1" x14ac:dyDescent="0.15">
      <c r="C455" s="1533"/>
      <c r="D455" s="1533"/>
      <c r="E455" s="1533"/>
      <c r="F455" s="1533"/>
      <c r="H455" s="1118"/>
      <c r="P455" s="12"/>
      <c r="Q455" s="12"/>
      <c r="R455" s="12"/>
      <c r="S455" s="12"/>
      <c r="T455" s="12"/>
      <c r="U455" s="12"/>
      <c r="V455" s="19"/>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row>
    <row r="456" spans="3:62" s="1" customFormat="1" ht="25.5" customHeight="1" thickBot="1" x14ac:dyDescent="0.2">
      <c r="C456" s="1524" t="str">
        <f>IF($Q$2=2,F451&amp;" Fonds disponible du compte",F451&amp;" Account Available Funds")</f>
        <v>2070 Account Available Funds</v>
      </c>
      <c r="D456" s="1524"/>
      <c r="E456" s="1524"/>
      <c r="F456" s="1524"/>
      <c r="G456" s="1120"/>
      <c r="I456" s="18"/>
      <c r="J456" s="12"/>
      <c r="K456" s="12"/>
      <c r="L456" s="12"/>
      <c r="M456" s="12"/>
      <c r="N456" s="1121"/>
      <c r="P456" s="12"/>
      <c r="Q456" s="12"/>
      <c r="R456" s="12"/>
      <c r="S456" s="12"/>
      <c r="T456" s="12"/>
      <c r="U456" s="1117"/>
      <c r="V456" s="19"/>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row>
    <row r="457" spans="3:62" s="1" customFormat="1" ht="25.5" customHeight="1" thickBot="1" x14ac:dyDescent="0.2">
      <c r="C457" s="1525" t="str">
        <f>IF($Q$2=2,"Solde reporté à la ligne "&amp;F451&amp;" du Bilan - page 8","This balance fwrd'd to line "&amp;F451&amp;" of Balance Sheet -  page 8")</f>
        <v>This balance fwrd'd to line 2070 of Balance Sheet -  page 8</v>
      </c>
      <c r="D457" s="1525"/>
      <c r="E457" s="1525"/>
      <c r="F457" s="1525"/>
      <c r="G457" s="1122">
        <f>IF(AND(SUM(G452+G453-G454)&lt;0.001,SUM(G452+G453-G454)&gt;-0.001),0,SUM(G452+G453-G454))</f>
        <v>0</v>
      </c>
      <c r="H457" s="605"/>
      <c r="J457" s="82"/>
      <c r="K457" s="82"/>
      <c r="L457" s="82"/>
      <c r="M457" s="1123"/>
      <c r="N457" s="1122">
        <f>N452</f>
        <v>0</v>
      </c>
      <c r="P457" s="12"/>
      <c r="Q457" s="12"/>
      <c r="R457" s="12"/>
      <c r="S457" s="12"/>
      <c r="T457" s="12"/>
      <c r="U457" s="12"/>
      <c r="V457" s="19"/>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row>
    <row r="458" spans="3:62" s="1" customFormat="1" ht="9.75" customHeight="1" thickBot="1" x14ac:dyDescent="0.2">
      <c r="F458" s="189"/>
      <c r="J458" s="1118"/>
      <c r="M458" s="1124"/>
      <c r="P458" s="12"/>
      <c r="Q458" s="12"/>
      <c r="R458" s="12"/>
      <c r="S458" s="12"/>
      <c r="T458" s="12"/>
      <c r="U458" s="12"/>
      <c r="V458" s="19"/>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row>
    <row r="459" spans="3:62" s="1" customFormat="1" ht="25.5" customHeight="1" thickBot="1" x14ac:dyDescent="0.2">
      <c r="C459" s="1526"/>
      <c r="D459" s="1526"/>
      <c r="E459" s="1526"/>
      <c r="F459" s="1526"/>
      <c r="G459" s="1125">
        <f>IF(AND(G457-N457&lt;0.001,G457-N457&gt;-0.001),0,G457-N457)</f>
        <v>0</v>
      </c>
      <c r="H459" s="1527">
        <f>IF($Q$2=2,IF(G459=0,$T$8,$T$5),IF(G459=0,$T$9,$T$7))</f>
        <v>0</v>
      </c>
      <c r="I459" s="1527"/>
      <c r="J459" s="1527"/>
      <c r="K459" s="1527"/>
      <c r="L459" s="1527"/>
      <c r="M459" s="1527"/>
      <c r="N459" s="1528"/>
      <c r="P459" s="12"/>
      <c r="Q459" s="12"/>
      <c r="R459" s="12"/>
      <c r="S459" s="12"/>
      <c r="T459" s="12"/>
      <c r="U459" s="12"/>
      <c r="V459" s="19"/>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row>
    <row r="460" spans="3:62" s="1" customFormat="1" ht="15" customHeight="1" x14ac:dyDescent="0.15">
      <c r="C460" s="1529"/>
      <c r="D460" s="1529"/>
      <c r="E460" s="1529"/>
      <c r="F460" s="1529"/>
      <c r="G460" s="1529"/>
      <c r="H460" s="1529"/>
      <c r="I460" s="1529"/>
      <c r="J460" s="1529"/>
      <c r="K460" s="1529"/>
      <c r="L460" s="1529"/>
      <c r="M460" s="1529"/>
      <c r="N460" s="1529"/>
      <c r="O460" s="1109"/>
      <c r="P460" s="1104"/>
      <c r="R460" s="12"/>
      <c r="S460" s="12"/>
      <c r="T460" s="12"/>
      <c r="U460" s="12"/>
      <c r="V460" s="19"/>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row>
    <row r="461" spans="3:62" s="1" customFormat="1" ht="19.5" customHeight="1" x14ac:dyDescent="0.15">
      <c r="C461" s="1530"/>
      <c r="D461" s="1530"/>
      <c r="E461" s="1530"/>
      <c r="F461" s="1530"/>
      <c r="G461" s="1530"/>
      <c r="H461" s="1530"/>
      <c r="I461" s="1530"/>
      <c r="J461" s="1530"/>
      <c r="K461" s="1530"/>
      <c r="L461" s="1530"/>
      <c r="M461" s="1530"/>
      <c r="N461" s="1530"/>
      <c r="O461" s="1109"/>
      <c r="P461" s="1104"/>
      <c r="R461" s="12"/>
      <c r="S461" s="12"/>
      <c r="T461" s="12"/>
      <c r="U461" s="12"/>
      <c r="V461" s="19"/>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row>
    <row r="462" spans="3:62" s="1" customFormat="1" ht="40.5" customHeight="1" x14ac:dyDescent="0.15">
      <c r="D462" s="1531" t="str">
        <f>IF($Q$2=2,"Réconciliation détaillée du compte "&amp;F464&amp;" - "&amp;C464,"Detailed Reconciliation of the Account "&amp;F464&amp;" - "&amp;C464)</f>
        <v>Detailed Reconciliation of the Account 2080 - Disponible ~ Available</v>
      </c>
      <c r="E462" s="1531"/>
      <c r="F462" s="1531"/>
      <c r="G462" s="1531"/>
      <c r="H462" s="1531"/>
      <c r="I462" s="1531"/>
      <c r="J462" s="1531"/>
      <c r="K462" s="1531"/>
      <c r="L462" s="1531"/>
      <c r="M462" s="1531"/>
      <c r="N462" s="1111"/>
      <c r="P462" s="12"/>
      <c r="R462" s="12"/>
      <c r="S462" s="12"/>
      <c r="T462" s="12"/>
      <c r="U462" s="12"/>
      <c r="V462" s="19"/>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row>
    <row r="463" spans="3:62" s="1" customFormat="1" ht="29.25" customHeight="1" x14ac:dyDescent="0.15">
      <c r="C463" s="1523" t="str">
        <f>IF($Q$2=2,"Réconciliation selon les livres comptables","Reconciliation as per BookKeeping")</f>
        <v>Reconciliation as per BookKeeping</v>
      </c>
      <c r="D463" s="1523"/>
      <c r="E463" s="1523"/>
      <c r="F463" s="1523"/>
      <c r="G463" s="1523"/>
      <c r="I463" s="1523" t="str">
        <f>IF($Q$2=2,"Réconciliation selon l'état de compte","Reconciliation as per Account Statement")</f>
        <v>Reconciliation as per Account Statement</v>
      </c>
      <c r="J463" s="1523"/>
      <c r="K463" s="1523"/>
      <c r="L463" s="1523"/>
      <c r="M463" s="1523"/>
      <c r="N463" s="1112" t="str">
        <f>F464</f>
        <v>2080</v>
      </c>
      <c r="P463" s="188"/>
      <c r="R463" s="188"/>
      <c r="S463" s="188"/>
      <c r="T463" s="12"/>
      <c r="U463" s="12"/>
      <c r="V463" s="19"/>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row>
    <row r="464" spans="3:62" s="1" customFormat="1" ht="25.5" customHeight="1" thickBot="1" x14ac:dyDescent="0.2">
      <c r="C464" s="1532" t="str">
        <f>'Set up ~ Config'!G83</f>
        <v>Disponible ~ Available</v>
      </c>
      <c r="D464" s="1532"/>
      <c r="E464" s="1532"/>
      <c r="F464" s="1113" t="str">
        <f>LEFT('Set up ~ Config'!F83,4)</f>
        <v>2080</v>
      </c>
      <c r="G464" s="82"/>
      <c r="I464" s="1534"/>
      <c r="J464" s="1534"/>
      <c r="K464" s="1534"/>
      <c r="L464" s="1534"/>
      <c r="M464" s="1534"/>
      <c r="N464" s="1534"/>
      <c r="P464" s="12"/>
      <c r="R464" s="12"/>
      <c r="S464" s="12"/>
      <c r="T464" s="12"/>
      <c r="U464" s="12"/>
      <c r="V464" s="19"/>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row>
    <row r="465" spans="3:62" ht="25.5" customHeight="1" thickTop="1" thickBot="1" x14ac:dyDescent="0.2">
      <c r="C465" s="1535" t="str">
        <f>IF($Q$2=2,"Solde du compte au ","Account Balance on ")</f>
        <v xml:space="preserve">Account Balance on </v>
      </c>
      <c r="D465" s="1535"/>
      <c r="E465" s="1535"/>
      <c r="F465" s="1114" t="e">
        <f>DATEVALUE('Set up ~ Config'!$L$5)</f>
        <v>#VALUE!</v>
      </c>
      <c r="G465" s="1115">
        <f>'Set up ~ Config'!D83</f>
        <v>0</v>
      </c>
      <c r="H465" s="1"/>
      <c r="I465" s="1116" t="str">
        <f>IF($Q$2=2,"Date (aaaa-mm-jj):","Date (yyyy-mm-dd):")</f>
        <v>Date (yyyy-mm-dd):</v>
      </c>
      <c r="J465" s="957"/>
      <c r="K465" s="1536" t="str">
        <f>IF($Q$2=2,"Solde :","Balance :")</f>
        <v>Balance :</v>
      </c>
      <c r="L465" s="1537"/>
      <c r="M465" s="1538"/>
      <c r="N465" s="942"/>
      <c r="O465" s="1"/>
      <c r="P465" s="12"/>
      <c r="Q465" s="1540"/>
      <c r="R465" s="1540"/>
      <c r="S465" s="1540"/>
    </row>
    <row r="466" spans="3:62" ht="25.5" customHeight="1" thickTop="1" x14ac:dyDescent="0.15">
      <c r="C466" s="1539" t="str">
        <f>IF($Q$2=2," Plus: Accroissements (Jrnl des dépenses)","Plus: Increases (Expense Jrnl)")</f>
        <v>Plus: Increases (Expense Jrnl)</v>
      </c>
      <c r="D466" s="1539"/>
      <c r="E466" s="1539"/>
      <c r="F466" s="1539"/>
      <c r="G466" s="1115">
        <f>'Jrnl Exp ~ Dép'!G557</f>
        <v>0</v>
      </c>
      <c r="H466" s="1118"/>
      <c r="I466" s="1"/>
      <c r="J466" s="1"/>
      <c r="K466" s="1"/>
      <c r="L466" s="1"/>
      <c r="M466" s="1"/>
      <c r="N466" s="1"/>
      <c r="O466" s="1"/>
      <c r="P466" s="12"/>
      <c r="Q466" s="12"/>
      <c r="R466" s="12"/>
      <c r="S466" s="12"/>
    </row>
    <row r="467" spans="3:62" s="1" customFormat="1" ht="25.5" customHeight="1" x14ac:dyDescent="0.15">
      <c r="C467" s="1539" t="str">
        <f>IF($Q$2=2,"Moins: Décroissements (Jrnl des revenus)","Less: Decreases (Revenue Jrnl)")</f>
        <v>Less: Decreases (Revenue Jrnl)</v>
      </c>
      <c r="D467" s="1539"/>
      <c r="E467" s="1539"/>
      <c r="F467" s="1539"/>
      <c r="G467" s="1115">
        <f>'Jrnl Rev'!G557</f>
        <v>0</v>
      </c>
      <c r="J467" s="188"/>
      <c r="K467" s="188"/>
      <c r="L467" s="188"/>
      <c r="M467" s="188"/>
      <c r="N467" s="1119"/>
      <c r="P467" s="12"/>
      <c r="Q467" s="12"/>
      <c r="R467" s="12"/>
      <c r="S467" s="12"/>
      <c r="T467" s="12"/>
      <c r="U467" s="12"/>
      <c r="V467" s="19"/>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row>
    <row r="468" spans="3:62" s="1" customFormat="1" ht="25.5" customHeight="1" x14ac:dyDescent="0.15">
      <c r="C468" s="1533"/>
      <c r="D468" s="1533"/>
      <c r="E468" s="1533"/>
      <c r="F468" s="1533"/>
      <c r="H468" s="1118"/>
      <c r="P468" s="12"/>
      <c r="Q468" s="12"/>
      <c r="R468" s="12"/>
      <c r="S468" s="12"/>
      <c r="T468" s="188"/>
      <c r="U468" s="188"/>
      <c r="V468" s="502"/>
      <c r="W468" s="188"/>
      <c r="X468" s="188"/>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row>
    <row r="469" spans="3:62" s="1" customFormat="1" ht="25.5" customHeight="1" thickBot="1" x14ac:dyDescent="0.2">
      <c r="C469" s="1524" t="str">
        <f>IF($Q$2=2,F464&amp;" Fonds disponible du compte",F464&amp;" Account Available Funds")</f>
        <v>2080 Account Available Funds</v>
      </c>
      <c r="D469" s="1524"/>
      <c r="E469" s="1524"/>
      <c r="F469" s="1524"/>
      <c r="G469" s="1120"/>
      <c r="I469" s="18"/>
      <c r="J469" s="12"/>
      <c r="K469" s="12"/>
      <c r="L469" s="12"/>
      <c r="M469" s="12"/>
      <c r="N469" s="1121"/>
      <c r="P469" s="12"/>
      <c r="Q469" s="12"/>
      <c r="R469" s="12"/>
      <c r="S469" s="12"/>
      <c r="T469" s="12"/>
      <c r="U469" s="12"/>
      <c r="V469" s="19"/>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row>
    <row r="470" spans="3:62" s="1" customFormat="1" ht="25.5" customHeight="1" thickBot="1" x14ac:dyDescent="0.2">
      <c r="C470" s="1525" t="str">
        <f>IF($Q$2=2,"Solde reporté à la ligne "&amp;F464&amp;" du Bilan - page 8","This balance fwrd'd to line "&amp;F464&amp;" of Balance Sheet -  page 8")</f>
        <v>This balance fwrd'd to line 2080 of Balance Sheet -  page 8</v>
      </c>
      <c r="D470" s="1525"/>
      <c r="E470" s="1525"/>
      <c r="F470" s="1525"/>
      <c r="G470" s="1122">
        <f>IF(AND(SUM(G465+G466-G467)&lt;0.001,SUM(G465+G466-G467)&gt;-0.001),0,SUM(G465+G466-G467))</f>
        <v>0</v>
      </c>
      <c r="H470" s="605"/>
      <c r="J470" s="82"/>
      <c r="K470" s="82"/>
      <c r="L470" s="82"/>
      <c r="M470" s="1123"/>
      <c r="N470" s="1122">
        <f>N465</f>
        <v>0</v>
      </c>
      <c r="P470" s="12"/>
      <c r="Q470" s="12"/>
      <c r="R470" s="12"/>
      <c r="S470" s="12"/>
      <c r="T470" s="12"/>
      <c r="U470" s="1117"/>
      <c r="V470" s="19"/>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row>
    <row r="471" spans="3:62" s="1" customFormat="1" ht="9.75" customHeight="1" thickBot="1" x14ac:dyDescent="0.2">
      <c r="F471" s="189"/>
      <c r="J471" s="1118"/>
      <c r="M471" s="1124"/>
      <c r="P471" s="12"/>
      <c r="Q471" s="12"/>
      <c r="R471" s="12"/>
      <c r="S471" s="12"/>
      <c r="T471" s="12"/>
      <c r="U471" s="12"/>
      <c r="V471" s="19"/>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row>
    <row r="472" spans="3:62" s="1" customFormat="1" ht="25.5" customHeight="1" thickBot="1" x14ac:dyDescent="0.2">
      <c r="C472" s="1526"/>
      <c r="D472" s="1526"/>
      <c r="E472" s="1526"/>
      <c r="F472" s="1526"/>
      <c r="G472" s="1125">
        <f>IF(AND(G470-N470&lt;0.001,G470-N470&gt;-0.001),0,G470-N470)</f>
        <v>0</v>
      </c>
      <c r="H472" s="1527">
        <f>IF($Q$2=2,IF(G472=0,$T$8,$T$5),IF(G472=0,$T$9,$T$7))</f>
        <v>0</v>
      </c>
      <c r="I472" s="1527"/>
      <c r="J472" s="1527"/>
      <c r="K472" s="1527"/>
      <c r="L472" s="1527"/>
      <c r="M472" s="1527"/>
      <c r="N472" s="1528"/>
      <c r="P472" s="12"/>
      <c r="Q472" s="12"/>
      <c r="R472" s="12"/>
      <c r="S472" s="12"/>
      <c r="T472" s="12"/>
      <c r="U472" s="12"/>
      <c r="V472" s="19"/>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row>
    <row r="473" spans="3:62" s="1" customFormat="1" ht="15" customHeight="1" x14ac:dyDescent="0.15">
      <c r="C473" s="1529"/>
      <c r="D473" s="1529"/>
      <c r="E473" s="1529"/>
      <c r="F473" s="1529"/>
      <c r="G473" s="1529"/>
      <c r="H473" s="1529"/>
      <c r="I473" s="1529"/>
      <c r="J473" s="1529"/>
      <c r="K473" s="1529"/>
      <c r="L473" s="1529"/>
      <c r="M473" s="1529"/>
      <c r="N473" s="1529"/>
      <c r="O473" s="1109"/>
      <c r="P473" s="1104"/>
      <c r="R473" s="12"/>
      <c r="S473" s="12"/>
      <c r="T473" s="12"/>
      <c r="U473" s="12"/>
      <c r="V473" s="19"/>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row>
    <row r="474" spans="3:62" s="1" customFormat="1" ht="19.5" customHeight="1" x14ac:dyDescent="0.15">
      <c r="C474" s="1530"/>
      <c r="D474" s="1530"/>
      <c r="E474" s="1530"/>
      <c r="F474" s="1530"/>
      <c r="G474" s="1530"/>
      <c r="H474" s="1530"/>
      <c r="I474" s="1530"/>
      <c r="J474" s="1530"/>
      <c r="K474" s="1530"/>
      <c r="L474" s="1530"/>
      <c r="M474" s="1530"/>
      <c r="N474" s="1530"/>
      <c r="O474" s="1109"/>
      <c r="P474" s="1104"/>
      <c r="R474" s="12"/>
      <c r="S474" s="12"/>
      <c r="T474" s="12"/>
      <c r="U474" s="12"/>
      <c r="V474" s="19"/>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row>
    <row r="475" spans="3:62" s="1" customFormat="1" ht="40.5" customHeight="1" x14ac:dyDescent="0.15">
      <c r="D475" s="1531" t="str">
        <f>IF($Q$2=2,"Réconciliation détaillée du compte "&amp;F477&amp;" - "&amp;C477,"Detailed Reconciliation of the Account "&amp;F477&amp;" - "&amp;C477)</f>
        <v>Detailed Reconciliation of the Account 2090 - Disponible ~ Available</v>
      </c>
      <c r="E475" s="1531"/>
      <c r="F475" s="1531"/>
      <c r="G475" s="1531"/>
      <c r="H475" s="1531"/>
      <c r="I475" s="1531"/>
      <c r="J475" s="1531"/>
      <c r="K475" s="1531"/>
      <c r="L475" s="1531"/>
      <c r="M475" s="1531"/>
      <c r="N475" s="1111"/>
      <c r="P475" s="12"/>
      <c r="R475" s="12"/>
      <c r="S475" s="12"/>
      <c r="T475" s="12"/>
      <c r="U475" s="12"/>
      <c r="V475" s="19"/>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row>
    <row r="476" spans="3:62" s="1" customFormat="1" ht="29.25" customHeight="1" x14ac:dyDescent="0.15">
      <c r="C476" s="1523" t="str">
        <f>IF($Q$2=2,"Réconciliation selon les livres comptables","Reconciliation as per BookKeeping")</f>
        <v>Reconciliation as per BookKeeping</v>
      </c>
      <c r="D476" s="1523"/>
      <c r="E476" s="1523"/>
      <c r="F476" s="1523"/>
      <c r="G476" s="1523"/>
      <c r="I476" s="1523" t="str">
        <f>IF($Q$2=2,"Réconciliation selon l'état de compte","Reconciliation as per Account Statement")</f>
        <v>Reconciliation as per Account Statement</v>
      </c>
      <c r="J476" s="1523"/>
      <c r="K476" s="1523"/>
      <c r="L476" s="1523"/>
      <c r="M476" s="1523"/>
      <c r="N476" s="1112" t="str">
        <f>F477</f>
        <v>2090</v>
      </c>
      <c r="P476" s="188"/>
      <c r="R476" s="188"/>
      <c r="S476" s="188"/>
      <c r="T476" s="12"/>
      <c r="U476" s="12"/>
      <c r="V476" s="19"/>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row>
    <row r="477" spans="3:62" s="1" customFormat="1" ht="25.5" customHeight="1" thickBot="1" x14ac:dyDescent="0.2">
      <c r="C477" s="1532" t="str">
        <f>'Set up ~ Config'!G84</f>
        <v>Disponible ~ Available</v>
      </c>
      <c r="D477" s="1532"/>
      <c r="E477" s="1532"/>
      <c r="F477" s="1113" t="str">
        <f>LEFT('Set up ~ Config'!F84,4)</f>
        <v>2090</v>
      </c>
      <c r="G477" s="82"/>
      <c r="I477" s="1534"/>
      <c r="J477" s="1534"/>
      <c r="K477" s="1534"/>
      <c r="L477" s="1534"/>
      <c r="M477" s="1534"/>
      <c r="N477" s="1534"/>
      <c r="P477" s="12"/>
      <c r="R477" s="12"/>
      <c r="S477" s="12"/>
      <c r="T477" s="12"/>
      <c r="U477" s="12"/>
      <c r="V477" s="19"/>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row>
    <row r="478" spans="3:62" s="1" customFormat="1" ht="25.5" customHeight="1" thickTop="1" thickBot="1" x14ac:dyDescent="0.2">
      <c r="C478" s="1535" t="str">
        <f>IF($Q$2=2,"Solde du compte au ","Account Balance on ")</f>
        <v xml:space="preserve">Account Balance on </v>
      </c>
      <c r="D478" s="1535"/>
      <c r="E478" s="1535"/>
      <c r="F478" s="1114" t="e">
        <f>DATEVALUE('Set up ~ Config'!$L$5)</f>
        <v>#VALUE!</v>
      </c>
      <c r="G478" s="1115">
        <f>'Set up ~ Config'!D84</f>
        <v>0</v>
      </c>
      <c r="I478" s="1116" t="str">
        <f>IF($Q$2=2,"Date (aaaa-mm-jj):","Date (yyyy-mm-dd):")</f>
        <v>Date (yyyy-mm-dd):</v>
      </c>
      <c r="J478" s="957"/>
      <c r="K478" s="1536" t="str">
        <f>IF($Q$2=2,"Solde :","Balance :")</f>
        <v>Balance :</v>
      </c>
      <c r="L478" s="1537"/>
      <c r="M478" s="1538"/>
      <c r="N478" s="942"/>
      <c r="P478" s="12"/>
      <c r="Q478" s="1540"/>
      <c r="R478" s="1540"/>
      <c r="S478" s="1540"/>
      <c r="T478" s="12"/>
      <c r="U478" s="12"/>
      <c r="V478" s="19"/>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row>
    <row r="479" spans="3:62" ht="25.5" customHeight="1" thickTop="1" x14ac:dyDescent="0.15">
      <c r="C479" s="1539" t="str">
        <f>IF($Q$2=2," Plus: Accroissements (Jrnl des dépenses)","Plus: Increases (Expense Jrnl)")</f>
        <v>Plus: Increases (Expense Jrnl)</v>
      </c>
      <c r="D479" s="1539"/>
      <c r="E479" s="1539"/>
      <c r="F479" s="1539"/>
      <c r="G479" s="1115">
        <f>'Jrnl Exp ~ Dép'!G558</f>
        <v>0</v>
      </c>
      <c r="H479" s="1118"/>
      <c r="I479" s="1"/>
      <c r="J479" s="1"/>
      <c r="K479" s="1"/>
      <c r="L479" s="1"/>
      <c r="M479" s="1"/>
      <c r="N479" s="1"/>
      <c r="O479" s="1"/>
      <c r="P479" s="12"/>
      <c r="Q479" s="12"/>
      <c r="R479" s="12"/>
      <c r="S479" s="12"/>
    </row>
    <row r="480" spans="3:62" ht="25.5" customHeight="1" x14ac:dyDescent="0.15">
      <c r="C480" s="1539" t="str">
        <f>IF($Q$2=2,"Moins: Décroissements (Jrnl des revenus)","Less: Decreases (Revenue Jrnl)")</f>
        <v>Less: Decreases (Revenue Jrnl)</v>
      </c>
      <c r="D480" s="1539"/>
      <c r="E480" s="1539"/>
      <c r="F480" s="1539"/>
      <c r="G480" s="1115">
        <f>'Jrnl Rev'!G558</f>
        <v>0</v>
      </c>
      <c r="H480" s="1"/>
      <c r="J480" s="188"/>
      <c r="K480" s="188"/>
      <c r="L480" s="188"/>
      <c r="M480" s="188"/>
      <c r="N480" s="1119"/>
      <c r="O480" s="1"/>
      <c r="P480" s="12"/>
      <c r="Q480" s="12"/>
      <c r="R480" s="12"/>
      <c r="S480" s="12"/>
    </row>
    <row r="481" spans="3:62" s="1" customFormat="1" ht="25.5" customHeight="1" x14ac:dyDescent="0.15">
      <c r="C481" s="1533"/>
      <c r="D481" s="1533"/>
      <c r="E481" s="1533"/>
      <c r="F481" s="1533"/>
      <c r="H481" s="1118"/>
      <c r="P481" s="12"/>
      <c r="Q481" s="12"/>
      <c r="R481" s="12"/>
      <c r="S481" s="12"/>
      <c r="T481" s="12"/>
      <c r="U481" s="12"/>
      <c r="V481" s="19"/>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row>
    <row r="482" spans="3:62" s="1" customFormat="1" ht="25.5" customHeight="1" thickBot="1" x14ac:dyDescent="0.2">
      <c r="C482" s="1524" t="str">
        <f>IF($Q$2=2,F477&amp;" Fonds disponible du compte",F477&amp;" Account Available Funds")</f>
        <v>2090 Account Available Funds</v>
      </c>
      <c r="D482" s="1524"/>
      <c r="E482" s="1524"/>
      <c r="F482" s="1524"/>
      <c r="G482" s="1120"/>
      <c r="I482" s="18"/>
      <c r="J482" s="12"/>
      <c r="K482" s="12"/>
      <c r="L482" s="12"/>
      <c r="M482" s="12"/>
      <c r="N482" s="1121"/>
      <c r="P482" s="12"/>
      <c r="Q482" s="12"/>
      <c r="R482" s="12"/>
      <c r="S482" s="12"/>
      <c r="T482" s="188"/>
      <c r="U482" s="188"/>
      <c r="V482" s="502"/>
      <c r="W482" s="188"/>
      <c r="X482" s="188"/>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row>
    <row r="483" spans="3:62" s="1" customFormat="1" ht="25.5" customHeight="1" thickBot="1" x14ac:dyDescent="0.2">
      <c r="C483" s="1525" t="str">
        <f>IF($Q$2=2,"Solde reporté à la ligne "&amp;F477&amp;" du Bilan - page 8","This balance fwrd'd to line "&amp;F477&amp;" of Balance Sheet -  page 8")</f>
        <v>This balance fwrd'd to line 2090 of Balance Sheet -  page 8</v>
      </c>
      <c r="D483" s="1525"/>
      <c r="E483" s="1525"/>
      <c r="F483" s="1525"/>
      <c r="G483" s="1122">
        <f>IF(AND(SUM(G478+G479-G480)&lt;0.001,SUM(G478+G479-G480)&gt;-0.001),0,SUM(G478+G479-G480))</f>
        <v>0</v>
      </c>
      <c r="H483" s="605"/>
      <c r="J483" s="82"/>
      <c r="K483" s="82"/>
      <c r="L483" s="82"/>
      <c r="M483" s="1123"/>
      <c r="N483" s="1122">
        <f>N478</f>
        <v>0</v>
      </c>
      <c r="P483" s="12"/>
      <c r="Q483" s="12"/>
      <c r="R483" s="12"/>
      <c r="S483" s="12"/>
      <c r="T483" s="12"/>
      <c r="U483" s="12"/>
      <c r="V483" s="19"/>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row>
    <row r="484" spans="3:62" s="1" customFormat="1" ht="9.75" customHeight="1" thickBot="1" x14ac:dyDescent="0.2">
      <c r="F484" s="189"/>
      <c r="J484" s="1118"/>
      <c r="M484" s="1124"/>
      <c r="P484" s="12"/>
      <c r="Q484" s="12"/>
      <c r="R484" s="12"/>
      <c r="S484" s="12"/>
      <c r="T484" s="12"/>
      <c r="U484" s="1117"/>
      <c r="V484" s="19"/>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row>
    <row r="485" spans="3:62" s="1" customFormat="1" ht="25.5" customHeight="1" thickBot="1" x14ac:dyDescent="0.2">
      <c r="C485" s="1526"/>
      <c r="D485" s="1526"/>
      <c r="E485" s="1526"/>
      <c r="F485" s="1526"/>
      <c r="G485" s="1125">
        <f>IF(AND(G483-N483&lt;0.001,G483-N483&gt;-0.001),0,G483-N483)</f>
        <v>0</v>
      </c>
      <c r="H485" s="1527">
        <f>IF($Q$2=2,IF(G485=0,$T$8,$T$5),IF(G485=0,$T$9,$T$7))</f>
        <v>0</v>
      </c>
      <c r="I485" s="1527"/>
      <c r="J485" s="1527"/>
      <c r="K485" s="1527"/>
      <c r="L485" s="1527"/>
      <c r="M485" s="1527"/>
      <c r="N485" s="1528"/>
      <c r="P485" s="12"/>
      <c r="Q485" s="12"/>
      <c r="R485" s="12"/>
      <c r="S485" s="12"/>
      <c r="T485" s="12"/>
      <c r="U485" s="12"/>
      <c r="V485" s="19"/>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row>
    <row r="486" spans="3:62" s="1" customFormat="1" ht="15" customHeight="1" x14ac:dyDescent="0.15">
      <c r="C486" s="1529"/>
      <c r="D486" s="1529"/>
      <c r="E486" s="1529"/>
      <c r="F486" s="1529"/>
      <c r="G486" s="1529"/>
      <c r="H486" s="1529"/>
      <c r="I486" s="1529"/>
      <c r="J486" s="1529"/>
      <c r="K486" s="1529"/>
      <c r="L486" s="1529"/>
      <c r="M486" s="1529"/>
      <c r="N486" s="1529"/>
      <c r="O486" s="1109"/>
      <c r="P486" s="1104"/>
      <c r="R486" s="12"/>
      <c r="S486" s="12"/>
      <c r="T486" s="12"/>
      <c r="U486" s="12"/>
      <c r="V486" s="19"/>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row>
    <row r="487" spans="3:62" s="1" customFormat="1" ht="19.5" customHeight="1" x14ac:dyDescent="0.15">
      <c r="C487" s="1530"/>
      <c r="D487" s="1530"/>
      <c r="E487" s="1530"/>
      <c r="F487" s="1530"/>
      <c r="G487" s="1530"/>
      <c r="H487" s="1530"/>
      <c r="I487" s="1530"/>
      <c r="J487" s="1530"/>
      <c r="K487" s="1530"/>
      <c r="L487" s="1530"/>
      <c r="M487" s="1530"/>
      <c r="N487" s="1530"/>
      <c r="O487" s="1109"/>
      <c r="P487" s="1104"/>
      <c r="R487" s="12"/>
      <c r="S487" s="12"/>
      <c r="T487" s="12"/>
      <c r="U487" s="12"/>
      <c r="V487" s="19"/>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row>
    <row r="488" spans="3:62" s="1" customFormat="1" ht="40.5" customHeight="1" x14ac:dyDescent="0.15">
      <c r="D488" s="1531" t="str">
        <f>IF($Q$2=2,"Réconciliation détaillée du compte "&amp;F490&amp;" - "&amp;C490,"Detailed Reconciliation of the Account "&amp;F490&amp;" - "&amp;C490)</f>
        <v>Detailed Reconciliation of the Account 2210 - Mortgage</v>
      </c>
      <c r="E488" s="1531"/>
      <c r="F488" s="1531"/>
      <c r="G488" s="1531"/>
      <c r="H488" s="1531"/>
      <c r="I488" s="1531"/>
      <c r="J488" s="1531"/>
      <c r="K488" s="1531"/>
      <c r="L488" s="1531"/>
      <c r="M488" s="1531"/>
      <c r="N488" s="1111"/>
      <c r="P488" s="12"/>
      <c r="R488" s="12"/>
      <c r="S488" s="12"/>
      <c r="T488" s="12"/>
      <c r="U488" s="12"/>
      <c r="V488" s="19"/>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row>
    <row r="489" spans="3:62" s="1" customFormat="1" ht="29.25" customHeight="1" x14ac:dyDescent="0.15">
      <c r="C489" s="1523" t="str">
        <f>IF($Q$2=2,"Réconciliation selon les livres comptables","Reconciliation as per BookKeeping")</f>
        <v>Reconciliation as per BookKeeping</v>
      </c>
      <c r="D489" s="1523"/>
      <c r="E489" s="1523"/>
      <c r="F489" s="1523"/>
      <c r="G489" s="1523"/>
      <c r="I489" s="1523" t="str">
        <f>IF($Q$2=2,"Réconciliation selon l'état de compte","Reconciliation as per Account Statement")</f>
        <v>Reconciliation as per Account Statement</v>
      </c>
      <c r="J489" s="1523"/>
      <c r="K489" s="1523"/>
      <c r="L489" s="1523"/>
      <c r="M489" s="1523"/>
      <c r="N489" s="1112" t="str">
        <f>F490</f>
        <v>2210</v>
      </c>
      <c r="P489" s="188"/>
      <c r="R489" s="188"/>
      <c r="S489" s="188"/>
      <c r="T489" s="12"/>
      <c r="U489" s="12"/>
      <c r="V489" s="19"/>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row>
    <row r="490" spans="3:62" s="1" customFormat="1" ht="25.5" customHeight="1" thickBot="1" x14ac:dyDescent="0.2">
      <c r="C490" s="1532" t="str">
        <f>'Set up ~ Config'!G86</f>
        <v>Mortgage</v>
      </c>
      <c r="D490" s="1532"/>
      <c r="E490" s="1532"/>
      <c r="F490" s="1113" t="str">
        <f>LEFT('Set up ~ Config'!F86,4)</f>
        <v>2210</v>
      </c>
      <c r="G490" s="82"/>
      <c r="I490" s="1534"/>
      <c r="J490" s="1534"/>
      <c r="K490" s="1534"/>
      <c r="L490" s="1534"/>
      <c r="M490" s="1534"/>
      <c r="N490" s="1534"/>
      <c r="P490" s="12"/>
      <c r="R490" s="12"/>
      <c r="S490" s="12"/>
      <c r="T490" s="12"/>
      <c r="U490" s="12"/>
      <c r="V490" s="19"/>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row>
    <row r="491" spans="3:62" s="1" customFormat="1" ht="25.5" customHeight="1" thickTop="1" thickBot="1" x14ac:dyDescent="0.2">
      <c r="C491" s="1535" t="str">
        <f>IF($Q$2=2,"Solde du compte au ","Account Balance on ")</f>
        <v xml:space="preserve">Account Balance on </v>
      </c>
      <c r="D491" s="1535"/>
      <c r="E491" s="1535"/>
      <c r="F491" s="1114" t="e">
        <f>DATEVALUE('Set up ~ Config'!$L$5)</f>
        <v>#VALUE!</v>
      </c>
      <c r="G491" s="1115">
        <f>'Set up ~ Config'!D86</f>
        <v>0</v>
      </c>
      <c r="I491" s="1116" t="str">
        <f>IF($Q$2=2,"Date (aaaa-mm-jj):","Date (yyyy-mm-dd):")</f>
        <v>Date (yyyy-mm-dd):</v>
      </c>
      <c r="J491" s="957"/>
      <c r="K491" s="1536" t="str">
        <f>IF($Q$2=2,"Solde :","Balance :")</f>
        <v>Balance :</v>
      </c>
      <c r="L491" s="1537"/>
      <c r="M491" s="1538"/>
      <c r="N491" s="942"/>
      <c r="P491" s="12"/>
      <c r="Q491" s="1540"/>
      <c r="R491" s="1540"/>
      <c r="S491" s="1540"/>
      <c r="T491" s="12"/>
      <c r="U491" s="12"/>
      <c r="V491" s="19"/>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row>
    <row r="492" spans="3:62" s="1" customFormat="1" ht="25.5" customHeight="1" thickTop="1" x14ac:dyDescent="0.15">
      <c r="C492" s="1539" t="str">
        <f>IF($Q$2=2," Plus: Accroissements (Jrnl des dépenses)","Plus: Increases (Expense Jrnl)")</f>
        <v>Plus: Increases (Expense Jrnl)</v>
      </c>
      <c r="D492" s="1539"/>
      <c r="E492" s="1539"/>
      <c r="F492" s="1539"/>
      <c r="G492" s="1115">
        <f>'Jrnl Exp ~ Dép'!G559</f>
        <v>0</v>
      </c>
      <c r="H492" s="1118"/>
      <c r="P492" s="12"/>
      <c r="Q492" s="12"/>
      <c r="R492" s="12"/>
      <c r="S492" s="12"/>
      <c r="T492" s="12"/>
      <c r="U492" s="12"/>
      <c r="V492" s="19"/>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row>
    <row r="493" spans="3:62" ht="25.5" customHeight="1" x14ac:dyDescent="0.15">
      <c r="C493" s="1539" t="str">
        <f>IF($Q$2=2,"Moins: Décroissements (Jrnl des revenus)","Less: Decreases (Revenue Jrnl)")</f>
        <v>Less: Decreases (Revenue Jrnl)</v>
      </c>
      <c r="D493" s="1539"/>
      <c r="E493" s="1539"/>
      <c r="F493" s="1539"/>
      <c r="G493" s="1115">
        <f>'Jrnl Rev'!G559</f>
        <v>0</v>
      </c>
      <c r="H493" s="1"/>
      <c r="J493" s="188"/>
      <c r="K493" s="188"/>
      <c r="L493" s="188"/>
      <c r="M493" s="188"/>
      <c r="N493" s="1119"/>
      <c r="O493" s="1"/>
      <c r="P493" s="12"/>
      <c r="Q493" s="12"/>
      <c r="R493" s="12"/>
      <c r="S493" s="12"/>
    </row>
    <row r="494" spans="3:62" ht="25.5" customHeight="1" x14ac:dyDescent="0.15">
      <c r="C494" s="1533"/>
      <c r="D494" s="1533"/>
      <c r="E494" s="1533"/>
      <c r="F494" s="1533"/>
      <c r="G494" s="1"/>
      <c r="H494" s="1118"/>
      <c r="I494" s="1"/>
      <c r="J494" s="1"/>
      <c r="K494" s="1"/>
      <c r="L494" s="1"/>
      <c r="M494" s="1"/>
      <c r="N494" s="1"/>
      <c r="O494" s="1"/>
      <c r="P494" s="12"/>
      <c r="Q494" s="12"/>
      <c r="R494" s="12"/>
      <c r="S494" s="12"/>
    </row>
    <row r="495" spans="3:62" s="1" customFormat="1" ht="25.5" customHeight="1" thickBot="1" x14ac:dyDescent="0.2">
      <c r="C495" s="1524" t="str">
        <f>IF($Q$2=2,F490&amp;" Fonds disponible du compte",F490&amp;" Account Available Funds")</f>
        <v>2210 Account Available Funds</v>
      </c>
      <c r="D495" s="1524"/>
      <c r="E495" s="1524"/>
      <c r="F495" s="1524"/>
      <c r="G495" s="1120"/>
      <c r="I495" s="18"/>
      <c r="J495" s="12"/>
      <c r="K495" s="12"/>
      <c r="L495" s="12"/>
      <c r="M495" s="12"/>
      <c r="N495" s="1121"/>
      <c r="P495" s="12"/>
      <c r="Q495" s="12"/>
      <c r="R495" s="12"/>
      <c r="S495" s="12"/>
      <c r="T495" s="12"/>
      <c r="U495" s="12"/>
      <c r="V495" s="19"/>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row>
    <row r="496" spans="3:62" s="1" customFormat="1" ht="25.5" customHeight="1" thickBot="1" x14ac:dyDescent="0.2">
      <c r="C496" s="1525" t="str">
        <f>IF($Q$2=2,"Solde reporté à la ligne "&amp;F490&amp;" du Bilan - page 8","This balance fwrd'd to line "&amp;F490&amp;" of Balance Sheet -  page 8")</f>
        <v>This balance fwrd'd to line 2210 of Balance Sheet -  page 8</v>
      </c>
      <c r="D496" s="1525"/>
      <c r="E496" s="1525"/>
      <c r="F496" s="1525"/>
      <c r="G496" s="1122">
        <f>IF(AND(SUM(G491+G492-G493)&lt;0.001,SUM(G491+G492-G493)&gt;-0.001),0,SUM(G491+G492-G493))</f>
        <v>0</v>
      </c>
      <c r="H496" s="605"/>
      <c r="J496" s="82"/>
      <c r="K496" s="82"/>
      <c r="L496" s="82"/>
      <c r="M496" s="1123"/>
      <c r="N496" s="1122">
        <f>N491</f>
        <v>0</v>
      </c>
      <c r="P496" s="12"/>
      <c r="Q496" s="12"/>
      <c r="R496" s="12"/>
      <c r="S496" s="12"/>
      <c r="T496" s="188"/>
      <c r="U496" s="188"/>
      <c r="V496" s="502"/>
      <c r="W496" s="188"/>
      <c r="X496" s="188"/>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row>
    <row r="497" spans="3:62" s="1" customFormat="1" ht="9.75" customHeight="1" thickBot="1" x14ac:dyDescent="0.2">
      <c r="F497" s="189"/>
      <c r="J497" s="1118"/>
      <c r="M497" s="1124"/>
      <c r="P497" s="12"/>
      <c r="Q497" s="12"/>
      <c r="R497" s="12"/>
      <c r="S497" s="12"/>
      <c r="T497" s="12"/>
      <c r="U497" s="12"/>
      <c r="V497" s="19"/>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row>
    <row r="498" spans="3:62" s="1" customFormat="1" ht="25.5" customHeight="1" thickBot="1" x14ac:dyDescent="0.2">
      <c r="C498" s="1526"/>
      <c r="D498" s="1526"/>
      <c r="E498" s="1526"/>
      <c r="F498" s="1526"/>
      <c r="G498" s="1125">
        <f>IF(AND(G496-N496&lt;0.001,G496-N496&gt;-0.001),0,G496-N496)</f>
        <v>0</v>
      </c>
      <c r="H498" s="1527">
        <f>IF($Q$2=2,IF(G498=0,$T$8,$T$5),IF(G498=0,$T$9,$T$7))</f>
        <v>0</v>
      </c>
      <c r="I498" s="1527"/>
      <c r="J498" s="1527"/>
      <c r="K498" s="1527"/>
      <c r="L498" s="1527"/>
      <c r="M498" s="1527"/>
      <c r="N498" s="1528"/>
      <c r="P498" s="12"/>
      <c r="Q498" s="12"/>
      <c r="R498" s="12"/>
      <c r="S498" s="12"/>
      <c r="T498" s="12"/>
      <c r="U498" s="1117"/>
      <c r="V498" s="19"/>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row>
    <row r="499" spans="3:62" s="1" customFormat="1" ht="15" customHeight="1" x14ac:dyDescent="0.15">
      <c r="C499" s="1529"/>
      <c r="D499" s="1529"/>
      <c r="E499" s="1529"/>
      <c r="F499" s="1529"/>
      <c r="G499" s="1529"/>
      <c r="H499" s="1529"/>
      <c r="I499" s="1529"/>
      <c r="J499" s="1529"/>
      <c r="K499" s="1529"/>
      <c r="L499" s="1529"/>
      <c r="M499" s="1529"/>
      <c r="N499" s="1529"/>
      <c r="O499" s="1109"/>
      <c r="P499" s="1104"/>
      <c r="R499" s="12"/>
      <c r="S499" s="12"/>
      <c r="T499" s="12"/>
      <c r="U499" s="12"/>
      <c r="V499" s="19"/>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row>
    <row r="500" spans="3:62" s="1" customFormat="1" ht="19.5" customHeight="1" x14ac:dyDescent="0.15">
      <c r="C500" s="1530"/>
      <c r="D500" s="1530"/>
      <c r="E500" s="1530"/>
      <c r="F500" s="1530"/>
      <c r="G500" s="1530"/>
      <c r="H500" s="1530"/>
      <c r="I500" s="1530"/>
      <c r="J500" s="1530"/>
      <c r="K500" s="1530"/>
      <c r="L500" s="1530"/>
      <c r="M500" s="1530"/>
      <c r="N500" s="1530"/>
      <c r="O500" s="1109"/>
      <c r="P500" s="1104"/>
      <c r="R500" s="12"/>
      <c r="S500" s="12"/>
      <c r="T500" s="12"/>
      <c r="U500" s="12"/>
      <c r="V500" s="19"/>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row>
    <row r="501" spans="3:62" s="1" customFormat="1" ht="40.5" customHeight="1" x14ac:dyDescent="0.15">
      <c r="D501" s="1531" t="str">
        <f>IF($Q$2=2,"Réconciliation détaillée du compte "&amp;F503&amp;" - "&amp;C503,"Detailed Reconciliation of the Account "&amp;F503&amp;" - "&amp;C503)</f>
        <v>Detailed Reconciliation of the Account 2220 - Bank Loan</v>
      </c>
      <c r="E501" s="1531"/>
      <c r="F501" s="1531"/>
      <c r="G501" s="1531"/>
      <c r="H501" s="1531"/>
      <c r="I501" s="1531"/>
      <c r="J501" s="1531"/>
      <c r="K501" s="1531"/>
      <c r="L501" s="1531"/>
      <c r="M501" s="1531"/>
      <c r="N501" s="1111"/>
      <c r="P501" s="12"/>
      <c r="R501" s="12"/>
      <c r="S501" s="12"/>
      <c r="T501" s="12"/>
      <c r="U501" s="12"/>
      <c r="V501" s="19"/>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row>
    <row r="502" spans="3:62" s="1" customFormat="1" ht="29.25" customHeight="1" x14ac:dyDescent="0.15">
      <c r="C502" s="1523" t="str">
        <f>IF($Q$2=2,"Réconciliation selon les livres comptables","Reconciliation as per BookKeeping")</f>
        <v>Reconciliation as per BookKeeping</v>
      </c>
      <c r="D502" s="1523"/>
      <c r="E502" s="1523"/>
      <c r="F502" s="1523"/>
      <c r="G502" s="1523"/>
      <c r="I502" s="1523" t="str">
        <f>IF($Q$2=2,"Réconciliation selon l'état de compte","Reconciliation as per Account Statement")</f>
        <v>Reconciliation as per Account Statement</v>
      </c>
      <c r="J502" s="1523"/>
      <c r="K502" s="1523"/>
      <c r="L502" s="1523"/>
      <c r="M502" s="1523"/>
      <c r="N502" s="1112" t="str">
        <f>F503</f>
        <v>2220</v>
      </c>
      <c r="P502" s="188"/>
      <c r="R502" s="188"/>
      <c r="S502" s="188"/>
      <c r="T502" s="12"/>
      <c r="U502" s="12"/>
      <c r="V502" s="19"/>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row>
    <row r="503" spans="3:62" s="1" customFormat="1" ht="25.5" customHeight="1" thickBot="1" x14ac:dyDescent="0.2">
      <c r="C503" s="1532" t="str">
        <f>'Set up ~ Config'!G87</f>
        <v>Bank Loan</v>
      </c>
      <c r="D503" s="1532"/>
      <c r="E503" s="1532"/>
      <c r="F503" s="1113" t="str">
        <f>LEFT('Set up ~ Config'!F87,4)</f>
        <v>2220</v>
      </c>
      <c r="G503" s="82"/>
      <c r="I503" s="1534"/>
      <c r="J503" s="1534"/>
      <c r="K503" s="1534"/>
      <c r="L503" s="1534"/>
      <c r="M503" s="1534"/>
      <c r="N503" s="1534"/>
      <c r="P503" s="12"/>
      <c r="R503" s="12"/>
      <c r="S503" s="12"/>
      <c r="T503" s="12"/>
      <c r="U503" s="12"/>
      <c r="V503" s="19"/>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row>
    <row r="504" spans="3:62" s="1" customFormat="1" ht="25.5" customHeight="1" thickTop="1" thickBot="1" x14ac:dyDescent="0.2">
      <c r="C504" s="1535" t="str">
        <f>IF($Q$2=2,"Solde du compte au ","Account Balance on ")</f>
        <v xml:space="preserve">Account Balance on </v>
      </c>
      <c r="D504" s="1535"/>
      <c r="E504" s="1535"/>
      <c r="F504" s="1114" t="e">
        <f>DATEVALUE('Set up ~ Config'!$L$5)</f>
        <v>#VALUE!</v>
      </c>
      <c r="G504" s="1115">
        <f>'Set up ~ Config'!D87</f>
        <v>0</v>
      </c>
      <c r="I504" s="1116" t="str">
        <f>IF($Q$2=2,"Date (aaaa-mm-jj):","Date (yyyy-mm-dd):")</f>
        <v>Date (yyyy-mm-dd):</v>
      </c>
      <c r="J504" s="957"/>
      <c r="K504" s="1536" t="str">
        <f>IF($Q$2=2,"Solde :","Balance :")</f>
        <v>Balance :</v>
      </c>
      <c r="L504" s="1537"/>
      <c r="M504" s="1538"/>
      <c r="N504" s="942"/>
      <c r="P504" s="12"/>
      <c r="Q504" s="1540"/>
      <c r="R504" s="1540"/>
      <c r="S504" s="1540"/>
      <c r="T504" s="12"/>
      <c r="U504" s="12"/>
      <c r="V504" s="19"/>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row>
    <row r="505" spans="3:62" s="1" customFormat="1" ht="25.5" customHeight="1" thickTop="1" x14ac:dyDescent="0.15">
      <c r="C505" s="1539" t="str">
        <f>IF($Q$2=2," Plus: Accroissements (Jrnl des dépenses)","Plus: Increases (Expense Jrnl)")</f>
        <v>Plus: Increases (Expense Jrnl)</v>
      </c>
      <c r="D505" s="1539"/>
      <c r="E505" s="1539"/>
      <c r="F505" s="1539"/>
      <c r="G505" s="1115">
        <f>'Jrnl Exp ~ Dép'!G560</f>
        <v>0</v>
      </c>
      <c r="H505" s="1118"/>
      <c r="P505" s="12"/>
      <c r="Q505" s="12"/>
      <c r="R505" s="12"/>
      <c r="S505" s="12"/>
      <c r="T505" s="12"/>
      <c r="U505" s="12"/>
      <c r="V505" s="19"/>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row>
    <row r="506" spans="3:62" s="1" customFormat="1" ht="25.5" customHeight="1" x14ac:dyDescent="0.15">
      <c r="C506" s="1539" t="str">
        <f>IF($Q$2=2,"Moins: Décroissements (Jrnl des revenus)","Less: Decreases (Revenue Jrnl)")</f>
        <v>Less: Decreases (Revenue Jrnl)</v>
      </c>
      <c r="D506" s="1539"/>
      <c r="E506" s="1539"/>
      <c r="F506" s="1539"/>
      <c r="G506" s="1115">
        <f>'Jrnl Rev'!G560</f>
        <v>0</v>
      </c>
      <c r="J506" s="188"/>
      <c r="K506" s="188"/>
      <c r="L506" s="188"/>
      <c r="M506" s="188"/>
      <c r="N506" s="1119"/>
      <c r="P506" s="12"/>
      <c r="Q506" s="12"/>
      <c r="R506" s="12"/>
      <c r="S506" s="12"/>
      <c r="T506" s="12"/>
      <c r="U506" s="12"/>
      <c r="V506" s="19"/>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row>
    <row r="507" spans="3:62" ht="25.5" customHeight="1" x14ac:dyDescent="0.15">
      <c r="C507" s="1533"/>
      <c r="D507" s="1533"/>
      <c r="E507" s="1533"/>
      <c r="F507" s="1533"/>
      <c r="G507" s="1"/>
      <c r="H507" s="1118"/>
      <c r="I507" s="1"/>
      <c r="J507" s="1"/>
      <c r="K507" s="1"/>
      <c r="L507" s="1"/>
      <c r="M507" s="1"/>
      <c r="N507" s="1"/>
      <c r="O507" s="1"/>
      <c r="P507" s="12"/>
      <c r="Q507" s="12"/>
      <c r="R507" s="12"/>
      <c r="S507" s="12"/>
    </row>
    <row r="508" spans="3:62" ht="25.5" customHeight="1" thickBot="1" x14ac:dyDescent="0.2">
      <c r="C508" s="1524" t="str">
        <f>IF($Q$2=2,F503&amp;" Fonds disponible du compte",F503&amp;" Account Available Funds")</f>
        <v>2220 Account Available Funds</v>
      </c>
      <c r="D508" s="1524"/>
      <c r="E508" s="1524"/>
      <c r="F508" s="1524"/>
      <c r="G508" s="1120"/>
      <c r="H508" s="1"/>
      <c r="I508" s="18"/>
      <c r="J508" s="12"/>
      <c r="K508" s="12"/>
      <c r="L508" s="12"/>
      <c r="M508" s="12"/>
      <c r="N508" s="1121"/>
      <c r="O508" s="1"/>
      <c r="P508" s="12"/>
      <c r="Q508" s="12"/>
      <c r="R508" s="12"/>
      <c r="S508" s="12"/>
    </row>
    <row r="509" spans="3:62" s="1" customFormat="1" ht="25.5" customHeight="1" thickBot="1" x14ac:dyDescent="0.2">
      <c r="C509" s="1525" t="str">
        <f>IF($Q$2=2,"Solde reporté à la ligne "&amp;F503&amp;" du Bilan - page 8","This balance fwrd'd to line "&amp;F503&amp;" of Balance Sheet -  page 8")</f>
        <v>This balance fwrd'd to line 2220 of Balance Sheet -  page 8</v>
      </c>
      <c r="D509" s="1525"/>
      <c r="E509" s="1525"/>
      <c r="F509" s="1525"/>
      <c r="G509" s="1122">
        <f>IF(AND(SUM(G504+G505-G506)&lt;0.001,SUM(G504+G505-G506)&gt;-0.001),0,SUM(G504+G505-G506))</f>
        <v>0</v>
      </c>
      <c r="H509" s="605"/>
      <c r="J509" s="82"/>
      <c r="K509" s="82"/>
      <c r="L509" s="82"/>
      <c r="M509" s="1123"/>
      <c r="N509" s="1122">
        <f>N504</f>
        <v>0</v>
      </c>
      <c r="P509" s="12"/>
      <c r="Q509" s="12"/>
      <c r="R509" s="12"/>
      <c r="S509" s="12"/>
      <c r="T509" s="12"/>
      <c r="U509" s="12"/>
      <c r="V509" s="19"/>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row>
    <row r="510" spans="3:62" s="1" customFormat="1" ht="9.75" customHeight="1" thickBot="1" x14ac:dyDescent="0.2">
      <c r="F510" s="189"/>
      <c r="J510" s="1118"/>
      <c r="M510" s="1124"/>
      <c r="P510" s="12"/>
      <c r="Q510" s="12"/>
      <c r="R510" s="12"/>
      <c r="S510" s="12"/>
      <c r="T510" s="188"/>
      <c r="U510" s="188"/>
      <c r="V510" s="502"/>
      <c r="W510" s="188"/>
      <c r="X510" s="188"/>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row>
    <row r="511" spans="3:62" s="1" customFormat="1" ht="25.5" customHeight="1" thickBot="1" x14ac:dyDescent="0.2">
      <c r="C511" s="1526"/>
      <c r="D511" s="1526"/>
      <c r="E511" s="1526"/>
      <c r="F511" s="1526"/>
      <c r="G511" s="1125">
        <f>IF(AND(G509-N509&lt;0.001,G509-N509&gt;-0.001),0,G509-N509)</f>
        <v>0</v>
      </c>
      <c r="H511" s="1527">
        <f>IF($Q$2=2,IF(G511=0,$T$8,$T$5),IF(G511=0,$T$9,$T$7))</f>
        <v>0</v>
      </c>
      <c r="I511" s="1527"/>
      <c r="J511" s="1527"/>
      <c r="K511" s="1527"/>
      <c r="L511" s="1527"/>
      <c r="M511" s="1527"/>
      <c r="N511" s="1528"/>
      <c r="P511" s="12"/>
      <c r="Q511" s="12"/>
      <c r="R511" s="12"/>
      <c r="S511" s="12"/>
      <c r="T511" s="12"/>
      <c r="U511" s="12"/>
      <c r="V511" s="19"/>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row>
    <row r="512" spans="3:62" s="1" customFormat="1" ht="15" customHeight="1" x14ac:dyDescent="0.15">
      <c r="C512" s="1529"/>
      <c r="D512" s="1529"/>
      <c r="E512" s="1529"/>
      <c r="F512" s="1529"/>
      <c r="G512" s="1529"/>
      <c r="H512" s="1529"/>
      <c r="I512" s="1529"/>
      <c r="J512" s="1529"/>
      <c r="K512" s="1529"/>
      <c r="L512" s="1529"/>
      <c r="M512" s="1529"/>
      <c r="N512" s="1529"/>
      <c r="O512" s="1109"/>
      <c r="P512" s="1104"/>
      <c r="R512" s="12"/>
      <c r="S512" s="12"/>
      <c r="T512" s="12"/>
      <c r="U512" s="1117"/>
      <c r="V512" s="19"/>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row>
    <row r="513" spans="3:62" s="1" customFormat="1" ht="19.5" customHeight="1" x14ac:dyDescent="0.15">
      <c r="C513" s="1530"/>
      <c r="D513" s="1530"/>
      <c r="E513" s="1530"/>
      <c r="F513" s="1530"/>
      <c r="G513" s="1530"/>
      <c r="H513" s="1530"/>
      <c r="I513" s="1530"/>
      <c r="J513" s="1530"/>
      <c r="K513" s="1530"/>
      <c r="L513" s="1530"/>
      <c r="M513" s="1530"/>
      <c r="N513" s="1530"/>
      <c r="O513" s="1109"/>
      <c r="P513" s="1104"/>
      <c r="R513" s="12"/>
      <c r="S513" s="12"/>
      <c r="T513" s="12"/>
      <c r="U513" s="12"/>
      <c r="V513" s="19"/>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row>
    <row r="514" spans="3:62" s="1" customFormat="1" ht="40.5" customHeight="1" x14ac:dyDescent="0.15">
      <c r="D514" s="1531" t="str">
        <f>IF($Q$2=2,"Réconciliation détaillée du compte "&amp;F516&amp;" - "&amp;C516,"Detailed Reconciliation of the Account "&amp;F516&amp;" - "&amp;C516)</f>
        <v>Detailed Reconciliation of the Account 2230 - Disponible ~ Available</v>
      </c>
      <c r="E514" s="1531"/>
      <c r="F514" s="1531"/>
      <c r="G514" s="1531"/>
      <c r="H514" s="1531"/>
      <c r="I514" s="1531"/>
      <c r="J514" s="1531"/>
      <c r="K514" s="1531"/>
      <c r="L514" s="1531"/>
      <c r="M514" s="1531"/>
      <c r="N514" s="1111"/>
      <c r="P514" s="12"/>
      <c r="R514" s="12"/>
      <c r="S514" s="12"/>
      <c r="T514" s="12"/>
      <c r="U514" s="12"/>
      <c r="V514" s="19"/>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row>
    <row r="515" spans="3:62" s="1" customFormat="1" ht="29.25" customHeight="1" x14ac:dyDescent="0.15">
      <c r="C515" s="1523" t="str">
        <f>IF($Q$2=2,"Réconciliation selon les livres comptables","Reconciliation as per BookKeeping")</f>
        <v>Reconciliation as per BookKeeping</v>
      </c>
      <c r="D515" s="1523"/>
      <c r="E515" s="1523"/>
      <c r="F515" s="1523"/>
      <c r="G515" s="1523"/>
      <c r="I515" s="1523" t="str">
        <f>IF($Q$2=2,"Réconciliation selon l'état de compte","Reconciliation as per Account Statement")</f>
        <v>Reconciliation as per Account Statement</v>
      </c>
      <c r="J515" s="1523"/>
      <c r="K515" s="1523"/>
      <c r="L515" s="1523"/>
      <c r="M515" s="1523"/>
      <c r="N515" s="1112" t="str">
        <f>F516</f>
        <v>2230</v>
      </c>
      <c r="P515" s="188"/>
      <c r="R515" s="188"/>
      <c r="S515" s="188"/>
      <c r="T515" s="12"/>
      <c r="U515" s="12"/>
      <c r="V515" s="19"/>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row>
    <row r="516" spans="3:62" s="1" customFormat="1" ht="25.5" customHeight="1" thickBot="1" x14ac:dyDescent="0.2">
      <c r="C516" s="1532" t="str">
        <f>'Set up ~ Config'!G88</f>
        <v>Disponible ~ Available</v>
      </c>
      <c r="D516" s="1532"/>
      <c r="E516" s="1532"/>
      <c r="F516" s="1113" t="str">
        <f>LEFT('Set up ~ Config'!F88,4)</f>
        <v>2230</v>
      </c>
      <c r="G516" s="82"/>
      <c r="I516" s="1534"/>
      <c r="J516" s="1534"/>
      <c r="K516" s="1534"/>
      <c r="L516" s="1534"/>
      <c r="M516" s="1534"/>
      <c r="N516" s="1534"/>
      <c r="P516" s="12"/>
      <c r="R516" s="12"/>
      <c r="S516" s="12"/>
      <c r="T516" s="12"/>
      <c r="U516" s="12"/>
      <c r="V516" s="19"/>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row>
    <row r="517" spans="3:62" s="1" customFormat="1" ht="25.5" customHeight="1" thickTop="1" thickBot="1" x14ac:dyDescent="0.2">
      <c r="C517" s="1535" t="str">
        <f>IF($Q$2=2,"Solde du compte au ","Account Balance on ")</f>
        <v xml:space="preserve">Account Balance on </v>
      </c>
      <c r="D517" s="1535"/>
      <c r="E517" s="1535"/>
      <c r="F517" s="1114" t="e">
        <f>DATEVALUE('Set up ~ Config'!$L$5)</f>
        <v>#VALUE!</v>
      </c>
      <c r="G517" s="1115">
        <f>'Set up ~ Config'!D88</f>
        <v>0</v>
      </c>
      <c r="I517" s="1116" t="str">
        <f>IF($Q$2=2,"Date (aaaa-mm-jj):","Date (yyyy-mm-dd):")</f>
        <v>Date (yyyy-mm-dd):</v>
      </c>
      <c r="J517" s="957"/>
      <c r="K517" s="1536" t="str">
        <f>IF($Q$2=2,"Solde :","Balance :")</f>
        <v>Balance :</v>
      </c>
      <c r="L517" s="1537"/>
      <c r="M517" s="1538"/>
      <c r="N517" s="942"/>
      <c r="P517" s="12"/>
      <c r="Q517" s="1540"/>
      <c r="R517" s="1540"/>
      <c r="S517" s="1540"/>
      <c r="T517" s="12"/>
      <c r="U517" s="12"/>
      <c r="V517" s="19"/>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row>
    <row r="518" spans="3:62" s="1" customFormat="1" ht="25.5" customHeight="1" thickTop="1" x14ac:dyDescent="0.15">
      <c r="C518" s="1539" t="str">
        <f>IF($Q$2=2," Plus: Accroissements (Jrnl des dépenses)","Plus: Increases (Expense Jrnl)")</f>
        <v>Plus: Increases (Expense Jrnl)</v>
      </c>
      <c r="D518" s="1539"/>
      <c r="E518" s="1539"/>
      <c r="F518" s="1539"/>
      <c r="G518" s="1115">
        <f>'Jrnl Exp ~ Dép'!G561</f>
        <v>0</v>
      </c>
      <c r="H518" s="1118"/>
      <c r="P518" s="12"/>
      <c r="Q518" s="12"/>
      <c r="R518" s="12"/>
      <c r="S518" s="12"/>
      <c r="T518" s="12"/>
      <c r="U518" s="12"/>
      <c r="V518" s="19"/>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row>
    <row r="519" spans="3:62" s="1" customFormat="1" ht="25.5" customHeight="1" x14ac:dyDescent="0.15">
      <c r="C519" s="1539" t="str">
        <f>IF($Q$2=2,"Moins: Décroissements (Jrnl des revenus)","Less: Decreases (Revenue Jrnl)")</f>
        <v>Less: Decreases (Revenue Jrnl)</v>
      </c>
      <c r="D519" s="1539"/>
      <c r="E519" s="1539"/>
      <c r="F519" s="1539"/>
      <c r="G519" s="1115">
        <f>'Jrnl Rev'!G561</f>
        <v>0</v>
      </c>
      <c r="J519" s="188"/>
      <c r="K519" s="188"/>
      <c r="L519" s="188"/>
      <c r="M519" s="188"/>
      <c r="N519" s="1119"/>
      <c r="P519" s="12"/>
      <c r="Q519" s="12"/>
      <c r="R519" s="12"/>
      <c r="S519" s="12"/>
      <c r="T519" s="12"/>
      <c r="U519" s="12"/>
      <c r="V519" s="19"/>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row>
    <row r="520" spans="3:62" s="1" customFormat="1" ht="25.5" customHeight="1" x14ac:dyDescent="0.15">
      <c r="C520" s="1533"/>
      <c r="D520" s="1533"/>
      <c r="E520" s="1533"/>
      <c r="F520" s="1533"/>
      <c r="H520" s="1118"/>
      <c r="P520" s="12"/>
      <c r="Q520" s="12"/>
      <c r="R520" s="12"/>
      <c r="S520" s="12"/>
      <c r="T520" s="12"/>
      <c r="U520" s="12"/>
      <c r="V520" s="19"/>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row>
    <row r="521" spans="3:62" ht="25.5" customHeight="1" thickBot="1" x14ac:dyDescent="0.2">
      <c r="C521" s="1524" t="str">
        <f>IF($Q$2=2,F516&amp;" Fonds disponible du compte",F516&amp;" Account Available Funds")</f>
        <v>2230 Account Available Funds</v>
      </c>
      <c r="D521" s="1524"/>
      <c r="E521" s="1524"/>
      <c r="F521" s="1524"/>
      <c r="G521" s="1120"/>
      <c r="H521" s="1"/>
      <c r="I521" s="18"/>
      <c r="J521" s="12"/>
      <c r="K521" s="12"/>
      <c r="L521" s="12"/>
      <c r="M521" s="12"/>
      <c r="N521" s="1121"/>
      <c r="O521" s="1"/>
      <c r="P521" s="12"/>
      <c r="Q521" s="12"/>
      <c r="R521" s="12"/>
      <c r="S521" s="12"/>
    </row>
    <row r="522" spans="3:62" ht="25.5" customHeight="1" thickBot="1" x14ac:dyDescent="0.2">
      <c r="C522" s="1525" t="str">
        <f>IF($Q$2=2,"Solde reporté à la ligne "&amp;F516&amp;" du Bilan - page 8","This balance fwrd'd to line "&amp;F516&amp;" of Balance Sheet -  page 8")</f>
        <v>This balance fwrd'd to line 2230 of Balance Sheet -  page 8</v>
      </c>
      <c r="D522" s="1525"/>
      <c r="E522" s="1525"/>
      <c r="F522" s="1525"/>
      <c r="G522" s="1122">
        <f>IF(AND(SUM(G517+G518-G519)&lt;0.001,SUM(G517+G518-G519)&gt;-0.001),0,SUM(G517+G518-G519))</f>
        <v>0</v>
      </c>
      <c r="H522" s="605"/>
      <c r="I522" s="1"/>
      <c r="J522" s="82"/>
      <c r="K522" s="82"/>
      <c r="L522" s="82"/>
      <c r="M522" s="1123"/>
      <c r="N522" s="1122">
        <f>N517</f>
        <v>0</v>
      </c>
      <c r="O522" s="1"/>
      <c r="P522" s="12"/>
      <c r="Q522" s="12"/>
      <c r="R522" s="12"/>
      <c r="S522" s="12"/>
    </row>
    <row r="523" spans="3:62" s="1" customFormat="1" ht="9.75" customHeight="1" thickBot="1" x14ac:dyDescent="0.2">
      <c r="F523" s="189"/>
      <c r="J523" s="1118"/>
      <c r="M523" s="1124"/>
      <c r="P523" s="12"/>
      <c r="Q523" s="12"/>
      <c r="R523" s="12"/>
      <c r="S523" s="12"/>
      <c r="T523" s="12"/>
      <c r="U523" s="12"/>
      <c r="V523" s="19"/>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row>
    <row r="524" spans="3:62" s="1" customFormat="1" ht="25.5" customHeight="1" thickBot="1" x14ac:dyDescent="0.2">
      <c r="C524" s="1526"/>
      <c r="D524" s="1526"/>
      <c r="E524" s="1526"/>
      <c r="F524" s="1526"/>
      <c r="G524" s="1125">
        <f>IF(AND(G522-N522&lt;0.001,G522-N522&gt;-0.001),0,G522-N522)</f>
        <v>0</v>
      </c>
      <c r="H524" s="1527">
        <f>IF($Q$2=2,IF(G524=0,$T$8,$T$5),IF(G524=0,$T$9,$T$7))</f>
        <v>0</v>
      </c>
      <c r="I524" s="1527"/>
      <c r="J524" s="1527"/>
      <c r="K524" s="1527"/>
      <c r="L524" s="1527"/>
      <c r="M524" s="1527"/>
      <c r="N524" s="1528"/>
      <c r="P524" s="12"/>
      <c r="Q524" s="12"/>
      <c r="R524" s="12"/>
      <c r="S524" s="12"/>
      <c r="T524" s="188"/>
      <c r="U524" s="188"/>
      <c r="V524" s="502"/>
      <c r="W524" s="188"/>
      <c r="X524" s="188"/>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row>
    <row r="525" spans="3:62" s="1" customFormat="1" ht="15" customHeight="1" x14ac:dyDescent="0.15">
      <c r="C525" s="1529"/>
      <c r="D525" s="1529"/>
      <c r="E525" s="1529"/>
      <c r="F525" s="1529"/>
      <c r="G525" s="1529"/>
      <c r="H525" s="1529"/>
      <c r="I525" s="1529"/>
      <c r="J525" s="1529"/>
      <c r="K525" s="1529"/>
      <c r="L525" s="1529"/>
      <c r="M525" s="1529"/>
      <c r="N525" s="1529"/>
      <c r="O525" s="1109"/>
      <c r="P525" s="1104"/>
      <c r="R525" s="12"/>
      <c r="S525" s="12"/>
      <c r="T525" s="12"/>
      <c r="U525" s="12"/>
      <c r="V525" s="19"/>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row>
    <row r="526" spans="3:62" s="1" customFormat="1" ht="19.5" customHeight="1" x14ac:dyDescent="0.15">
      <c r="C526" s="1530"/>
      <c r="D526" s="1530"/>
      <c r="E526" s="1530"/>
      <c r="F526" s="1530"/>
      <c r="G526" s="1530"/>
      <c r="H526" s="1530"/>
      <c r="I526" s="1530"/>
      <c r="J526" s="1530"/>
      <c r="K526" s="1530"/>
      <c r="L526" s="1530"/>
      <c r="M526" s="1530"/>
      <c r="N526" s="1530"/>
      <c r="O526" s="1109"/>
      <c r="P526" s="1104"/>
      <c r="R526" s="12"/>
      <c r="S526" s="12"/>
      <c r="T526" s="12"/>
      <c r="U526" s="1117"/>
      <c r="V526" s="19"/>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row>
    <row r="527" spans="3:62" s="1" customFormat="1" ht="40.5" customHeight="1" x14ac:dyDescent="0.15">
      <c r="D527" s="1531" t="str">
        <f>IF($Q$2=2,"Réconciliation détaillée du compte "&amp;F529&amp;" - "&amp;C529,"Detailed Reconciliation of the Account "&amp;F529&amp;" - "&amp;C529)</f>
        <v>Detailed Reconciliation of the Account 2240 - Disponible ~ Available</v>
      </c>
      <c r="E527" s="1531"/>
      <c r="F527" s="1531"/>
      <c r="G527" s="1531"/>
      <c r="H527" s="1531"/>
      <c r="I527" s="1531"/>
      <c r="J527" s="1531"/>
      <c r="K527" s="1531"/>
      <c r="L527" s="1531"/>
      <c r="M527" s="1531"/>
      <c r="N527" s="1111"/>
      <c r="P527" s="12"/>
      <c r="R527" s="12"/>
      <c r="S527" s="12"/>
      <c r="T527" s="12"/>
      <c r="U527" s="12"/>
      <c r="V527" s="19"/>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row>
    <row r="528" spans="3:62" s="1" customFormat="1" ht="29.25" customHeight="1" x14ac:dyDescent="0.15">
      <c r="C528" s="1523" t="str">
        <f>IF($Q$2=2,"Réconciliation selon les livres comptables","Reconciliation as per BookKeeping")</f>
        <v>Reconciliation as per BookKeeping</v>
      </c>
      <c r="D528" s="1523"/>
      <c r="E528" s="1523"/>
      <c r="F528" s="1523"/>
      <c r="G528" s="1523"/>
      <c r="I528" s="1523" t="str">
        <f>IF($Q$2=2,"Réconciliation selon l'état de compte","Reconciliation as per Account Statement")</f>
        <v>Reconciliation as per Account Statement</v>
      </c>
      <c r="J528" s="1523"/>
      <c r="K528" s="1523"/>
      <c r="L528" s="1523"/>
      <c r="M528" s="1523"/>
      <c r="N528" s="1112" t="str">
        <f>F529</f>
        <v>2240</v>
      </c>
      <c r="P528" s="188"/>
      <c r="R528" s="188"/>
      <c r="S528" s="188"/>
      <c r="T528" s="12"/>
      <c r="U528" s="12"/>
      <c r="V528" s="19"/>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row>
    <row r="529" spans="3:62" s="1" customFormat="1" ht="25.5" customHeight="1" thickBot="1" x14ac:dyDescent="0.2">
      <c r="C529" s="1532" t="str">
        <f>'Set up ~ Config'!G89</f>
        <v>Disponible ~ Available</v>
      </c>
      <c r="D529" s="1532"/>
      <c r="E529" s="1532"/>
      <c r="F529" s="1113" t="str">
        <f>LEFT('Set up ~ Config'!F89,4)</f>
        <v>2240</v>
      </c>
      <c r="G529" s="82"/>
      <c r="I529" s="1534"/>
      <c r="J529" s="1534"/>
      <c r="K529" s="1534"/>
      <c r="L529" s="1534"/>
      <c r="M529" s="1534"/>
      <c r="N529" s="1534"/>
      <c r="P529" s="12"/>
      <c r="R529" s="12"/>
      <c r="S529" s="12"/>
      <c r="T529" s="12"/>
      <c r="U529" s="12"/>
      <c r="V529" s="19"/>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row>
    <row r="530" spans="3:62" s="1" customFormat="1" ht="25.5" customHeight="1" thickTop="1" thickBot="1" x14ac:dyDescent="0.2">
      <c r="C530" s="1535" t="str">
        <f>IF($Q$2=2,"Solde du compte au ","Account Balance on ")</f>
        <v xml:space="preserve">Account Balance on </v>
      </c>
      <c r="D530" s="1535"/>
      <c r="E530" s="1535"/>
      <c r="F530" s="1114" t="e">
        <f>DATEVALUE('Set up ~ Config'!$L$5)</f>
        <v>#VALUE!</v>
      </c>
      <c r="G530" s="1115">
        <f>'Set up ~ Config'!D89</f>
        <v>0</v>
      </c>
      <c r="I530" s="1116" t="str">
        <f>IF($Q$2=2,"Date (aaaa-mm-jj):","Date (yyyy-mm-dd):")</f>
        <v>Date (yyyy-mm-dd):</v>
      </c>
      <c r="J530" s="957"/>
      <c r="K530" s="1536" t="str">
        <f>IF($Q$2=2,"Solde :","Balance :")</f>
        <v>Balance :</v>
      </c>
      <c r="L530" s="1537"/>
      <c r="M530" s="1538"/>
      <c r="N530" s="942"/>
      <c r="P530" s="12"/>
      <c r="Q530" s="1540"/>
      <c r="R530" s="1540"/>
      <c r="S530" s="1540"/>
      <c r="T530" s="12"/>
      <c r="U530" s="12"/>
      <c r="V530" s="19"/>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row>
    <row r="531" spans="3:62" s="1" customFormat="1" ht="25.5" customHeight="1" thickTop="1" x14ac:dyDescent="0.15">
      <c r="C531" s="1539" t="str">
        <f>IF($Q$2=2," Plus: Accroissements (Jrnl des dépenses)","Plus: Increases (Expense Jrnl)")</f>
        <v>Plus: Increases (Expense Jrnl)</v>
      </c>
      <c r="D531" s="1539"/>
      <c r="E531" s="1539"/>
      <c r="F531" s="1539"/>
      <c r="G531" s="1115">
        <f>'Jrnl Exp ~ Dép'!G562</f>
        <v>0</v>
      </c>
      <c r="H531" s="1118"/>
      <c r="P531" s="12"/>
      <c r="Q531" s="12"/>
      <c r="R531" s="12"/>
      <c r="S531" s="12"/>
      <c r="T531" s="12"/>
      <c r="U531" s="12"/>
      <c r="V531" s="19"/>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row>
    <row r="532" spans="3:62" s="1" customFormat="1" ht="25.5" customHeight="1" x14ac:dyDescent="0.15">
      <c r="C532" s="1539" t="str">
        <f>IF($Q$2=2,"Moins: Décroissements (Jrnl des revenus)","Less: Decreases (Revenue Jrnl)")</f>
        <v>Less: Decreases (Revenue Jrnl)</v>
      </c>
      <c r="D532" s="1539"/>
      <c r="E532" s="1539"/>
      <c r="F532" s="1539"/>
      <c r="G532" s="1115">
        <f>'Jrnl Rev'!G562</f>
        <v>0</v>
      </c>
      <c r="J532" s="188"/>
      <c r="K532" s="188"/>
      <c r="L532" s="188"/>
      <c r="M532" s="188"/>
      <c r="N532" s="1119"/>
      <c r="P532" s="12"/>
      <c r="Q532" s="12"/>
      <c r="R532" s="12"/>
      <c r="S532" s="12"/>
      <c r="T532" s="12"/>
      <c r="U532" s="12"/>
      <c r="V532" s="19"/>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row>
    <row r="533" spans="3:62" s="1" customFormat="1" ht="25.5" customHeight="1" x14ac:dyDescent="0.15">
      <c r="C533" s="1533"/>
      <c r="D533" s="1533"/>
      <c r="E533" s="1533"/>
      <c r="F533" s="1533"/>
      <c r="H533" s="1118"/>
      <c r="P533" s="12"/>
      <c r="Q533" s="12"/>
      <c r="R533" s="12"/>
      <c r="S533" s="12"/>
      <c r="T533" s="12"/>
      <c r="U533" s="12"/>
      <c r="V533" s="19"/>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row>
    <row r="534" spans="3:62" s="1" customFormat="1" ht="25.5" customHeight="1" thickBot="1" x14ac:dyDescent="0.2">
      <c r="C534" s="1524" t="str">
        <f>IF($Q$2=2,F529&amp;" Fonds disponible du compte",F529&amp;" Account Available Funds")</f>
        <v>2240 Account Available Funds</v>
      </c>
      <c r="D534" s="1524"/>
      <c r="E534" s="1524"/>
      <c r="F534" s="1524"/>
      <c r="G534" s="1120"/>
      <c r="I534" s="18"/>
      <c r="J534" s="12"/>
      <c r="K534" s="12"/>
      <c r="L534" s="12"/>
      <c r="M534" s="12"/>
      <c r="N534" s="1121"/>
      <c r="P534" s="12"/>
      <c r="Q534" s="12"/>
      <c r="R534" s="12"/>
      <c r="S534" s="12"/>
      <c r="T534" s="12"/>
      <c r="U534" s="12"/>
      <c r="V534" s="19"/>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row>
    <row r="535" spans="3:62" ht="25.5" customHeight="1" thickBot="1" x14ac:dyDescent="0.2">
      <c r="C535" s="1525" t="str">
        <f>IF($Q$2=2,"Solde reporté à la ligne "&amp;F529&amp;" du Bilan - page 8","This balance fwrd'd to line "&amp;F529&amp;" of Balance Sheet -  page 8")</f>
        <v>This balance fwrd'd to line 2240 of Balance Sheet -  page 8</v>
      </c>
      <c r="D535" s="1525"/>
      <c r="E535" s="1525"/>
      <c r="F535" s="1525"/>
      <c r="G535" s="1122">
        <f>IF(AND(SUM(G530+G531-G532)&lt;0.001,SUM(G530+G531-G532)&gt;-0.001),0,SUM(G530+G531-G532))</f>
        <v>0</v>
      </c>
      <c r="H535" s="605"/>
      <c r="I535" s="1"/>
      <c r="J535" s="82"/>
      <c r="K535" s="82"/>
      <c r="L535" s="82"/>
      <c r="M535" s="1123"/>
      <c r="N535" s="1122">
        <f>N530</f>
        <v>0</v>
      </c>
      <c r="O535" s="1"/>
      <c r="P535" s="12"/>
      <c r="Q535" s="12"/>
      <c r="R535" s="12"/>
      <c r="S535" s="12"/>
    </row>
    <row r="536" spans="3:62" ht="9.75" customHeight="1" thickBot="1" x14ac:dyDescent="0.2">
      <c r="C536" s="1"/>
      <c r="D536" s="1"/>
      <c r="E536" s="1"/>
      <c r="F536" s="189"/>
      <c r="G536" s="1"/>
      <c r="H536" s="1"/>
      <c r="I536" s="1"/>
      <c r="J536" s="1118"/>
      <c r="K536" s="1"/>
      <c r="L536" s="1"/>
      <c r="M536" s="1124"/>
      <c r="N536" s="1"/>
      <c r="O536" s="1"/>
      <c r="P536" s="12"/>
      <c r="Q536" s="12"/>
      <c r="R536" s="12"/>
      <c r="S536" s="12"/>
    </row>
    <row r="537" spans="3:62" s="1" customFormat="1" ht="25.5" customHeight="1" thickBot="1" x14ac:dyDescent="0.2">
      <c r="C537" s="1526"/>
      <c r="D537" s="1526"/>
      <c r="E537" s="1526"/>
      <c r="F537" s="1526"/>
      <c r="G537" s="1125">
        <f>IF(AND(G535-N535&lt;0.001,G535-N535&gt;-0.001),0,G535-N535)</f>
        <v>0</v>
      </c>
      <c r="H537" s="1527">
        <f>IF($Q$2=2,IF(G537=0,$T$8,$T$5),IF(G537=0,$T$9,$T$7))</f>
        <v>0</v>
      </c>
      <c r="I537" s="1527"/>
      <c r="J537" s="1527"/>
      <c r="K537" s="1527"/>
      <c r="L537" s="1527"/>
      <c r="M537" s="1527"/>
      <c r="N537" s="1528"/>
      <c r="P537" s="12"/>
      <c r="Q537" s="12"/>
      <c r="R537" s="12"/>
      <c r="S537" s="12"/>
      <c r="T537" s="12"/>
      <c r="U537" s="12"/>
      <c r="V537" s="19"/>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row>
    <row r="538" spans="3:62" s="1" customFormat="1" ht="15" customHeight="1" x14ac:dyDescent="0.15">
      <c r="C538" s="1529"/>
      <c r="D538" s="1529"/>
      <c r="E538" s="1529"/>
      <c r="F538" s="1529"/>
      <c r="G538" s="1529"/>
      <c r="H538" s="1529"/>
      <c r="I538" s="1529"/>
      <c r="J538" s="1529"/>
      <c r="K538" s="1529"/>
      <c r="L538" s="1529"/>
      <c r="M538" s="1529"/>
      <c r="N538" s="1529"/>
      <c r="O538" s="1109"/>
      <c r="P538" s="1104"/>
      <c r="R538" s="12"/>
      <c r="S538" s="12"/>
      <c r="T538" s="188"/>
      <c r="U538" s="188"/>
      <c r="V538" s="502"/>
      <c r="W538" s="188"/>
      <c r="X538" s="188"/>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row>
    <row r="539" spans="3:62" s="1" customFormat="1" ht="19.5" customHeight="1" x14ac:dyDescent="0.15">
      <c r="C539" s="1530"/>
      <c r="D539" s="1530"/>
      <c r="E539" s="1530"/>
      <c r="F539" s="1530"/>
      <c r="G539" s="1530"/>
      <c r="H539" s="1530"/>
      <c r="I539" s="1530"/>
      <c r="J539" s="1530"/>
      <c r="K539" s="1530"/>
      <c r="L539" s="1530"/>
      <c r="M539" s="1530"/>
      <c r="N539" s="1530"/>
      <c r="O539" s="1109"/>
      <c r="P539" s="1104"/>
      <c r="R539" s="12"/>
      <c r="S539" s="12"/>
      <c r="T539" s="12"/>
      <c r="U539" s="12"/>
      <c r="V539" s="19"/>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row>
    <row r="540" spans="3:62" s="1" customFormat="1" ht="40.5" customHeight="1" x14ac:dyDescent="0.15">
      <c r="D540" s="1531" t="str">
        <f>IF($Q$2=2,"Réconciliation détaillée du compte "&amp;F542&amp;" - "&amp;C542,"Detailed Reconciliation of the Account "&amp;F542&amp;" - "&amp;C542)</f>
        <v>Detailed Reconciliation of the Account 2250 - Disponible ~ Available</v>
      </c>
      <c r="E540" s="1531"/>
      <c r="F540" s="1531"/>
      <c r="G540" s="1531"/>
      <c r="H540" s="1531"/>
      <c r="I540" s="1531"/>
      <c r="J540" s="1531"/>
      <c r="K540" s="1531"/>
      <c r="L540" s="1531"/>
      <c r="M540" s="1531"/>
      <c r="N540" s="1111"/>
      <c r="P540" s="12"/>
      <c r="R540" s="12"/>
      <c r="S540" s="12"/>
      <c r="T540" s="12"/>
      <c r="U540" s="1117"/>
      <c r="V540" s="19"/>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row>
    <row r="541" spans="3:62" s="1" customFormat="1" ht="29.25" customHeight="1" x14ac:dyDescent="0.15">
      <c r="C541" s="1523" t="str">
        <f>IF($Q$2=2,"Réconciliation selon les livres comptables","Reconciliation as per BookKeeping")</f>
        <v>Reconciliation as per BookKeeping</v>
      </c>
      <c r="D541" s="1523"/>
      <c r="E541" s="1523"/>
      <c r="F541" s="1523"/>
      <c r="G541" s="1523"/>
      <c r="I541" s="1523" t="str">
        <f>IF($Q$2=2,"Réconciliation selon l'état de compte","Reconciliation as per Account Statement")</f>
        <v>Reconciliation as per Account Statement</v>
      </c>
      <c r="J541" s="1523"/>
      <c r="K541" s="1523"/>
      <c r="L541" s="1523"/>
      <c r="M541" s="1523"/>
      <c r="N541" s="1112" t="str">
        <f>F542</f>
        <v>2250</v>
      </c>
      <c r="P541" s="188"/>
      <c r="R541" s="188"/>
      <c r="S541" s="188"/>
      <c r="T541" s="12"/>
      <c r="U541" s="12"/>
      <c r="V541" s="19"/>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row>
    <row r="542" spans="3:62" s="1" customFormat="1" ht="25.5" customHeight="1" thickBot="1" x14ac:dyDescent="0.2">
      <c r="C542" s="1532" t="str">
        <f>'Set up ~ Config'!G90</f>
        <v>Disponible ~ Available</v>
      </c>
      <c r="D542" s="1532"/>
      <c r="E542" s="1532"/>
      <c r="F542" s="1113" t="str">
        <f>LEFT('Set up ~ Config'!F90,4)</f>
        <v>2250</v>
      </c>
      <c r="G542" s="82"/>
      <c r="I542" s="1534"/>
      <c r="J542" s="1534"/>
      <c r="K542" s="1534"/>
      <c r="L542" s="1534"/>
      <c r="M542" s="1534"/>
      <c r="N542" s="1534"/>
      <c r="P542" s="12"/>
      <c r="R542" s="12"/>
      <c r="S542" s="12"/>
      <c r="T542" s="12"/>
      <c r="U542" s="12"/>
      <c r="V542" s="19"/>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row>
    <row r="543" spans="3:62" s="1" customFormat="1" ht="25.5" customHeight="1" thickTop="1" thickBot="1" x14ac:dyDescent="0.2">
      <c r="C543" s="1535" t="str">
        <f>IF($Q$2=2,"Solde du compte au ","Account Balance on ")</f>
        <v xml:space="preserve">Account Balance on </v>
      </c>
      <c r="D543" s="1535"/>
      <c r="E543" s="1535"/>
      <c r="F543" s="1114" t="e">
        <f>DATEVALUE('Set up ~ Config'!$L$5)</f>
        <v>#VALUE!</v>
      </c>
      <c r="G543" s="1115">
        <f>'Set up ~ Config'!D90</f>
        <v>0</v>
      </c>
      <c r="I543" s="1116" t="str">
        <f>IF($Q$2=2,"Date (aaaa-mm-jj):","Date (yyyy-mm-dd):")</f>
        <v>Date (yyyy-mm-dd):</v>
      </c>
      <c r="J543" s="957"/>
      <c r="K543" s="1536" t="str">
        <f>IF($Q$2=2,"Solde :","Balance :")</f>
        <v>Balance :</v>
      </c>
      <c r="L543" s="1537"/>
      <c r="M543" s="1538"/>
      <c r="N543" s="942"/>
      <c r="P543" s="12"/>
      <c r="Q543" s="1540"/>
      <c r="R543" s="1540"/>
      <c r="S543" s="1540"/>
      <c r="T543" s="12"/>
      <c r="U543" s="12"/>
      <c r="V543" s="19"/>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row>
    <row r="544" spans="3:62" s="1" customFormat="1" ht="25.5" customHeight="1" thickTop="1" x14ac:dyDescent="0.15">
      <c r="C544" s="1539" t="str">
        <f>IF($Q$2=2," Plus: Accroissements (Jrnl des dépenses)","Plus: Increases (Expense Jrnl)")</f>
        <v>Plus: Increases (Expense Jrnl)</v>
      </c>
      <c r="D544" s="1539"/>
      <c r="E544" s="1539"/>
      <c r="F544" s="1539"/>
      <c r="G544" s="1115">
        <f>'Jrnl Exp ~ Dép'!G563</f>
        <v>0</v>
      </c>
      <c r="H544" s="1118"/>
      <c r="P544" s="12"/>
      <c r="Q544" s="12"/>
      <c r="R544" s="12"/>
      <c r="S544" s="12"/>
      <c r="T544" s="12"/>
      <c r="U544" s="12"/>
      <c r="V544" s="19"/>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row>
    <row r="545" spans="3:62" s="1" customFormat="1" ht="25.5" customHeight="1" x14ac:dyDescent="0.15">
      <c r="C545" s="1539" t="str">
        <f>IF($Q$2=2,"Moins: Décroissements (Jrnl des revenus)","Less: Decreases (Revenue Jrnl)")</f>
        <v>Less: Decreases (Revenue Jrnl)</v>
      </c>
      <c r="D545" s="1539"/>
      <c r="E545" s="1539"/>
      <c r="F545" s="1539"/>
      <c r="G545" s="1115">
        <f>'Jrnl Rev'!G563</f>
        <v>0</v>
      </c>
      <c r="J545" s="188"/>
      <c r="K545" s="188"/>
      <c r="L545" s="188"/>
      <c r="M545" s="188"/>
      <c r="N545" s="1119"/>
      <c r="P545" s="12"/>
      <c r="Q545" s="12"/>
      <c r="R545" s="12"/>
      <c r="S545" s="12"/>
      <c r="T545" s="12"/>
      <c r="U545" s="12"/>
      <c r="V545" s="19"/>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row>
    <row r="546" spans="3:62" s="1" customFormat="1" ht="25.5" customHeight="1" x14ac:dyDescent="0.15">
      <c r="C546" s="1533"/>
      <c r="D546" s="1533"/>
      <c r="E546" s="1533"/>
      <c r="F546" s="1533"/>
      <c r="H546" s="1118"/>
      <c r="P546" s="12"/>
      <c r="Q546" s="12"/>
      <c r="R546" s="12"/>
      <c r="S546" s="12"/>
      <c r="T546" s="12"/>
      <c r="U546" s="12"/>
      <c r="V546" s="19"/>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row>
    <row r="547" spans="3:62" s="1" customFormat="1" ht="25.5" customHeight="1" thickBot="1" x14ac:dyDescent="0.2">
      <c r="C547" s="1524" t="str">
        <f>IF($Q$2=2,F542&amp;" Fonds disponible du compte",F542&amp;" Account Available Funds")</f>
        <v>2250 Account Available Funds</v>
      </c>
      <c r="D547" s="1524"/>
      <c r="E547" s="1524"/>
      <c r="F547" s="1524"/>
      <c r="G547" s="1120"/>
      <c r="I547" s="18"/>
      <c r="J547" s="12"/>
      <c r="K547" s="12"/>
      <c r="L547" s="12"/>
      <c r="M547" s="12"/>
      <c r="N547" s="1121"/>
      <c r="P547" s="12"/>
      <c r="Q547" s="12"/>
      <c r="R547" s="12"/>
      <c r="S547" s="12"/>
      <c r="T547" s="12"/>
      <c r="U547" s="12"/>
      <c r="V547" s="19"/>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row>
    <row r="548" spans="3:62" s="1" customFormat="1" ht="25.5" customHeight="1" thickBot="1" x14ac:dyDescent="0.2">
      <c r="C548" s="1525" t="str">
        <f>IF($Q$2=2,"Solde reporté à la ligne "&amp;F542&amp;" du Bilan - page 8","This balance fwrd'd to line "&amp;F542&amp;" of Balance Sheet -  page 8")</f>
        <v>This balance fwrd'd to line 2250 of Balance Sheet -  page 8</v>
      </c>
      <c r="D548" s="1525"/>
      <c r="E548" s="1525"/>
      <c r="F548" s="1525"/>
      <c r="G548" s="1122">
        <f>IF(AND(SUM(G543+G544-G545)&lt;0.001,SUM(G543+G544-G545)&gt;-0.001),0,SUM(G543+G544-G545))</f>
        <v>0</v>
      </c>
      <c r="H548" s="605"/>
      <c r="J548" s="82"/>
      <c r="K548" s="82"/>
      <c r="L548" s="82"/>
      <c r="M548" s="1123"/>
      <c r="N548" s="1122">
        <f>N543</f>
        <v>0</v>
      </c>
      <c r="P548" s="12"/>
      <c r="Q548" s="12"/>
      <c r="R548" s="12"/>
      <c r="S548" s="12"/>
      <c r="T548" s="12"/>
      <c r="U548" s="12"/>
      <c r="V548" s="19"/>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row>
    <row r="549" spans="3:62" ht="9.75" customHeight="1" thickBot="1" x14ac:dyDescent="0.2">
      <c r="C549" s="1"/>
      <c r="D549" s="1"/>
      <c r="E549" s="1"/>
      <c r="F549" s="189"/>
      <c r="G549" s="1"/>
      <c r="H549" s="1"/>
      <c r="I549" s="1"/>
      <c r="J549" s="1118"/>
      <c r="K549" s="1"/>
      <c r="L549" s="1"/>
      <c r="M549" s="1124"/>
      <c r="N549" s="1"/>
      <c r="O549" s="1"/>
      <c r="P549" s="12"/>
      <c r="Q549" s="12"/>
      <c r="R549" s="12"/>
      <c r="S549" s="12"/>
    </row>
    <row r="550" spans="3:62" ht="25.5" customHeight="1" thickBot="1" x14ac:dyDescent="0.2">
      <c r="C550" s="1526"/>
      <c r="D550" s="1526"/>
      <c r="E550" s="1526"/>
      <c r="F550" s="1526"/>
      <c r="G550" s="1125">
        <f>IF(AND(G548-N548&lt;0.001,G548-N548&gt;-0.001),0,G548-N548)</f>
        <v>0</v>
      </c>
      <c r="H550" s="1527">
        <f>IF($Q$2=2,IF(G550=0,$T$8,$T$5),IF(G550=0,$T$9,$T$7))</f>
        <v>0</v>
      </c>
      <c r="I550" s="1527"/>
      <c r="J550" s="1527"/>
      <c r="K550" s="1527"/>
      <c r="L550" s="1527"/>
      <c r="M550" s="1527"/>
      <c r="N550" s="1528"/>
      <c r="O550" s="1"/>
      <c r="P550" s="12"/>
      <c r="Q550" s="12"/>
      <c r="R550" s="12"/>
      <c r="S550" s="12"/>
    </row>
    <row r="551" spans="3:62" s="1" customFormat="1" ht="15" customHeight="1" x14ac:dyDescent="0.15">
      <c r="C551" s="1529"/>
      <c r="D551" s="1529"/>
      <c r="E551" s="1529"/>
      <c r="F551" s="1529"/>
      <c r="G551" s="1529"/>
      <c r="H551" s="1529"/>
      <c r="I551" s="1529"/>
      <c r="J551" s="1529"/>
      <c r="K551" s="1529"/>
      <c r="L551" s="1529"/>
      <c r="M551" s="1529"/>
      <c r="N551" s="1529"/>
      <c r="O551" s="1109"/>
      <c r="P551" s="1104"/>
      <c r="R551" s="12"/>
      <c r="S551" s="12"/>
      <c r="T551" s="12"/>
      <c r="U551" s="12"/>
      <c r="V551" s="19"/>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row>
    <row r="552" spans="3:62" s="1" customFormat="1" ht="19.5" customHeight="1" x14ac:dyDescent="0.15">
      <c r="C552" s="1530"/>
      <c r="D552" s="1530"/>
      <c r="E552" s="1530"/>
      <c r="F552" s="1530"/>
      <c r="G552" s="1530"/>
      <c r="H552" s="1530"/>
      <c r="I552" s="1530"/>
      <c r="J552" s="1530"/>
      <c r="K552" s="1530"/>
      <c r="L552" s="1530"/>
      <c r="M552" s="1530"/>
      <c r="N552" s="1530"/>
      <c r="O552" s="1109"/>
      <c r="P552" s="1104"/>
      <c r="R552" s="12"/>
      <c r="S552" s="12"/>
      <c r="T552" s="188"/>
      <c r="U552" s="188"/>
      <c r="V552" s="502"/>
      <c r="W552" s="188"/>
      <c r="X552" s="188"/>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row>
    <row r="553" spans="3:62" s="1" customFormat="1" ht="40.5" customHeight="1" x14ac:dyDescent="0.15">
      <c r="D553" s="1531" t="str">
        <f>IF($Q$2=2,"Réconciliation détaillée du compte "&amp;F555&amp;" - "&amp;C555,"Detailed Reconciliation of the Account "&amp;F555&amp;" - "&amp;C555)</f>
        <v>Detailed Reconciliation of the Account 2260 - Disponible ~ Available</v>
      </c>
      <c r="E553" s="1531"/>
      <c r="F553" s="1531"/>
      <c r="G553" s="1531"/>
      <c r="H553" s="1531"/>
      <c r="I553" s="1531"/>
      <c r="J553" s="1531"/>
      <c r="K553" s="1531"/>
      <c r="L553" s="1531"/>
      <c r="M553" s="1531"/>
      <c r="N553" s="1111"/>
      <c r="P553" s="12"/>
      <c r="R553" s="12"/>
      <c r="S553" s="12"/>
      <c r="T553" s="12"/>
      <c r="U553" s="12"/>
      <c r="V553" s="19"/>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row>
    <row r="554" spans="3:62" s="1" customFormat="1" ht="29.25" customHeight="1" x14ac:dyDescent="0.15">
      <c r="C554" s="1523" t="str">
        <f>IF($Q$2=2,"Réconciliation selon les livres comptables","Reconciliation as per BookKeeping")</f>
        <v>Reconciliation as per BookKeeping</v>
      </c>
      <c r="D554" s="1523"/>
      <c r="E554" s="1523"/>
      <c r="F554" s="1523"/>
      <c r="G554" s="1523"/>
      <c r="I554" s="1523" t="str">
        <f>IF($Q$2=2,"Réconciliation selon l'état de compte","Reconciliation as per Account Statement")</f>
        <v>Reconciliation as per Account Statement</v>
      </c>
      <c r="J554" s="1523"/>
      <c r="K554" s="1523"/>
      <c r="L554" s="1523"/>
      <c r="M554" s="1523"/>
      <c r="N554" s="1112" t="str">
        <f>F555</f>
        <v>2260</v>
      </c>
      <c r="P554" s="188"/>
      <c r="R554" s="188"/>
      <c r="S554" s="188"/>
      <c r="T554" s="12"/>
      <c r="U554" s="1117"/>
      <c r="V554" s="19"/>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row>
    <row r="555" spans="3:62" s="1" customFormat="1" ht="25.5" customHeight="1" thickBot="1" x14ac:dyDescent="0.2">
      <c r="C555" s="1532" t="str">
        <f>'Set up ~ Config'!G91</f>
        <v>Disponible ~ Available</v>
      </c>
      <c r="D555" s="1532"/>
      <c r="E555" s="1532"/>
      <c r="F555" s="1113" t="str">
        <f>LEFT('Set up ~ Config'!F91,4)</f>
        <v>2260</v>
      </c>
      <c r="G555" s="82"/>
      <c r="I555" s="1534"/>
      <c r="J555" s="1534"/>
      <c r="K555" s="1534"/>
      <c r="L555" s="1534"/>
      <c r="M555" s="1534"/>
      <c r="N555" s="1534"/>
      <c r="P555" s="12"/>
      <c r="R555" s="12"/>
      <c r="S555" s="12"/>
      <c r="T555" s="12"/>
      <c r="U555" s="12"/>
      <c r="V555" s="19"/>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row>
    <row r="556" spans="3:62" s="1" customFormat="1" ht="25.5" customHeight="1" thickTop="1" thickBot="1" x14ac:dyDescent="0.2">
      <c r="C556" s="1535" t="str">
        <f>IF($Q$2=2,"Solde du compte au ","Account Balance on ")</f>
        <v xml:space="preserve">Account Balance on </v>
      </c>
      <c r="D556" s="1535"/>
      <c r="E556" s="1535"/>
      <c r="F556" s="1114" t="e">
        <f>DATEVALUE('Set up ~ Config'!$L$5)</f>
        <v>#VALUE!</v>
      </c>
      <c r="G556" s="1115">
        <f>'Set up ~ Config'!D91</f>
        <v>0</v>
      </c>
      <c r="I556" s="1116" t="str">
        <f>IF($Q$2=2,"Date (aaaa-mm-jj):","Date (yyyy-mm-dd):")</f>
        <v>Date (yyyy-mm-dd):</v>
      </c>
      <c r="J556" s="957"/>
      <c r="K556" s="1536" t="str">
        <f>IF($Q$2=2,"Solde :","Balance :")</f>
        <v>Balance :</v>
      </c>
      <c r="L556" s="1537"/>
      <c r="M556" s="1538"/>
      <c r="N556" s="942"/>
      <c r="P556" s="12"/>
      <c r="Q556" s="1540"/>
      <c r="R556" s="1540"/>
      <c r="S556" s="1540"/>
      <c r="T556" s="12"/>
      <c r="U556" s="12"/>
      <c r="V556" s="19"/>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row>
    <row r="557" spans="3:62" s="1" customFormat="1" ht="25.5" customHeight="1" thickTop="1" x14ac:dyDescent="0.15">
      <c r="C557" s="1539" t="str">
        <f>IF($Q$2=2," Plus: Accroissements (Jrnl des dépenses)","Plus: Increases (Expense Jrnl)")</f>
        <v>Plus: Increases (Expense Jrnl)</v>
      </c>
      <c r="D557" s="1539"/>
      <c r="E557" s="1539"/>
      <c r="F557" s="1539"/>
      <c r="G557" s="1115">
        <f>'Jrnl Exp ~ Dép'!G564</f>
        <v>0</v>
      </c>
      <c r="H557" s="1118"/>
      <c r="P557" s="12"/>
      <c r="Q557" s="12"/>
      <c r="R557" s="12"/>
      <c r="S557" s="12"/>
      <c r="T557" s="12"/>
      <c r="U557" s="12"/>
      <c r="V557" s="19"/>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row>
    <row r="558" spans="3:62" s="1" customFormat="1" ht="25.5" customHeight="1" x14ac:dyDescent="0.15">
      <c r="C558" s="1539" t="str">
        <f>IF($Q$2=2,"Moins: Décroissements (Jrnl des revenus)","Less: Decreases (Revenue Jrnl)")</f>
        <v>Less: Decreases (Revenue Jrnl)</v>
      </c>
      <c r="D558" s="1539"/>
      <c r="E558" s="1539"/>
      <c r="F558" s="1539"/>
      <c r="G558" s="1115">
        <f>'Jrnl Rev'!G564</f>
        <v>0</v>
      </c>
      <c r="J558" s="188"/>
      <c r="K558" s="188"/>
      <c r="L558" s="188"/>
      <c r="M558" s="188"/>
      <c r="N558" s="1119"/>
      <c r="P558" s="12"/>
      <c r="Q558" s="12"/>
      <c r="R558" s="12"/>
      <c r="S558" s="12"/>
      <c r="T558" s="12"/>
      <c r="U558" s="12"/>
      <c r="V558" s="19"/>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row>
    <row r="559" spans="3:62" s="1" customFormat="1" ht="25.5" customHeight="1" x14ac:dyDescent="0.15">
      <c r="C559" s="1533"/>
      <c r="D559" s="1533"/>
      <c r="E559" s="1533"/>
      <c r="F559" s="1533"/>
      <c r="H559" s="1118"/>
      <c r="P559" s="12"/>
      <c r="Q559" s="12"/>
      <c r="R559" s="12"/>
      <c r="S559" s="12"/>
      <c r="T559" s="12"/>
      <c r="U559" s="12"/>
      <c r="V559" s="19"/>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row>
    <row r="560" spans="3:62" s="1" customFormat="1" ht="25.5" customHeight="1" thickBot="1" x14ac:dyDescent="0.2">
      <c r="C560" s="1524" t="str">
        <f>IF($Q$2=2,F555&amp;" Fonds disponible du compte",F555&amp;" Account Available Funds")</f>
        <v>2260 Account Available Funds</v>
      </c>
      <c r="D560" s="1524"/>
      <c r="E560" s="1524"/>
      <c r="F560" s="1524"/>
      <c r="G560" s="1120"/>
      <c r="I560" s="18"/>
      <c r="J560" s="12"/>
      <c r="K560" s="12"/>
      <c r="L560" s="12"/>
      <c r="M560" s="12"/>
      <c r="N560" s="1121"/>
      <c r="P560" s="12"/>
      <c r="Q560" s="12"/>
      <c r="R560" s="12"/>
      <c r="S560" s="12"/>
      <c r="T560" s="12"/>
      <c r="U560" s="12"/>
      <c r="V560" s="19"/>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row>
    <row r="561" spans="3:62" s="1" customFormat="1" ht="25.5" customHeight="1" thickBot="1" x14ac:dyDescent="0.2">
      <c r="C561" s="1525" t="str">
        <f>IF($Q$2=2,"Solde reporté à la ligne "&amp;F555&amp;" du Bilan - page 8","This balance fwrd'd to line "&amp;F555&amp;" of Balance Sheet -  page 8")</f>
        <v>This balance fwrd'd to line 2260 of Balance Sheet -  page 8</v>
      </c>
      <c r="D561" s="1525"/>
      <c r="E561" s="1525"/>
      <c r="F561" s="1525"/>
      <c r="G561" s="1122">
        <f>IF(AND(SUM(G556+G557-G558)&lt;0.001,SUM(G556+G557-G558)&gt;-0.001),0,SUM(G556+G557-G558))</f>
        <v>0</v>
      </c>
      <c r="H561" s="605"/>
      <c r="J561" s="82"/>
      <c r="K561" s="82"/>
      <c r="L561" s="82"/>
      <c r="M561" s="1123"/>
      <c r="N561" s="1122">
        <f>N556</f>
        <v>0</v>
      </c>
      <c r="P561" s="12"/>
      <c r="Q561" s="12"/>
      <c r="R561" s="12"/>
      <c r="S561" s="12"/>
      <c r="T561" s="12"/>
      <c r="U561" s="12"/>
      <c r="V561" s="19"/>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row>
    <row r="562" spans="3:62" s="1" customFormat="1" ht="9.75" customHeight="1" thickBot="1" x14ac:dyDescent="0.2">
      <c r="F562" s="189"/>
      <c r="J562" s="1118"/>
      <c r="M562" s="1124"/>
      <c r="P562" s="12"/>
      <c r="Q562" s="12"/>
      <c r="R562" s="12"/>
      <c r="S562" s="12"/>
      <c r="T562" s="12"/>
      <c r="U562" s="12"/>
      <c r="V562" s="19"/>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row>
    <row r="563" spans="3:62" ht="25.5" customHeight="1" thickBot="1" x14ac:dyDescent="0.2">
      <c r="C563" s="1526"/>
      <c r="D563" s="1526"/>
      <c r="E563" s="1526"/>
      <c r="F563" s="1526"/>
      <c r="G563" s="1125">
        <f>IF(AND(G561-N561&lt;0.001,G561-N561&gt;-0.001),0,G561-N561)</f>
        <v>0</v>
      </c>
      <c r="H563" s="1527">
        <f>IF($Q$2=2,IF(G563=0,$T$8,$T$5),IF(G563=0,$T$9,$T$7))</f>
        <v>0</v>
      </c>
      <c r="I563" s="1527"/>
      <c r="J563" s="1527"/>
      <c r="K563" s="1527"/>
      <c r="L563" s="1527"/>
      <c r="M563" s="1527"/>
      <c r="N563" s="1528"/>
      <c r="O563" s="1"/>
      <c r="P563" s="12"/>
      <c r="Q563" s="12"/>
      <c r="R563" s="12"/>
      <c r="S563" s="12"/>
    </row>
    <row r="564" spans="3:62" ht="15" customHeight="1" x14ac:dyDescent="0.15">
      <c r="C564" s="1529"/>
      <c r="D564" s="1529"/>
      <c r="E564" s="1529"/>
      <c r="F564" s="1529"/>
      <c r="G564" s="1529"/>
      <c r="H564" s="1529"/>
      <c r="I564" s="1529"/>
      <c r="J564" s="1529"/>
      <c r="K564" s="1529"/>
      <c r="L564" s="1529"/>
      <c r="M564" s="1529"/>
      <c r="N564" s="1529"/>
      <c r="O564" s="1109"/>
      <c r="P564" s="1104"/>
      <c r="Q564" s="1"/>
      <c r="R564" s="12"/>
      <c r="S564" s="12"/>
    </row>
    <row r="565" spans="3:62" s="1" customFormat="1" ht="19.5" customHeight="1" x14ac:dyDescent="0.15">
      <c r="C565" s="1530"/>
      <c r="D565" s="1530"/>
      <c r="E565" s="1530"/>
      <c r="F565" s="1530"/>
      <c r="G565" s="1530"/>
      <c r="H565" s="1530"/>
      <c r="I565" s="1530"/>
      <c r="J565" s="1530"/>
      <c r="K565" s="1530"/>
      <c r="L565" s="1530"/>
      <c r="M565" s="1530"/>
      <c r="N565" s="1530"/>
      <c r="O565" s="1109"/>
      <c r="P565" s="1104"/>
      <c r="R565" s="12"/>
      <c r="S565" s="12"/>
      <c r="T565" s="12"/>
      <c r="U565" s="12"/>
      <c r="V565" s="19"/>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row>
    <row r="566" spans="3:62" s="1" customFormat="1" ht="40.5" customHeight="1" x14ac:dyDescent="0.15">
      <c r="D566" s="1531" t="str">
        <f>IF($Q$2=2,"Réconciliation détaillée du compte "&amp;F568&amp;" - "&amp;C568,"Detailed Reconciliation of the Account "&amp;F568&amp;" - "&amp;C568)</f>
        <v>Detailed Reconciliation of the Account 2270 - Disponible ~ Available</v>
      </c>
      <c r="E566" s="1531"/>
      <c r="F566" s="1531"/>
      <c r="G566" s="1531"/>
      <c r="H566" s="1531"/>
      <c r="I566" s="1531"/>
      <c r="J566" s="1531"/>
      <c r="K566" s="1531"/>
      <c r="L566" s="1531"/>
      <c r="M566" s="1531"/>
      <c r="N566" s="1111"/>
      <c r="P566" s="12"/>
      <c r="R566" s="12"/>
      <c r="S566" s="12"/>
      <c r="T566" s="188"/>
      <c r="U566" s="188"/>
      <c r="V566" s="502"/>
      <c r="W566" s="188"/>
      <c r="X566" s="188"/>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row>
    <row r="567" spans="3:62" s="1" customFormat="1" ht="29.25" customHeight="1" x14ac:dyDescent="0.15">
      <c r="C567" s="1523" t="str">
        <f>IF($Q$2=2,"Réconciliation selon les livres comptables","Reconciliation as per BookKeeping")</f>
        <v>Reconciliation as per BookKeeping</v>
      </c>
      <c r="D567" s="1523"/>
      <c r="E567" s="1523"/>
      <c r="F567" s="1523"/>
      <c r="G567" s="1523"/>
      <c r="I567" s="1523" t="str">
        <f>IF($Q$2=2,"Réconciliation selon l'état de compte","Reconciliation as per Account Statement")</f>
        <v>Reconciliation as per Account Statement</v>
      </c>
      <c r="J567" s="1523"/>
      <c r="K567" s="1523"/>
      <c r="L567" s="1523"/>
      <c r="M567" s="1523"/>
      <c r="N567" s="1112" t="str">
        <f>F568</f>
        <v>2270</v>
      </c>
      <c r="P567" s="188"/>
      <c r="R567" s="188"/>
      <c r="S567" s="188"/>
      <c r="T567" s="12"/>
      <c r="U567" s="12"/>
      <c r="V567" s="19"/>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row>
    <row r="568" spans="3:62" s="1" customFormat="1" ht="25.5" customHeight="1" thickBot="1" x14ac:dyDescent="0.2">
      <c r="C568" s="1532" t="str">
        <f>'Set up ~ Config'!G92</f>
        <v>Disponible ~ Available</v>
      </c>
      <c r="D568" s="1532"/>
      <c r="E568" s="1532"/>
      <c r="F568" s="1113" t="str">
        <f>LEFT('Set up ~ Config'!F92,4)</f>
        <v>2270</v>
      </c>
      <c r="G568" s="82"/>
      <c r="I568" s="1534"/>
      <c r="J568" s="1534"/>
      <c r="K568" s="1534"/>
      <c r="L568" s="1534"/>
      <c r="M568" s="1534"/>
      <c r="N568" s="1534"/>
      <c r="P568" s="12"/>
      <c r="R568" s="12"/>
      <c r="S568" s="12"/>
      <c r="T568" s="12"/>
      <c r="U568" s="1117"/>
      <c r="V568" s="19"/>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row>
    <row r="569" spans="3:62" s="1" customFormat="1" ht="25.5" customHeight="1" thickTop="1" thickBot="1" x14ac:dyDescent="0.2">
      <c r="C569" s="1535" t="str">
        <f>IF($Q$2=2,"Solde du compte au ","Account Balance on ")</f>
        <v xml:space="preserve">Account Balance on </v>
      </c>
      <c r="D569" s="1535"/>
      <c r="E569" s="1535"/>
      <c r="F569" s="1114" t="e">
        <f>DATEVALUE('Set up ~ Config'!$L$5)</f>
        <v>#VALUE!</v>
      </c>
      <c r="G569" s="1115">
        <f>'Set up ~ Config'!D92</f>
        <v>0</v>
      </c>
      <c r="I569" s="1116" t="str">
        <f>IF($Q$2=2,"Date (aaaa-mm-jj):","Date (yyyy-mm-dd):")</f>
        <v>Date (yyyy-mm-dd):</v>
      </c>
      <c r="J569" s="957"/>
      <c r="K569" s="1536" t="str">
        <f>IF($Q$2=2,"Solde :","Balance :")</f>
        <v>Balance :</v>
      </c>
      <c r="L569" s="1537"/>
      <c r="M569" s="1538"/>
      <c r="N569" s="942"/>
      <c r="P569" s="12"/>
      <c r="Q569" s="1540"/>
      <c r="R569" s="1540"/>
      <c r="S569" s="1540"/>
      <c r="T569" s="12"/>
      <c r="U569" s="12"/>
      <c r="V569" s="19"/>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row>
    <row r="570" spans="3:62" s="1" customFormat="1" ht="25.5" customHeight="1" thickTop="1" x14ac:dyDescent="0.15">
      <c r="C570" s="1539" t="str">
        <f>IF($Q$2=2," Plus: Accroissements (Jrnl des dépenses)","Plus: Increases (Expense Jrnl)")</f>
        <v>Plus: Increases (Expense Jrnl)</v>
      </c>
      <c r="D570" s="1539"/>
      <c r="E570" s="1539"/>
      <c r="F570" s="1539"/>
      <c r="G570" s="1115">
        <f>'Jrnl Exp ~ Dép'!G565</f>
        <v>0</v>
      </c>
      <c r="H570" s="1118"/>
      <c r="P570" s="12"/>
      <c r="Q570" s="12"/>
      <c r="R570" s="12"/>
      <c r="S570" s="12"/>
      <c r="T570" s="12"/>
      <c r="U570" s="12"/>
      <c r="V570" s="19"/>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row>
    <row r="571" spans="3:62" s="1" customFormat="1" ht="25.5" customHeight="1" x14ac:dyDescent="0.15">
      <c r="C571" s="1539" t="str">
        <f>IF($Q$2=2,"Moins: Décroissements (Jrnl des revenus)","Less: Decreases (Revenue Jrnl)")</f>
        <v>Less: Decreases (Revenue Jrnl)</v>
      </c>
      <c r="D571" s="1539"/>
      <c r="E571" s="1539"/>
      <c r="F571" s="1539"/>
      <c r="G571" s="1115">
        <f>'Jrnl Rev'!G565</f>
        <v>0</v>
      </c>
      <c r="J571" s="188"/>
      <c r="K571" s="188"/>
      <c r="L571" s="188"/>
      <c r="M571" s="188"/>
      <c r="N571" s="1119"/>
      <c r="P571" s="12"/>
      <c r="Q571" s="12"/>
      <c r="R571" s="12"/>
      <c r="S571" s="12"/>
      <c r="T571" s="12"/>
      <c r="U571" s="12"/>
      <c r="V571" s="19"/>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row>
    <row r="572" spans="3:62" s="1" customFormat="1" ht="25.5" customHeight="1" x14ac:dyDescent="0.15">
      <c r="C572" s="1533"/>
      <c r="D572" s="1533"/>
      <c r="E572" s="1533"/>
      <c r="F572" s="1533"/>
      <c r="H572" s="1118"/>
      <c r="P572" s="12"/>
      <c r="Q572" s="12"/>
      <c r="R572" s="12"/>
      <c r="S572" s="12"/>
      <c r="T572" s="12"/>
      <c r="U572" s="12"/>
      <c r="V572" s="19"/>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row>
    <row r="573" spans="3:62" s="1" customFormat="1" ht="25.5" customHeight="1" thickBot="1" x14ac:dyDescent="0.2">
      <c r="C573" s="1524" t="str">
        <f>IF($Q$2=2,F568&amp;" Fonds disponible du compte",F568&amp;" Account Available Funds")</f>
        <v>2270 Account Available Funds</v>
      </c>
      <c r="D573" s="1524"/>
      <c r="E573" s="1524"/>
      <c r="F573" s="1524"/>
      <c r="G573" s="1120"/>
      <c r="I573" s="18"/>
      <c r="J573" s="12"/>
      <c r="K573" s="12"/>
      <c r="L573" s="12"/>
      <c r="M573" s="12"/>
      <c r="N573" s="1121"/>
      <c r="P573" s="12"/>
      <c r="Q573" s="12"/>
      <c r="R573" s="12"/>
      <c r="S573" s="12"/>
      <c r="T573" s="12"/>
      <c r="U573" s="12"/>
      <c r="V573" s="19"/>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row>
    <row r="574" spans="3:62" s="1" customFormat="1" ht="25.5" customHeight="1" thickBot="1" x14ac:dyDescent="0.2">
      <c r="C574" s="1525" t="str">
        <f>IF($Q$2=2,"Solde reporté à la ligne "&amp;F568&amp;" du Bilan - page 8","This balance fwrd'd to line "&amp;F568&amp;" of Balance Sheet -  page 8")</f>
        <v>This balance fwrd'd to line 2270 of Balance Sheet -  page 8</v>
      </c>
      <c r="D574" s="1525"/>
      <c r="E574" s="1525"/>
      <c r="F574" s="1525"/>
      <c r="G574" s="1122">
        <f>IF(AND(SUM(G569+G570-G571)&lt;0.001,SUM(G569+G570-G571)&gt;-0.001),0,SUM(G569+G570-G571))</f>
        <v>0</v>
      </c>
      <c r="H574" s="605"/>
      <c r="J574" s="82"/>
      <c r="K574" s="82"/>
      <c r="L574" s="82"/>
      <c r="M574" s="1123"/>
      <c r="N574" s="1122">
        <f>N569</f>
        <v>0</v>
      </c>
      <c r="P574" s="12"/>
      <c r="Q574" s="12"/>
      <c r="R574" s="12"/>
      <c r="S574" s="12"/>
      <c r="T574" s="12"/>
      <c r="U574" s="12"/>
      <c r="V574" s="19"/>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row>
    <row r="575" spans="3:62" s="1" customFormat="1" ht="9.75" customHeight="1" thickBot="1" x14ac:dyDescent="0.2">
      <c r="F575" s="189"/>
      <c r="J575" s="1118"/>
      <c r="M575" s="1124"/>
      <c r="P575" s="12"/>
      <c r="Q575" s="12"/>
      <c r="R575" s="12"/>
      <c r="S575" s="12"/>
      <c r="T575" s="12"/>
      <c r="U575" s="12"/>
      <c r="V575" s="19"/>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row>
    <row r="576" spans="3:62" s="1" customFormat="1" ht="25.5" customHeight="1" thickBot="1" x14ac:dyDescent="0.2">
      <c r="C576" s="1526"/>
      <c r="D576" s="1526"/>
      <c r="E576" s="1526"/>
      <c r="F576" s="1526"/>
      <c r="G576" s="1125">
        <f>IF(AND(G574-N574&lt;0.001,G574-N574&gt;-0.001),0,G574-N574)</f>
        <v>0</v>
      </c>
      <c r="H576" s="1527">
        <f>IF($Q$2=2,IF(G576=0,$T$8,$T$5),IF(G576=0,$T$9,$T$7))</f>
        <v>0</v>
      </c>
      <c r="I576" s="1527"/>
      <c r="J576" s="1527"/>
      <c r="K576" s="1527"/>
      <c r="L576" s="1527"/>
      <c r="M576" s="1527"/>
      <c r="N576" s="1528"/>
      <c r="P576" s="12"/>
      <c r="Q576" s="12"/>
      <c r="R576" s="12"/>
      <c r="S576" s="12"/>
      <c r="T576" s="12"/>
      <c r="U576" s="12"/>
      <c r="V576" s="19"/>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row>
    <row r="577" spans="3:62" ht="15" customHeight="1" x14ac:dyDescent="0.15">
      <c r="C577" s="1529"/>
      <c r="D577" s="1529"/>
      <c r="E577" s="1529"/>
      <c r="F577" s="1529"/>
      <c r="G577" s="1529"/>
      <c r="H577" s="1529"/>
      <c r="I577" s="1529"/>
      <c r="J577" s="1529"/>
      <c r="K577" s="1529"/>
      <c r="L577" s="1529"/>
      <c r="M577" s="1529"/>
      <c r="N577" s="1529"/>
      <c r="O577" s="1109"/>
      <c r="P577" s="1104"/>
      <c r="Q577" s="1"/>
      <c r="R577" s="12"/>
      <c r="S577" s="12"/>
    </row>
    <row r="578" spans="3:62" ht="19.5" customHeight="1" x14ac:dyDescent="0.15">
      <c r="C578" s="1530"/>
      <c r="D578" s="1530"/>
      <c r="E578" s="1530"/>
      <c r="F578" s="1530"/>
      <c r="G578" s="1530"/>
      <c r="H578" s="1530"/>
      <c r="I578" s="1530"/>
      <c r="J578" s="1530"/>
      <c r="K578" s="1530"/>
      <c r="L578" s="1530"/>
      <c r="M578" s="1530"/>
      <c r="N578" s="1530"/>
      <c r="O578" s="1109"/>
      <c r="P578" s="1104"/>
      <c r="Q578" s="1"/>
      <c r="R578" s="12"/>
      <c r="S578" s="12"/>
    </row>
    <row r="579" spans="3:62" s="1" customFormat="1" ht="40.5" customHeight="1" x14ac:dyDescent="0.15">
      <c r="D579" s="1531" t="str">
        <f>IF($Q$2=2,"Réconciliation détaillée du compte "&amp;F581&amp;" - "&amp;C581,"Detailed Reconciliation of the Account "&amp;F581&amp;" - "&amp;C581)</f>
        <v>Detailed Reconciliation of the Account 2280 - Disponible ~ Available</v>
      </c>
      <c r="E579" s="1531"/>
      <c r="F579" s="1531"/>
      <c r="G579" s="1531"/>
      <c r="H579" s="1531"/>
      <c r="I579" s="1531"/>
      <c r="J579" s="1531"/>
      <c r="K579" s="1531"/>
      <c r="L579" s="1531"/>
      <c r="M579" s="1531"/>
      <c r="N579" s="1111"/>
      <c r="P579" s="12"/>
      <c r="R579" s="12"/>
      <c r="S579" s="12"/>
      <c r="T579" s="12"/>
      <c r="U579" s="12"/>
      <c r="V579" s="19"/>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row>
    <row r="580" spans="3:62" s="1" customFormat="1" ht="29.25" customHeight="1" x14ac:dyDescent="0.15">
      <c r="C580" s="1523" t="str">
        <f>IF($Q$2=2,"Réconciliation selon les livres comptables","Reconciliation as per BookKeeping")</f>
        <v>Reconciliation as per BookKeeping</v>
      </c>
      <c r="D580" s="1523"/>
      <c r="E580" s="1523"/>
      <c r="F580" s="1523"/>
      <c r="G580" s="1523"/>
      <c r="I580" s="1523" t="str">
        <f>IF($Q$2=2,"Réconciliation selon l'état de compte","Reconciliation as per Account Statement")</f>
        <v>Reconciliation as per Account Statement</v>
      </c>
      <c r="J580" s="1523"/>
      <c r="K580" s="1523"/>
      <c r="L580" s="1523"/>
      <c r="M580" s="1523"/>
      <c r="N580" s="1112" t="str">
        <f>F581</f>
        <v>2280</v>
      </c>
      <c r="P580" s="188"/>
      <c r="R580" s="188"/>
      <c r="S580" s="188"/>
      <c r="T580" s="188"/>
      <c r="U580" s="188"/>
      <c r="V580" s="502"/>
      <c r="W580" s="188"/>
      <c r="X580" s="188"/>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row>
    <row r="581" spans="3:62" s="1" customFormat="1" ht="25.5" customHeight="1" thickBot="1" x14ac:dyDescent="0.2">
      <c r="C581" s="1532" t="str">
        <f>'Set up ~ Config'!G93</f>
        <v>Disponible ~ Available</v>
      </c>
      <c r="D581" s="1532"/>
      <c r="E581" s="1532"/>
      <c r="F581" s="1113" t="str">
        <f>LEFT('Set up ~ Config'!F93,4)</f>
        <v>2280</v>
      </c>
      <c r="G581" s="82"/>
      <c r="I581" s="1534"/>
      <c r="J581" s="1534"/>
      <c r="K581" s="1534"/>
      <c r="L581" s="1534"/>
      <c r="M581" s="1534"/>
      <c r="N581" s="1534"/>
      <c r="P581" s="12"/>
      <c r="R581" s="12"/>
      <c r="S581" s="12"/>
      <c r="T581" s="12"/>
      <c r="U581" s="12"/>
      <c r="V581" s="19"/>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row>
    <row r="582" spans="3:62" s="1" customFormat="1" ht="25.5" customHeight="1" thickTop="1" thickBot="1" x14ac:dyDescent="0.2">
      <c r="C582" s="1535" t="str">
        <f>IF($Q$2=2,"Solde du compte au ","Account Balance on ")</f>
        <v xml:space="preserve">Account Balance on </v>
      </c>
      <c r="D582" s="1535"/>
      <c r="E582" s="1535"/>
      <c r="F582" s="1114" t="e">
        <f>DATEVALUE('Set up ~ Config'!$L$5)</f>
        <v>#VALUE!</v>
      </c>
      <c r="G582" s="1115">
        <f>'Set up ~ Config'!D93</f>
        <v>0</v>
      </c>
      <c r="I582" s="1116" t="str">
        <f>IF($Q$2=2,"Date (aaaa-mm-jj):","Date (yyyy-mm-dd):")</f>
        <v>Date (yyyy-mm-dd):</v>
      </c>
      <c r="J582" s="957"/>
      <c r="K582" s="1536" t="str">
        <f>IF($Q$2=2,"Solde :","Balance :")</f>
        <v>Balance :</v>
      </c>
      <c r="L582" s="1537"/>
      <c r="M582" s="1538"/>
      <c r="N582" s="942"/>
      <c r="P582" s="12"/>
      <c r="Q582" s="1540"/>
      <c r="R582" s="1540"/>
      <c r="S582" s="1540"/>
      <c r="T582" s="12"/>
      <c r="U582" s="1117"/>
      <c r="V582" s="19"/>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row>
    <row r="583" spans="3:62" s="1" customFormat="1" ht="25.5" customHeight="1" thickTop="1" x14ac:dyDescent="0.15">
      <c r="C583" s="1539" t="str">
        <f>IF($Q$2=2," Plus: Accroissements (Jrnl des dépenses)","Plus: Increases (Expense Jrnl)")</f>
        <v>Plus: Increases (Expense Jrnl)</v>
      </c>
      <c r="D583" s="1539"/>
      <c r="E583" s="1539"/>
      <c r="F583" s="1539"/>
      <c r="G583" s="1115">
        <f>'Jrnl Exp ~ Dép'!G566</f>
        <v>0</v>
      </c>
      <c r="H583" s="1118"/>
      <c r="P583" s="12"/>
      <c r="Q583" s="12"/>
      <c r="R583" s="12"/>
      <c r="S583" s="12"/>
      <c r="T583" s="12"/>
      <c r="U583" s="12"/>
      <c r="V583" s="19"/>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row>
    <row r="584" spans="3:62" s="1" customFormat="1" ht="25.5" customHeight="1" x14ac:dyDescent="0.15">
      <c r="C584" s="1539" t="str">
        <f>IF($Q$2=2,"Moins: Décroissements (Jrnl des revenus)","Less: Decreases (Revenue Jrnl)")</f>
        <v>Less: Decreases (Revenue Jrnl)</v>
      </c>
      <c r="D584" s="1539"/>
      <c r="E584" s="1539"/>
      <c r="F584" s="1539"/>
      <c r="G584" s="1115">
        <f>'Jrnl Rev'!G566</f>
        <v>0</v>
      </c>
      <c r="J584" s="188"/>
      <c r="K584" s="188"/>
      <c r="L584" s="188"/>
      <c r="M584" s="188"/>
      <c r="N584" s="1119"/>
      <c r="P584" s="12"/>
      <c r="Q584" s="12"/>
      <c r="R584" s="12"/>
      <c r="S584" s="12"/>
      <c r="T584" s="12"/>
      <c r="U584" s="12"/>
      <c r="V584" s="19"/>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row>
    <row r="585" spans="3:62" s="1" customFormat="1" ht="25.5" customHeight="1" x14ac:dyDescent="0.15">
      <c r="C585" s="1533"/>
      <c r="D585" s="1533"/>
      <c r="E585" s="1533"/>
      <c r="F585" s="1533"/>
      <c r="H585" s="1118"/>
      <c r="P585" s="12"/>
      <c r="Q585" s="12"/>
      <c r="R585" s="12"/>
      <c r="S585" s="12"/>
      <c r="T585" s="12"/>
      <c r="U585" s="12"/>
      <c r="V585" s="19"/>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row>
    <row r="586" spans="3:62" s="1" customFormat="1" ht="25.5" customHeight="1" thickBot="1" x14ac:dyDescent="0.2">
      <c r="C586" s="1524" t="str">
        <f>IF($Q$2=2,F581&amp;" Fonds disponible du compte",F581&amp;" Account Available Funds")</f>
        <v>2280 Account Available Funds</v>
      </c>
      <c r="D586" s="1524"/>
      <c r="E586" s="1524"/>
      <c r="F586" s="1524"/>
      <c r="G586" s="1120"/>
      <c r="I586" s="18"/>
      <c r="J586" s="12"/>
      <c r="K586" s="12"/>
      <c r="L586" s="12"/>
      <c r="M586" s="12"/>
      <c r="N586" s="1121"/>
      <c r="P586" s="12"/>
      <c r="Q586" s="12"/>
      <c r="R586" s="12"/>
      <c r="S586" s="12"/>
      <c r="T586" s="12"/>
      <c r="U586" s="12"/>
      <c r="V586" s="19"/>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row>
    <row r="587" spans="3:62" s="1" customFormat="1" ht="25.5" customHeight="1" thickBot="1" x14ac:dyDescent="0.2">
      <c r="C587" s="1525" t="str">
        <f>IF($Q$2=2,"Solde reporté à la ligne "&amp;F581&amp;" du Bilan - page 8","This balance fwrd'd to line "&amp;F581&amp;" of Balance Sheet -  page 8")</f>
        <v>This balance fwrd'd to line 2280 of Balance Sheet -  page 8</v>
      </c>
      <c r="D587" s="1525"/>
      <c r="E587" s="1525"/>
      <c r="F587" s="1525"/>
      <c r="G587" s="1122">
        <f>IF(AND(SUM(G582+G583-G584)&lt;0.001,SUM(G582+G583-G584)&gt;-0.001),0,SUM(G582+G583-G584))</f>
        <v>0</v>
      </c>
      <c r="H587" s="605"/>
      <c r="J587" s="82"/>
      <c r="K587" s="82"/>
      <c r="L587" s="82"/>
      <c r="M587" s="1123"/>
      <c r="N587" s="1122">
        <f>N582</f>
        <v>0</v>
      </c>
      <c r="P587" s="12"/>
      <c r="Q587" s="12"/>
      <c r="R587" s="12"/>
      <c r="S587" s="12"/>
      <c r="T587" s="12"/>
      <c r="U587" s="12"/>
      <c r="V587" s="19"/>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row>
    <row r="588" spans="3:62" s="1" customFormat="1" ht="9.75" customHeight="1" thickBot="1" x14ac:dyDescent="0.2">
      <c r="F588" s="189"/>
      <c r="J588" s="1118"/>
      <c r="M588" s="1124"/>
      <c r="P588" s="12"/>
      <c r="Q588" s="12"/>
      <c r="R588" s="12"/>
      <c r="S588" s="12"/>
      <c r="T588" s="12"/>
      <c r="U588" s="12"/>
      <c r="V588" s="19"/>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row>
    <row r="589" spans="3:62" s="1" customFormat="1" ht="25.5" customHeight="1" thickBot="1" x14ac:dyDescent="0.2">
      <c r="C589" s="1526"/>
      <c r="D589" s="1526"/>
      <c r="E589" s="1526"/>
      <c r="F589" s="1526"/>
      <c r="G589" s="1125">
        <f>IF(AND(G587-N587&lt;0.001,G587-N587&gt;-0.001),0,G587-N587)</f>
        <v>0</v>
      </c>
      <c r="H589" s="1527">
        <f>IF($Q$2=2,IF(G589=0,$T$8,$T$5),IF(G589=0,$T$9,$T$7))</f>
        <v>0</v>
      </c>
      <c r="I589" s="1527"/>
      <c r="J589" s="1527"/>
      <c r="K589" s="1527"/>
      <c r="L589" s="1527"/>
      <c r="M589" s="1527"/>
      <c r="N589" s="1528"/>
      <c r="P589" s="12"/>
      <c r="Q589" s="12"/>
      <c r="R589" s="12"/>
      <c r="S589" s="12"/>
      <c r="T589" s="12"/>
      <c r="U589" s="12"/>
      <c r="V589" s="19"/>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row>
    <row r="590" spans="3:62" s="1" customFormat="1" ht="15" customHeight="1" x14ac:dyDescent="0.15">
      <c r="C590" s="1529"/>
      <c r="D590" s="1529"/>
      <c r="E590" s="1529"/>
      <c r="F590" s="1529"/>
      <c r="G590" s="1529"/>
      <c r="H590" s="1529"/>
      <c r="I590" s="1529"/>
      <c r="J590" s="1529"/>
      <c r="K590" s="1529"/>
      <c r="L590" s="1529"/>
      <c r="M590" s="1529"/>
      <c r="N590" s="1529"/>
      <c r="O590" s="1109"/>
      <c r="P590" s="1104"/>
      <c r="R590" s="12"/>
      <c r="S590" s="12"/>
      <c r="T590" s="12"/>
      <c r="U590" s="12"/>
      <c r="V590" s="19"/>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row>
    <row r="591" spans="3:62" ht="19.5" customHeight="1" x14ac:dyDescent="0.15">
      <c r="C591" s="1530"/>
      <c r="D591" s="1530"/>
      <c r="E591" s="1530"/>
      <c r="F591" s="1530"/>
      <c r="G591" s="1530"/>
      <c r="H591" s="1530"/>
      <c r="I591" s="1530"/>
      <c r="J591" s="1530"/>
      <c r="K591" s="1530"/>
      <c r="L591" s="1530"/>
      <c r="M591" s="1530"/>
      <c r="N591" s="1530"/>
      <c r="O591" s="1109"/>
      <c r="P591" s="1104"/>
      <c r="Q591" s="1"/>
      <c r="R591" s="12"/>
      <c r="S591" s="12"/>
    </row>
    <row r="592" spans="3:62" ht="40.5" customHeight="1" x14ac:dyDescent="0.15">
      <c r="C592" s="1"/>
      <c r="D592" s="1531" t="str">
        <f>IF($Q$2=2,"Réconciliation détaillée du compte "&amp;F594&amp;" - "&amp;C594,"Detailed Reconciliation of the Account "&amp;F594&amp;" - "&amp;C594)</f>
        <v>Detailed Reconciliation of the Account 2290 - Disponible ~ Available</v>
      </c>
      <c r="E592" s="1531"/>
      <c r="F592" s="1531"/>
      <c r="G592" s="1531"/>
      <c r="H592" s="1531"/>
      <c r="I592" s="1531"/>
      <c r="J592" s="1531"/>
      <c r="K592" s="1531"/>
      <c r="L592" s="1531"/>
      <c r="M592" s="1531"/>
      <c r="N592" s="1111"/>
      <c r="O592" s="1"/>
      <c r="P592" s="12"/>
      <c r="Q592" s="1"/>
      <c r="R592" s="12"/>
      <c r="S592" s="12"/>
    </row>
    <row r="593" spans="3:62" s="1" customFormat="1" ht="29.25" customHeight="1" x14ac:dyDescent="0.15">
      <c r="C593" s="1523" t="str">
        <f>IF($Q$2=2,"Réconciliation selon les livres comptables","Reconciliation as per BookKeeping")</f>
        <v>Reconciliation as per BookKeeping</v>
      </c>
      <c r="D593" s="1523"/>
      <c r="E593" s="1523"/>
      <c r="F593" s="1523"/>
      <c r="G593" s="1523"/>
      <c r="I593" s="1523" t="str">
        <f>IF($Q$2=2,"Réconciliation selon l'état de compte","Reconciliation as per Account Statement")</f>
        <v>Reconciliation as per Account Statement</v>
      </c>
      <c r="J593" s="1523"/>
      <c r="K593" s="1523"/>
      <c r="L593" s="1523"/>
      <c r="M593" s="1523"/>
      <c r="N593" s="1112" t="str">
        <f>F594</f>
        <v>2290</v>
      </c>
      <c r="P593" s="188"/>
      <c r="R593" s="188"/>
      <c r="S593" s="188"/>
      <c r="T593" s="12"/>
      <c r="U593" s="12"/>
      <c r="V593" s="19"/>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row>
    <row r="594" spans="3:62" s="1" customFormat="1" ht="25.5" customHeight="1" thickBot="1" x14ac:dyDescent="0.2">
      <c r="C594" s="1532" t="str">
        <f>'Set up ~ Config'!G94</f>
        <v>Disponible ~ Available</v>
      </c>
      <c r="D594" s="1532"/>
      <c r="E594" s="1532"/>
      <c r="F594" s="1113" t="str">
        <f>LEFT('Set up ~ Config'!F94,4)</f>
        <v>2290</v>
      </c>
      <c r="G594" s="82"/>
      <c r="I594" s="1534"/>
      <c r="J594" s="1534"/>
      <c r="K594" s="1534"/>
      <c r="L594" s="1534"/>
      <c r="M594" s="1534"/>
      <c r="N594" s="1534"/>
      <c r="P594" s="12"/>
      <c r="R594" s="12"/>
      <c r="S594" s="12"/>
      <c r="T594" s="188"/>
      <c r="U594" s="188"/>
      <c r="V594" s="502"/>
      <c r="W594" s="188"/>
      <c r="X594" s="188"/>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row>
    <row r="595" spans="3:62" s="1" customFormat="1" ht="25.5" customHeight="1" thickTop="1" thickBot="1" x14ac:dyDescent="0.2">
      <c r="C595" s="1535" t="str">
        <f>IF($Q$2=2,"Solde du compte au ","Account Balance on ")</f>
        <v xml:space="preserve">Account Balance on </v>
      </c>
      <c r="D595" s="1535"/>
      <c r="E595" s="1535"/>
      <c r="F595" s="1114" t="e">
        <f>DATEVALUE('Set up ~ Config'!$L$5)</f>
        <v>#VALUE!</v>
      </c>
      <c r="G595" s="1115">
        <f>'Set up ~ Config'!D94</f>
        <v>0</v>
      </c>
      <c r="I595" s="1116" t="str">
        <f>IF($Q$2=2,"Date (aaaa-mm-jj):","Date (yyyy-mm-dd):")</f>
        <v>Date (yyyy-mm-dd):</v>
      </c>
      <c r="J595" s="957"/>
      <c r="K595" s="1536" t="str">
        <f>IF($Q$2=2,"Solde :","Balance :")</f>
        <v>Balance :</v>
      </c>
      <c r="L595" s="1537"/>
      <c r="M595" s="1538"/>
      <c r="N595" s="942"/>
      <c r="P595" s="12"/>
      <c r="Q595" s="1540"/>
      <c r="R595" s="1540"/>
      <c r="S595" s="1540"/>
      <c r="T595" s="12"/>
      <c r="U595" s="12"/>
      <c r="V595" s="19"/>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row>
    <row r="596" spans="3:62" s="1" customFormat="1" ht="25.5" customHeight="1" thickTop="1" x14ac:dyDescent="0.15">
      <c r="C596" s="1539" t="str">
        <f>IF($Q$2=2," Plus: Accroissements (Jrnl des dépenses)","Plus: Increases (Expense Jrnl)")</f>
        <v>Plus: Increases (Expense Jrnl)</v>
      </c>
      <c r="D596" s="1539"/>
      <c r="E596" s="1539"/>
      <c r="F596" s="1539"/>
      <c r="G596" s="1115">
        <f>'Jrnl Exp ~ Dép'!G567</f>
        <v>0</v>
      </c>
      <c r="H596" s="1118"/>
      <c r="P596" s="12"/>
      <c r="Q596" s="12"/>
      <c r="R596" s="12"/>
      <c r="S596" s="12"/>
      <c r="T596" s="12"/>
      <c r="U596" s="1117"/>
      <c r="V596" s="19"/>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row>
    <row r="597" spans="3:62" s="1" customFormat="1" ht="25.5" customHeight="1" x14ac:dyDescent="0.15">
      <c r="C597" s="1539" t="str">
        <f>IF($Q$2=2,"Moins: Décroissements (Jrnl des revenus)","Less: Decreases (Revenue Jrnl)")</f>
        <v>Less: Decreases (Revenue Jrnl)</v>
      </c>
      <c r="D597" s="1539"/>
      <c r="E597" s="1539"/>
      <c r="F597" s="1539"/>
      <c r="G597" s="1115">
        <f>'Jrnl Rev'!G567</f>
        <v>0</v>
      </c>
      <c r="J597" s="188"/>
      <c r="K597" s="188"/>
      <c r="L597" s="188"/>
      <c r="M597" s="188"/>
      <c r="N597" s="1119"/>
      <c r="P597" s="12"/>
      <c r="Q597" s="12"/>
      <c r="R597" s="12"/>
      <c r="S597" s="12"/>
      <c r="T597" s="12"/>
      <c r="U597" s="12"/>
      <c r="V597" s="19"/>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row>
    <row r="598" spans="3:62" s="1" customFormat="1" ht="25.5" customHeight="1" x14ac:dyDescent="0.15">
      <c r="C598" s="1533"/>
      <c r="D598" s="1533"/>
      <c r="E598" s="1533"/>
      <c r="F598" s="1533"/>
      <c r="H598" s="1118"/>
      <c r="P598" s="12"/>
      <c r="Q598" s="12"/>
      <c r="R598" s="12"/>
      <c r="S598" s="12"/>
      <c r="T598" s="12"/>
      <c r="U598" s="12"/>
      <c r="V598" s="19"/>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row>
    <row r="599" spans="3:62" s="1" customFormat="1" ht="25.5" customHeight="1" thickBot="1" x14ac:dyDescent="0.2">
      <c r="C599" s="1524" t="str">
        <f>IF($Q$2=2,F594&amp;" Fonds disponible du compte",F594&amp;" Account Available Funds")</f>
        <v>2290 Account Available Funds</v>
      </c>
      <c r="D599" s="1524"/>
      <c r="E599" s="1524"/>
      <c r="F599" s="1524"/>
      <c r="G599" s="1120"/>
      <c r="I599" s="18"/>
      <c r="J599" s="12"/>
      <c r="K599" s="12"/>
      <c r="L599" s="12"/>
      <c r="M599" s="12"/>
      <c r="N599" s="1121"/>
      <c r="P599" s="12"/>
      <c r="Q599" s="12"/>
      <c r="R599" s="12"/>
      <c r="S599" s="12"/>
      <c r="T599" s="12"/>
      <c r="U599" s="12"/>
      <c r="V599" s="19"/>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row>
    <row r="600" spans="3:62" s="1" customFormat="1" ht="25.5" customHeight="1" thickBot="1" x14ac:dyDescent="0.2">
      <c r="C600" s="1525" t="str">
        <f>IF($Q$2=2,"Solde reporté à la ligne "&amp;F594&amp;" du Bilan - page 8","This balance fwrd'd to line "&amp;F594&amp;" of Balance Sheet -  page 8")</f>
        <v>This balance fwrd'd to line 2290 of Balance Sheet -  page 8</v>
      </c>
      <c r="D600" s="1525"/>
      <c r="E600" s="1525"/>
      <c r="F600" s="1525"/>
      <c r="G600" s="1122">
        <f>IF(AND(SUM(G595+G596-G597)&lt;0.001,SUM(G595+G596-G597)&gt;-0.001),0,SUM(G595+G596-G597))</f>
        <v>0</v>
      </c>
      <c r="H600" s="605"/>
      <c r="J600" s="82"/>
      <c r="K600" s="82"/>
      <c r="L600" s="82"/>
      <c r="M600" s="1123"/>
      <c r="N600" s="1122">
        <f>N595</f>
        <v>0</v>
      </c>
      <c r="P600" s="12"/>
      <c r="Q600" s="12"/>
      <c r="R600" s="12"/>
      <c r="S600" s="12"/>
      <c r="T600" s="12"/>
      <c r="U600" s="12"/>
      <c r="V600" s="19"/>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row>
    <row r="601" spans="3:62" s="1" customFormat="1" ht="9.75" customHeight="1" thickBot="1" x14ac:dyDescent="0.2">
      <c r="F601" s="189"/>
      <c r="J601" s="1118"/>
      <c r="M601" s="1124"/>
      <c r="P601" s="12"/>
      <c r="Q601" s="12"/>
      <c r="R601" s="12"/>
      <c r="S601" s="12"/>
      <c r="T601" s="12"/>
      <c r="U601" s="12"/>
      <c r="V601" s="19"/>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row>
    <row r="602" spans="3:62" s="1" customFormat="1" ht="25.5" customHeight="1" thickBot="1" x14ac:dyDescent="0.2">
      <c r="C602" s="1526"/>
      <c r="D602" s="1526"/>
      <c r="E602" s="1526"/>
      <c r="F602" s="1526"/>
      <c r="G602" s="1125">
        <f>IF(AND(G600-N600&lt;0.001,G600-N600&gt;-0.001),0,G600-N600)</f>
        <v>0</v>
      </c>
      <c r="H602" s="1527">
        <f>IF($Q$2=2,IF(G602=0,$T$8,$T$5),IF(G602=0,$T$9,$T$7))</f>
        <v>0</v>
      </c>
      <c r="I602" s="1527"/>
      <c r="J602" s="1527"/>
      <c r="K602" s="1527"/>
      <c r="L602" s="1527"/>
      <c r="M602" s="1527"/>
      <c r="N602" s="1528"/>
      <c r="P602" s="12"/>
      <c r="Q602" s="12"/>
      <c r="R602" s="12"/>
      <c r="S602" s="12"/>
      <c r="T602" s="12"/>
      <c r="U602" s="12"/>
      <c r="V602" s="19"/>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row>
    <row r="603" spans="3:62" s="1" customFormat="1" ht="15" customHeight="1" x14ac:dyDescent="0.15">
      <c r="C603" s="1529"/>
      <c r="D603" s="1529"/>
      <c r="E603" s="1529"/>
      <c r="F603" s="1529"/>
      <c r="G603" s="1529"/>
      <c r="H603" s="1529"/>
      <c r="I603" s="1529"/>
      <c r="J603" s="1529"/>
      <c r="K603" s="1529"/>
      <c r="L603" s="1529"/>
      <c r="M603" s="1529"/>
      <c r="N603" s="1529"/>
      <c r="O603" s="1109"/>
      <c r="P603" s="1104"/>
      <c r="R603" s="12"/>
      <c r="S603" s="12"/>
      <c r="T603" s="12"/>
      <c r="U603" s="12"/>
      <c r="V603" s="19"/>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row>
    <row r="604" spans="3:62" s="1" customFormat="1" ht="19.5" customHeight="1" x14ac:dyDescent="0.15">
      <c r="C604" s="1530"/>
      <c r="D604" s="1530"/>
      <c r="E604" s="1530"/>
      <c r="F604" s="1530"/>
      <c r="G604" s="1530"/>
      <c r="H604" s="1530"/>
      <c r="I604" s="1530"/>
      <c r="J604" s="1530"/>
      <c r="K604" s="1530"/>
      <c r="L604" s="1530"/>
      <c r="M604" s="1530"/>
      <c r="N604" s="1530"/>
      <c r="O604" s="1109"/>
      <c r="P604" s="1104"/>
      <c r="R604" s="12"/>
      <c r="S604" s="12"/>
      <c r="T604" s="12"/>
      <c r="U604" s="12"/>
      <c r="V604" s="19"/>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row>
  </sheetData>
  <sheetProtection algorithmName="SHA-512" hashValue="UcCeSEfEz8ObWbBL1hBYkvj9YTqn9xfRDgIrg61Bo0Wc+CMg0GWqY1aviqiamPesfCNJoDtYgNaGcGChNIPgVw==" saltValue="PUzxmQuoLmqJ2EubDHYZEQ==" spinCount="100000" sheet="1" objects="1" scenarios="1" selectLockedCells="1"/>
  <protectedRanges>
    <protectedRange sqref="G10 G23 G49 G62 G75 G88 G101 G114 G127 G140 G153 G166 G179 G192 G205 G218 G231 G244 G257 G270 G283 G296 G309 G322 G335 G348 G361 G374 G387 G400 G413 G426 G439 G452 G465 G478 G491 G504 G517 G530 G543 G556 G569 G582 G595" name="Range5_1"/>
    <protectedRange sqref="J36 I39:J40 J26:L26 K27 K30:K35" name="Range7_1"/>
    <protectedRange sqref="K14 K53 K66 K79 K92 K105 K118 K131 K144 K157 K170 K183 K196 K209 K222 K235 K248 K261 K274 K287 K300 K313 K326 K339 K352 K365 K378 K391 K404 K417 K430 K443 K456 K469 K482 K495 K508 K521 K534 K547 K560 K573 K586 K599" name="Range10_1"/>
    <protectedRange sqref="N10 N23 N49 N62 N75 N88 N101 N114 N127 N140 N153 N166 N179 N192 N205 N218 N231 N244 N257 N270 N283 N296 N309 N322 N335 N348 N361 N374 N387 N400 N413 N426 N439 N452 N465 N478 N491 N504 N517 N530 N543 N556 N569 N582 N595" name="Range6_1_1"/>
  </protectedRanges>
  <mergeCells count="787">
    <mergeCell ref="C122:N122"/>
    <mergeCell ref="C173:F173"/>
    <mergeCell ref="C175:N175"/>
    <mergeCell ref="D176:M176"/>
    <mergeCell ref="C177:G177"/>
    <mergeCell ref="I177:M177"/>
    <mergeCell ref="C178:E178"/>
    <mergeCell ref="I178:N178"/>
    <mergeCell ref="C179:E179"/>
    <mergeCell ref="K179:M179"/>
    <mergeCell ref="C147:F147"/>
    <mergeCell ref="H147:N147"/>
    <mergeCell ref="C148:N148"/>
    <mergeCell ref="C149:N149"/>
    <mergeCell ref="C123:N123"/>
    <mergeCell ref="D124:M124"/>
    <mergeCell ref="C125:G125"/>
    <mergeCell ref="I125:M125"/>
    <mergeCell ref="C126:E126"/>
    <mergeCell ref="I126:N126"/>
    <mergeCell ref="C127:E127"/>
    <mergeCell ref="K127:M127"/>
    <mergeCell ref="C139:E139"/>
    <mergeCell ref="I139:N139"/>
    <mergeCell ref="D215:M215"/>
    <mergeCell ref="C214:N214"/>
    <mergeCell ref="C213:N213"/>
    <mergeCell ref="H173:N173"/>
    <mergeCell ref="H160:N160"/>
    <mergeCell ref="D150:M150"/>
    <mergeCell ref="H199:N199"/>
    <mergeCell ref="C200:N200"/>
    <mergeCell ref="C201:N201"/>
    <mergeCell ref="D202:M202"/>
    <mergeCell ref="I203:M203"/>
    <mergeCell ref="I204:N204"/>
    <mergeCell ref="C188:N188"/>
    <mergeCell ref="D189:M189"/>
    <mergeCell ref="C191:E191"/>
    <mergeCell ref="I243:N243"/>
    <mergeCell ref="K244:M244"/>
    <mergeCell ref="C154:F154"/>
    <mergeCell ref="C157:F157"/>
    <mergeCell ref="C151:G151"/>
    <mergeCell ref="I151:M151"/>
    <mergeCell ref="C152:E152"/>
    <mergeCell ref="I152:N152"/>
    <mergeCell ref="C153:E153"/>
    <mergeCell ref="K153:M153"/>
    <mergeCell ref="C155:F155"/>
    <mergeCell ref="C156:F156"/>
    <mergeCell ref="C158:F158"/>
    <mergeCell ref="C193:F193"/>
    <mergeCell ref="C194:F194"/>
    <mergeCell ref="C195:F195"/>
    <mergeCell ref="C230:E230"/>
    <mergeCell ref="I230:N230"/>
    <mergeCell ref="C218:E218"/>
    <mergeCell ref="C216:G216"/>
    <mergeCell ref="I216:M216"/>
    <mergeCell ref="C217:E217"/>
    <mergeCell ref="I217:N217"/>
    <mergeCell ref="K218:M218"/>
    <mergeCell ref="C17:F17"/>
    <mergeCell ref="H17:N17"/>
    <mergeCell ref="C19:N19"/>
    <mergeCell ref="D20:M20"/>
    <mergeCell ref="C21:G21"/>
    <mergeCell ref="I21:M21"/>
    <mergeCell ref="C22:E22"/>
    <mergeCell ref="I22:N22"/>
    <mergeCell ref="C23:E23"/>
    <mergeCell ref="K23:M23"/>
    <mergeCell ref="C18:N18"/>
    <mergeCell ref="C1:N1"/>
    <mergeCell ref="C2:N2"/>
    <mergeCell ref="C10:E10"/>
    <mergeCell ref="Q10:S10"/>
    <mergeCell ref="C11:F11"/>
    <mergeCell ref="C12:F12"/>
    <mergeCell ref="C13:F13"/>
    <mergeCell ref="C14:F14"/>
    <mergeCell ref="C15:F15"/>
    <mergeCell ref="K10:M10"/>
    <mergeCell ref="C4:N4"/>
    <mergeCell ref="C5:N5"/>
    <mergeCell ref="D7:M7"/>
    <mergeCell ref="C8:G8"/>
    <mergeCell ref="I8:M8"/>
    <mergeCell ref="C9:E9"/>
    <mergeCell ref="I9:N9"/>
    <mergeCell ref="C6:N6"/>
    <mergeCell ref="C3:N3"/>
    <mergeCell ref="D29:F29"/>
    <mergeCell ref="I27:M27"/>
    <mergeCell ref="D36:F36"/>
    <mergeCell ref="C39:F39"/>
    <mergeCell ref="C41:F41"/>
    <mergeCell ref="C40:F40"/>
    <mergeCell ref="Q23:S23"/>
    <mergeCell ref="C24:F24"/>
    <mergeCell ref="I24:N24"/>
    <mergeCell ref="C25:F25"/>
    <mergeCell ref="I25:M25"/>
    <mergeCell ref="C26:F26"/>
    <mergeCell ref="D28:F28"/>
    <mergeCell ref="I26:N26"/>
    <mergeCell ref="D30:F30"/>
    <mergeCell ref="D31:F31"/>
    <mergeCell ref="D32:F32"/>
    <mergeCell ref="D33:F33"/>
    <mergeCell ref="D34:F34"/>
    <mergeCell ref="D35:F35"/>
    <mergeCell ref="C27:G27"/>
    <mergeCell ref="C53:F53"/>
    <mergeCell ref="C54:F54"/>
    <mergeCell ref="C47:G47"/>
    <mergeCell ref="I47:M47"/>
    <mergeCell ref="C48:E48"/>
    <mergeCell ref="I48:N48"/>
    <mergeCell ref="C49:E49"/>
    <mergeCell ref="K49:M49"/>
    <mergeCell ref="D37:F37"/>
    <mergeCell ref="D38:F38"/>
    <mergeCell ref="D46:M46"/>
    <mergeCell ref="C45:N45"/>
    <mergeCell ref="H43:N43"/>
    <mergeCell ref="C44:N44"/>
    <mergeCell ref="C52:F52"/>
    <mergeCell ref="Q75:S75"/>
    <mergeCell ref="C76:F76"/>
    <mergeCell ref="C56:F56"/>
    <mergeCell ref="C61:E61"/>
    <mergeCell ref="I61:N61"/>
    <mergeCell ref="C62:E62"/>
    <mergeCell ref="K62:M62"/>
    <mergeCell ref="Q62:S62"/>
    <mergeCell ref="C63:F63"/>
    <mergeCell ref="C64:F64"/>
    <mergeCell ref="C65:F65"/>
    <mergeCell ref="C71:N71"/>
    <mergeCell ref="D72:M72"/>
    <mergeCell ref="C73:G73"/>
    <mergeCell ref="I73:M73"/>
    <mergeCell ref="H56:N56"/>
    <mergeCell ref="C57:N57"/>
    <mergeCell ref="H69:N69"/>
    <mergeCell ref="C70:N70"/>
    <mergeCell ref="C339:F339"/>
    <mergeCell ref="C340:F340"/>
    <mergeCell ref="C311:F311"/>
    <mergeCell ref="C312:F312"/>
    <mergeCell ref="C313:F313"/>
    <mergeCell ref="C325:F325"/>
    <mergeCell ref="C232:F232"/>
    <mergeCell ref="C233:F233"/>
    <mergeCell ref="C129:F129"/>
    <mergeCell ref="C270:E270"/>
    <mergeCell ref="C257:E257"/>
    <mergeCell ref="C243:E243"/>
    <mergeCell ref="C255:G255"/>
    <mergeCell ref="C256:E256"/>
    <mergeCell ref="C245:F245"/>
    <mergeCell ref="C246:F246"/>
    <mergeCell ref="C248:F248"/>
    <mergeCell ref="C251:F251"/>
    <mergeCell ref="C247:F247"/>
    <mergeCell ref="C242:G242"/>
    <mergeCell ref="C244:E244"/>
    <mergeCell ref="C286:F286"/>
    <mergeCell ref="C287:F287"/>
    <mergeCell ref="C288:F288"/>
    <mergeCell ref="C395:N395"/>
    <mergeCell ref="C368:F368"/>
    <mergeCell ref="H368:N368"/>
    <mergeCell ref="C369:N369"/>
    <mergeCell ref="C381:F381"/>
    <mergeCell ref="H381:N381"/>
    <mergeCell ref="C382:N382"/>
    <mergeCell ref="D371:M371"/>
    <mergeCell ref="C356:N356"/>
    <mergeCell ref="C362:F362"/>
    <mergeCell ref="C364:F364"/>
    <mergeCell ref="C365:F365"/>
    <mergeCell ref="C366:F366"/>
    <mergeCell ref="C387:E387"/>
    <mergeCell ref="K387:M387"/>
    <mergeCell ref="C370:N370"/>
    <mergeCell ref="D358:M358"/>
    <mergeCell ref="C357:N357"/>
    <mergeCell ref="D592:M592"/>
    <mergeCell ref="C593:G593"/>
    <mergeCell ref="I593:M593"/>
    <mergeCell ref="I580:M580"/>
    <mergeCell ref="C563:F563"/>
    <mergeCell ref="H563:N563"/>
    <mergeCell ref="C564:N564"/>
    <mergeCell ref="C565:N565"/>
    <mergeCell ref="C577:N577"/>
    <mergeCell ref="C576:F576"/>
    <mergeCell ref="D579:M579"/>
    <mergeCell ref="C580:G580"/>
    <mergeCell ref="C545:F545"/>
    <mergeCell ref="C531:F531"/>
    <mergeCell ref="C538:N538"/>
    <mergeCell ref="C552:N552"/>
    <mergeCell ref="D553:M553"/>
    <mergeCell ref="C535:F535"/>
    <mergeCell ref="C517:E517"/>
    <mergeCell ref="K517:M517"/>
    <mergeCell ref="C526:N526"/>
    <mergeCell ref="C525:N525"/>
    <mergeCell ref="C546:F546"/>
    <mergeCell ref="C547:F547"/>
    <mergeCell ref="C548:F548"/>
    <mergeCell ref="C550:F550"/>
    <mergeCell ref="H550:N550"/>
    <mergeCell ref="C533:F533"/>
    <mergeCell ref="C534:F534"/>
    <mergeCell ref="C528:G528"/>
    <mergeCell ref="I528:M528"/>
    <mergeCell ref="C529:E529"/>
    <mergeCell ref="I529:N529"/>
    <mergeCell ref="C530:E530"/>
    <mergeCell ref="K530:M530"/>
    <mergeCell ref="C551:N551"/>
    <mergeCell ref="C283:E283"/>
    <mergeCell ref="K283:M283"/>
    <mergeCell ref="Q283:S283"/>
    <mergeCell ref="C284:F284"/>
    <mergeCell ref="C285:F285"/>
    <mergeCell ref="C272:F272"/>
    <mergeCell ref="C273:F273"/>
    <mergeCell ref="C274:F274"/>
    <mergeCell ref="C275:F275"/>
    <mergeCell ref="C282:E282"/>
    <mergeCell ref="I282:N282"/>
    <mergeCell ref="C308:E308"/>
    <mergeCell ref="I308:N308"/>
    <mergeCell ref="C309:E309"/>
    <mergeCell ref="K309:M309"/>
    <mergeCell ref="Q309:S309"/>
    <mergeCell ref="C310:F310"/>
    <mergeCell ref="C290:F290"/>
    <mergeCell ref="H290:N290"/>
    <mergeCell ref="C291:N291"/>
    <mergeCell ref="C292:N292"/>
    <mergeCell ref="D293:M293"/>
    <mergeCell ref="C294:G294"/>
    <mergeCell ref="I294:M294"/>
    <mergeCell ref="C295:E295"/>
    <mergeCell ref="I295:N295"/>
    <mergeCell ref="C296:E296"/>
    <mergeCell ref="K296:M296"/>
    <mergeCell ref="Q296:S296"/>
    <mergeCell ref="C297:F297"/>
    <mergeCell ref="C298:F298"/>
    <mergeCell ref="C299:F299"/>
    <mergeCell ref="H303:N303"/>
    <mergeCell ref="C304:N304"/>
    <mergeCell ref="C305:N305"/>
    <mergeCell ref="C335:E335"/>
    <mergeCell ref="K335:M335"/>
    <mergeCell ref="Q335:S335"/>
    <mergeCell ref="C336:F336"/>
    <mergeCell ref="C337:F337"/>
    <mergeCell ref="C338:F338"/>
    <mergeCell ref="C314:F314"/>
    <mergeCell ref="C316:F316"/>
    <mergeCell ref="H316:N316"/>
    <mergeCell ref="C317:N317"/>
    <mergeCell ref="C318:N318"/>
    <mergeCell ref="D319:M319"/>
    <mergeCell ref="C320:G320"/>
    <mergeCell ref="I320:M320"/>
    <mergeCell ref="C321:E321"/>
    <mergeCell ref="I321:N321"/>
    <mergeCell ref="C322:E322"/>
    <mergeCell ref="K322:M322"/>
    <mergeCell ref="Q322:S322"/>
    <mergeCell ref="C323:F323"/>
    <mergeCell ref="C324:F324"/>
    <mergeCell ref="C326:F326"/>
    <mergeCell ref="C327:F327"/>
    <mergeCell ref="C329:F329"/>
    <mergeCell ref="H329:N329"/>
    <mergeCell ref="C330:N330"/>
    <mergeCell ref="C331:N331"/>
    <mergeCell ref="D332:M332"/>
    <mergeCell ref="C333:G333"/>
    <mergeCell ref="I333:M333"/>
    <mergeCell ref="C334:E334"/>
    <mergeCell ref="I334:N334"/>
    <mergeCell ref="Q361:S361"/>
    <mergeCell ref="C342:F342"/>
    <mergeCell ref="C349:F349"/>
    <mergeCell ref="H342:N342"/>
    <mergeCell ref="C343:N343"/>
    <mergeCell ref="C344:N344"/>
    <mergeCell ref="D345:M345"/>
    <mergeCell ref="C346:G346"/>
    <mergeCell ref="I346:M346"/>
    <mergeCell ref="C347:E347"/>
    <mergeCell ref="I347:N347"/>
    <mergeCell ref="C348:E348"/>
    <mergeCell ref="K348:M348"/>
    <mergeCell ref="Q348:S348"/>
    <mergeCell ref="C350:F350"/>
    <mergeCell ref="C351:F351"/>
    <mergeCell ref="Q374:S374"/>
    <mergeCell ref="C376:F376"/>
    <mergeCell ref="C375:F375"/>
    <mergeCell ref="C383:N383"/>
    <mergeCell ref="D384:M384"/>
    <mergeCell ref="C385:G385"/>
    <mergeCell ref="I385:M385"/>
    <mergeCell ref="C386:E386"/>
    <mergeCell ref="I386:N386"/>
    <mergeCell ref="C378:F378"/>
    <mergeCell ref="C379:F379"/>
    <mergeCell ref="C377:F377"/>
    <mergeCell ref="C374:E374"/>
    <mergeCell ref="K374:M374"/>
    <mergeCell ref="Q387:S387"/>
    <mergeCell ref="Q439:S439"/>
    <mergeCell ref="C427:F427"/>
    <mergeCell ref="C428:F428"/>
    <mergeCell ref="C429:F429"/>
    <mergeCell ref="C430:F430"/>
    <mergeCell ref="C433:F433"/>
    <mergeCell ref="C388:F388"/>
    <mergeCell ref="C391:F391"/>
    <mergeCell ref="H394:N394"/>
    <mergeCell ref="C389:F389"/>
    <mergeCell ref="C390:F390"/>
    <mergeCell ref="C392:F392"/>
    <mergeCell ref="C394:F394"/>
    <mergeCell ref="C414:F414"/>
    <mergeCell ref="C415:F415"/>
    <mergeCell ref="C416:F416"/>
    <mergeCell ref="C425:E425"/>
    <mergeCell ref="I398:M398"/>
    <mergeCell ref="I399:N399"/>
    <mergeCell ref="Q400:S400"/>
    <mergeCell ref="C401:F401"/>
    <mergeCell ref="C402:F402"/>
    <mergeCell ref="C405:F405"/>
    <mergeCell ref="C472:F472"/>
    <mergeCell ref="C468:F468"/>
    <mergeCell ref="C469:F469"/>
    <mergeCell ref="C470:F470"/>
    <mergeCell ref="C460:N460"/>
    <mergeCell ref="C411:G411"/>
    <mergeCell ref="I411:M411"/>
    <mergeCell ref="C412:E412"/>
    <mergeCell ref="I412:N412"/>
    <mergeCell ref="C413:E413"/>
    <mergeCell ref="K413:M413"/>
    <mergeCell ref="I425:N425"/>
    <mergeCell ref="C426:E426"/>
    <mergeCell ref="K426:M426"/>
    <mergeCell ref="C443:F443"/>
    <mergeCell ref="C444:F444"/>
    <mergeCell ref="C454:F454"/>
    <mergeCell ref="C446:F446"/>
    <mergeCell ref="H446:N446"/>
    <mergeCell ref="C447:N447"/>
    <mergeCell ref="C448:N448"/>
    <mergeCell ref="D449:M449"/>
    <mergeCell ref="C450:G450"/>
    <mergeCell ref="Q491:S491"/>
    <mergeCell ref="C492:F492"/>
    <mergeCell ref="C455:F455"/>
    <mergeCell ref="C456:F456"/>
    <mergeCell ref="C457:F457"/>
    <mergeCell ref="C461:N461"/>
    <mergeCell ref="D462:M462"/>
    <mergeCell ref="C463:G463"/>
    <mergeCell ref="I463:M463"/>
    <mergeCell ref="C464:E464"/>
    <mergeCell ref="I464:N464"/>
    <mergeCell ref="C465:E465"/>
    <mergeCell ref="K465:M465"/>
    <mergeCell ref="Q465:S465"/>
    <mergeCell ref="C466:F466"/>
    <mergeCell ref="C467:F467"/>
    <mergeCell ref="H472:N472"/>
    <mergeCell ref="C473:N473"/>
    <mergeCell ref="C474:N474"/>
    <mergeCell ref="D475:M475"/>
    <mergeCell ref="C476:G476"/>
    <mergeCell ref="I476:M476"/>
    <mergeCell ref="C477:E477"/>
    <mergeCell ref="I477:N477"/>
    <mergeCell ref="C496:F496"/>
    <mergeCell ref="C498:F498"/>
    <mergeCell ref="C511:F511"/>
    <mergeCell ref="C504:E504"/>
    <mergeCell ref="C506:F506"/>
    <mergeCell ref="C507:F507"/>
    <mergeCell ref="C508:F508"/>
    <mergeCell ref="C509:F509"/>
    <mergeCell ref="D527:M527"/>
    <mergeCell ref="H498:N498"/>
    <mergeCell ref="C500:N500"/>
    <mergeCell ref="C499:N499"/>
    <mergeCell ref="D501:M501"/>
    <mergeCell ref="C502:G502"/>
    <mergeCell ref="I502:M502"/>
    <mergeCell ref="Q569:S569"/>
    <mergeCell ref="C571:F571"/>
    <mergeCell ref="C572:F572"/>
    <mergeCell ref="C574:F574"/>
    <mergeCell ref="C570:F570"/>
    <mergeCell ref="Q530:S530"/>
    <mergeCell ref="C532:F532"/>
    <mergeCell ref="C555:E555"/>
    <mergeCell ref="I555:N555"/>
    <mergeCell ref="C556:E556"/>
    <mergeCell ref="K556:M556"/>
    <mergeCell ref="Q556:S556"/>
    <mergeCell ref="C557:F557"/>
    <mergeCell ref="C558:F558"/>
    <mergeCell ref="C539:N539"/>
    <mergeCell ref="D540:M540"/>
    <mergeCell ref="C541:G541"/>
    <mergeCell ref="I541:M541"/>
    <mergeCell ref="C542:E542"/>
    <mergeCell ref="I542:N542"/>
    <mergeCell ref="C543:E543"/>
    <mergeCell ref="K543:M543"/>
    <mergeCell ref="Q543:S543"/>
    <mergeCell ref="C544:F544"/>
    <mergeCell ref="Q153:S153"/>
    <mergeCell ref="C596:F596"/>
    <mergeCell ref="C597:F597"/>
    <mergeCell ref="C598:F598"/>
    <mergeCell ref="C594:E594"/>
    <mergeCell ref="I594:N594"/>
    <mergeCell ref="C595:E595"/>
    <mergeCell ref="K595:M595"/>
    <mergeCell ref="Q595:S595"/>
    <mergeCell ref="Q582:S582"/>
    <mergeCell ref="C584:F584"/>
    <mergeCell ref="C587:F587"/>
    <mergeCell ref="C581:E581"/>
    <mergeCell ref="C582:E582"/>
    <mergeCell ref="C585:F585"/>
    <mergeCell ref="C586:F586"/>
    <mergeCell ref="C589:F589"/>
    <mergeCell ref="H589:N589"/>
    <mergeCell ref="C590:N590"/>
    <mergeCell ref="C560:F560"/>
    <mergeCell ref="C174:N174"/>
    <mergeCell ref="I164:M164"/>
    <mergeCell ref="I165:N165"/>
    <mergeCell ref="K166:M166"/>
    <mergeCell ref="Q166:S166"/>
    <mergeCell ref="C160:F160"/>
    <mergeCell ref="C161:N161"/>
    <mergeCell ref="C162:N162"/>
    <mergeCell ref="D163:M163"/>
    <mergeCell ref="C164:G164"/>
    <mergeCell ref="C167:F167"/>
    <mergeCell ref="C168:F168"/>
    <mergeCell ref="C171:F171"/>
    <mergeCell ref="C165:E165"/>
    <mergeCell ref="C166:E166"/>
    <mergeCell ref="C169:F169"/>
    <mergeCell ref="C170:F170"/>
    <mergeCell ref="Q49:S49"/>
    <mergeCell ref="C50:F50"/>
    <mergeCell ref="C51:F51"/>
    <mergeCell ref="C58:N58"/>
    <mergeCell ref="D59:M59"/>
    <mergeCell ref="C60:G60"/>
    <mergeCell ref="I60:M60"/>
    <mergeCell ref="C220:F220"/>
    <mergeCell ref="C221:F221"/>
    <mergeCell ref="C205:E205"/>
    <mergeCell ref="C206:F206"/>
    <mergeCell ref="C207:F207"/>
    <mergeCell ref="C208:F208"/>
    <mergeCell ref="C209:F209"/>
    <mergeCell ref="C210:F210"/>
    <mergeCell ref="K205:M205"/>
    <mergeCell ref="Q205:S205"/>
    <mergeCell ref="C212:F212"/>
    <mergeCell ref="H212:N212"/>
    <mergeCell ref="C196:F196"/>
    <mergeCell ref="C199:F199"/>
    <mergeCell ref="C203:G203"/>
    <mergeCell ref="C204:E204"/>
    <mergeCell ref="C197:F197"/>
    <mergeCell ref="Q88:S88"/>
    <mergeCell ref="C89:F89"/>
    <mergeCell ref="C90:F90"/>
    <mergeCell ref="C91:F91"/>
    <mergeCell ref="C92:F92"/>
    <mergeCell ref="C93:F93"/>
    <mergeCell ref="C95:F95"/>
    <mergeCell ref="Q101:S101"/>
    <mergeCell ref="Q114:S114"/>
    <mergeCell ref="H108:N108"/>
    <mergeCell ref="C109:N109"/>
    <mergeCell ref="C99:G99"/>
    <mergeCell ref="I99:M99"/>
    <mergeCell ref="C100:E100"/>
    <mergeCell ref="I100:N100"/>
    <mergeCell ref="D98:M98"/>
    <mergeCell ref="C97:N97"/>
    <mergeCell ref="C116:F116"/>
    <mergeCell ref="C117:F117"/>
    <mergeCell ref="C118:F118"/>
    <mergeCell ref="C101:E101"/>
    <mergeCell ref="K101:M101"/>
    <mergeCell ref="C119:F119"/>
    <mergeCell ref="C96:N96"/>
    <mergeCell ref="C121:F121"/>
    <mergeCell ref="H121:N121"/>
    <mergeCell ref="C102:F102"/>
    <mergeCell ref="C103:F103"/>
    <mergeCell ref="C104:F104"/>
    <mergeCell ref="C105:F105"/>
    <mergeCell ref="C106:F106"/>
    <mergeCell ref="C110:N110"/>
    <mergeCell ref="D111:M111"/>
    <mergeCell ref="C108:F108"/>
    <mergeCell ref="C115:F115"/>
    <mergeCell ref="C112:G112"/>
    <mergeCell ref="I112:M112"/>
    <mergeCell ref="C113:E113"/>
    <mergeCell ref="I113:N113"/>
    <mergeCell ref="C114:E114"/>
    <mergeCell ref="K114:M114"/>
    <mergeCell ref="C82:F82"/>
    <mergeCell ref="H82:N82"/>
    <mergeCell ref="C83:N83"/>
    <mergeCell ref="H95:N95"/>
    <mergeCell ref="C66:F66"/>
    <mergeCell ref="C80:F80"/>
    <mergeCell ref="C84:N84"/>
    <mergeCell ref="D85:M85"/>
    <mergeCell ref="C86:G86"/>
    <mergeCell ref="I86:M86"/>
    <mergeCell ref="C87:E87"/>
    <mergeCell ref="I87:N87"/>
    <mergeCell ref="C67:F67"/>
    <mergeCell ref="C69:F69"/>
    <mergeCell ref="C74:E74"/>
    <mergeCell ref="I74:N74"/>
    <mergeCell ref="C75:E75"/>
    <mergeCell ref="K75:M75"/>
    <mergeCell ref="C88:E88"/>
    <mergeCell ref="K88:M88"/>
    <mergeCell ref="C77:F77"/>
    <mergeCell ref="C78:F78"/>
    <mergeCell ref="C79:F79"/>
    <mergeCell ref="Q127:S127"/>
    <mergeCell ref="C128:F128"/>
    <mergeCell ref="C130:F130"/>
    <mergeCell ref="C131:F131"/>
    <mergeCell ref="C132:F132"/>
    <mergeCell ref="C134:F134"/>
    <mergeCell ref="H134:N134"/>
    <mergeCell ref="C135:N135"/>
    <mergeCell ref="C138:G138"/>
    <mergeCell ref="I138:M138"/>
    <mergeCell ref="D137:M137"/>
    <mergeCell ref="C136:N136"/>
    <mergeCell ref="C140:E140"/>
    <mergeCell ref="K140:M140"/>
    <mergeCell ref="Q140:S140"/>
    <mergeCell ref="C141:F141"/>
    <mergeCell ref="C142:F142"/>
    <mergeCell ref="C144:F144"/>
    <mergeCell ref="C145:F145"/>
    <mergeCell ref="C143:F143"/>
    <mergeCell ref="Q218:S218"/>
    <mergeCell ref="Q179:S179"/>
    <mergeCell ref="C190:G190"/>
    <mergeCell ref="I190:M190"/>
    <mergeCell ref="I191:N191"/>
    <mergeCell ref="C192:E192"/>
    <mergeCell ref="K192:M192"/>
    <mergeCell ref="Q192:S192"/>
    <mergeCell ref="C180:F180"/>
    <mergeCell ref="C181:F181"/>
    <mergeCell ref="C182:F182"/>
    <mergeCell ref="C183:F183"/>
    <mergeCell ref="C184:F184"/>
    <mergeCell ref="C186:F186"/>
    <mergeCell ref="H186:N186"/>
    <mergeCell ref="C187:N187"/>
    <mergeCell ref="C219:F219"/>
    <mergeCell ref="C225:F225"/>
    <mergeCell ref="H225:N225"/>
    <mergeCell ref="C226:N226"/>
    <mergeCell ref="C227:N227"/>
    <mergeCell ref="D228:M228"/>
    <mergeCell ref="C229:G229"/>
    <mergeCell ref="I229:M229"/>
    <mergeCell ref="C222:F222"/>
    <mergeCell ref="C223:F223"/>
    <mergeCell ref="C231:E231"/>
    <mergeCell ref="K231:M231"/>
    <mergeCell ref="Q231:S231"/>
    <mergeCell ref="C235:F235"/>
    <mergeCell ref="C236:F236"/>
    <mergeCell ref="C238:F238"/>
    <mergeCell ref="H238:N238"/>
    <mergeCell ref="Q257:S257"/>
    <mergeCell ref="C264:F264"/>
    <mergeCell ref="H264:N264"/>
    <mergeCell ref="Q244:S244"/>
    <mergeCell ref="C249:F249"/>
    <mergeCell ref="H251:N251"/>
    <mergeCell ref="C252:N252"/>
    <mergeCell ref="C253:N253"/>
    <mergeCell ref="D254:M254"/>
    <mergeCell ref="D241:M241"/>
    <mergeCell ref="C240:N240"/>
    <mergeCell ref="C239:N239"/>
    <mergeCell ref="I255:M255"/>
    <mergeCell ref="I256:N256"/>
    <mergeCell ref="K257:M257"/>
    <mergeCell ref="C234:F234"/>
    <mergeCell ref="I242:M242"/>
    <mergeCell ref="C265:N265"/>
    <mergeCell ref="C266:N266"/>
    <mergeCell ref="D267:M267"/>
    <mergeCell ref="C268:G268"/>
    <mergeCell ref="I268:M268"/>
    <mergeCell ref="C269:E269"/>
    <mergeCell ref="I269:N269"/>
    <mergeCell ref="C258:F258"/>
    <mergeCell ref="C259:F259"/>
    <mergeCell ref="C260:F260"/>
    <mergeCell ref="C261:F261"/>
    <mergeCell ref="C262:F262"/>
    <mergeCell ref="Q270:S270"/>
    <mergeCell ref="C271:F271"/>
    <mergeCell ref="C277:F277"/>
    <mergeCell ref="H277:N277"/>
    <mergeCell ref="C278:N278"/>
    <mergeCell ref="C279:N279"/>
    <mergeCell ref="D280:M280"/>
    <mergeCell ref="C281:G281"/>
    <mergeCell ref="I281:M281"/>
    <mergeCell ref="K270:M270"/>
    <mergeCell ref="D306:M306"/>
    <mergeCell ref="C307:G307"/>
    <mergeCell ref="I307:M307"/>
    <mergeCell ref="C300:F300"/>
    <mergeCell ref="C301:F301"/>
    <mergeCell ref="C303:F303"/>
    <mergeCell ref="C396:N396"/>
    <mergeCell ref="D397:M397"/>
    <mergeCell ref="C398:G398"/>
    <mergeCell ref="C352:F352"/>
    <mergeCell ref="C353:F353"/>
    <mergeCell ref="C355:F355"/>
    <mergeCell ref="H355:N355"/>
    <mergeCell ref="C363:F363"/>
    <mergeCell ref="C359:G359"/>
    <mergeCell ref="I359:M359"/>
    <mergeCell ref="C360:E360"/>
    <mergeCell ref="I360:N360"/>
    <mergeCell ref="C361:E361"/>
    <mergeCell ref="K361:M361"/>
    <mergeCell ref="C372:G372"/>
    <mergeCell ref="I372:M372"/>
    <mergeCell ref="C373:E373"/>
    <mergeCell ref="I373:N373"/>
    <mergeCell ref="C399:E399"/>
    <mergeCell ref="C400:E400"/>
    <mergeCell ref="C403:F403"/>
    <mergeCell ref="C404:F404"/>
    <mergeCell ref="C407:F407"/>
    <mergeCell ref="H407:N407"/>
    <mergeCell ref="C408:N408"/>
    <mergeCell ref="C409:N409"/>
    <mergeCell ref="D410:M410"/>
    <mergeCell ref="K400:M400"/>
    <mergeCell ref="Q413:S413"/>
    <mergeCell ref="C417:F417"/>
    <mergeCell ref="C418:F418"/>
    <mergeCell ref="C420:F420"/>
    <mergeCell ref="H420:N420"/>
    <mergeCell ref="C421:N421"/>
    <mergeCell ref="C422:N422"/>
    <mergeCell ref="D423:M423"/>
    <mergeCell ref="C424:G424"/>
    <mergeCell ref="I424:M424"/>
    <mergeCell ref="Q426:S426"/>
    <mergeCell ref="C431:F431"/>
    <mergeCell ref="I450:M450"/>
    <mergeCell ref="C451:E451"/>
    <mergeCell ref="I451:N451"/>
    <mergeCell ref="K452:M452"/>
    <mergeCell ref="Q452:S452"/>
    <mergeCell ref="C453:F453"/>
    <mergeCell ref="C459:F459"/>
    <mergeCell ref="H459:N459"/>
    <mergeCell ref="C452:E452"/>
    <mergeCell ref="C438:E438"/>
    <mergeCell ref="C439:E439"/>
    <mergeCell ref="C440:F440"/>
    <mergeCell ref="C441:F441"/>
    <mergeCell ref="C442:F442"/>
    <mergeCell ref="C437:G437"/>
    <mergeCell ref="I437:M437"/>
    <mergeCell ref="I438:N438"/>
    <mergeCell ref="K439:M439"/>
    <mergeCell ref="D436:M436"/>
    <mergeCell ref="C435:N435"/>
    <mergeCell ref="C434:N434"/>
    <mergeCell ref="H433:N433"/>
    <mergeCell ref="C478:E478"/>
    <mergeCell ref="K478:M478"/>
    <mergeCell ref="Q478:S478"/>
    <mergeCell ref="C479:F479"/>
    <mergeCell ref="C503:E503"/>
    <mergeCell ref="I503:N503"/>
    <mergeCell ref="C480:F480"/>
    <mergeCell ref="C481:F481"/>
    <mergeCell ref="H485:N485"/>
    <mergeCell ref="C486:N486"/>
    <mergeCell ref="C487:N487"/>
    <mergeCell ref="D488:M488"/>
    <mergeCell ref="C489:G489"/>
    <mergeCell ref="I489:M489"/>
    <mergeCell ref="C490:E490"/>
    <mergeCell ref="I490:N490"/>
    <mergeCell ref="C482:F482"/>
    <mergeCell ref="C483:F483"/>
    <mergeCell ref="C485:F485"/>
    <mergeCell ref="C491:E491"/>
    <mergeCell ref="K491:M491"/>
    <mergeCell ref="C493:F493"/>
    <mergeCell ref="C494:F494"/>
    <mergeCell ref="C495:F495"/>
    <mergeCell ref="Q504:S504"/>
    <mergeCell ref="C505:F505"/>
    <mergeCell ref="H511:N511"/>
    <mergeCell ref="C512:N512"/>
    <mergeCell ref="C513:N513"/>
    <mergeCell ref="D514:M514"/>
    <mergeCell ref="C515:G515"/>
    <mergeCell ref="I515:M515"/>
    <mergeCell ref="C516:E516"/>
    <mergeCell ref="I516:N516"/>
    <mergeCell ref="K504:M504"/>
    <mergeCell ref="Q517:S517"/>
    <mergeCell ref="C518:F518"/>
    <mergeCell ref="C519:F519"/>
    <mergeCell ref="C520:F520"/>
    <mergeCell ref="C521:F521"/>
    <mergeCell ref="C522:F522"/>
    <mergeCell ref="H524:N524"/>
    <mergeCell ref="C524:F524"/>
    <mergeCell ref="C537:F537"/>
    <mergeCell ref="H537:N537"/>
    <mergeCell ref="C554:G554"/>
    <mergeCell ref="I554:M554"/>
    <mergeCell ref="C599:F599"/>
    <mergeCell ref="C600:F600"/>
    <mergeCell ref="C602:F602"/>
    <mergeCell ref="H602:N602"/>
    <mergeCell ref="C603:N603"/>
    <mergeCell ref="C604:N604"/>
    <mergeCell ref="C573:F573"/>
    <mergeCell ref="H576:N576"/>
    <mergeCell ref="D566:M566"/>
    <mergeCell ref="C567:G567"/>
    <mergeCell ref="I567:M567"/>
    <mergeCell ref="C568:E568"/>
    <mergeCell ref="C559:F559"/>
    <mergeCell ref="C561:F561"/>
    <mergeCell ref="I568:N568"/>
    <mergeCell ref="C569:E569"/>
    <mergeCell ref="K569:M569"/>
    <mergeCell ref="C583:F583"/>
    <mergeCell ref="I581:N581"/>
    <mergeCell ref="K582:M582"/>
    <mergeCell ref="C578:N578"/>
    <mergeCell ref="C591:N591"/>
  </mergeCells>
  <conditionalFormatting sqref="G17 G43">
    <cfRule type="cellIs" dxfId="130" priority="165" operator="equal">
      <formula>0</formula>
    </cfRule>
  </conditionalFormatting>
  <conditionalFormatting sqref="G56">
    <cfRule type="cellIs" dxfId="129" priority="89" operator="equal">
      <formula>0</formula>
    </cfRule>
  </conditionalFormatting>
  <conditionalFormatting sqref="G69">
    <cfRule type="cellIs" dxfId="128" priority="87" operator="equal">
      <formula>0</formula>
    </cfRule>
  </conditionalFormatting>
  <conditionalFormatting sqref="G82">
    <cfRule type="cellIs" dxfId="127" priority="85" operator="equal">
      <formula>0</formula>
    </cfRule>
  </conditionalFormatting>
  <conditionalFormatting sqref="G95">
    <cfRule type="cellIs" dxfId="126" priority="83" operator="equal">
      <formula>0</formula>
    </cfRule>
  </conditionalFormatting>
  <conditionalFormatting sqref="G108">
    <cfRule type="cellIs" dxfId="125" priority="81" operator="equal">
      <formula>0</formula>
    </cfRule>
  </conditionalFormatting>
  <conditionalFormatting sqref="G121">
    <cfRule type="cellIs" dxfId="124" priority="79" operator="equal">
      <formula>0</formula>
    </cfRule>
  </conditionalFormatting>
  <conditionalFormatting sqref="G134">
    <cfRule type="cellIs" dxfId="123" priority="77" operator="equal">
      <formula>0</formula>
    </cfRule>
  </conditionalFormatting>
  <conditionalFormatting sqref="G147">
    <cfRule type="cellIs" dxfId="122" priority="75" operator="equal">
      <formula>0</formula>
    </cfRule>
  </conditionalFormatting>
  <conditionalFormatting sqref="G160">
    <cfRule type="cellIs" dxfId="121" priority="73" operator="equal">
      <formula>0</formula>
    </cfRule>
  </conditionalFormatting>
  <conditionalFormatting sqref="G173">
    <cfRule type="cellIs" dxfId="120" priority="71" operator="equal">
      <formula>0</formula>
    </cfRule>
  </conditionalFormatting>
  <conditionalFormatting sqref="G186">
    <cfRule type="cellIs" dxfId="119" priority="69" operator="equal">
      <formula>0</formula>
    </cfRule>
  </conditionalFormatting>
  <conditionalFormatting sqref="G199">
    <cfRule type="cellIs" dxfId="118" priority="67" operator="equal">
      <formula>0</formula>
    </cfRule>
  </conditionalFormatting>
  <conditionalFormatting sqref="G212">
    <cfRule type="cellIs" dxfId="117" priority="65" operator="equal">
      <formula>0</formula>
    </cfRule>
  </conditionalFormatting>
  <conditionalFormatting sqref="G225">
    <cfRule type="cellIs" dxfId="116" priority="63" operator="equal">
      <formula>0</formula>
    </cfRule>
  </conditionalFormatting>
  <conditionalFormatting sqref="G238">
    <cfRule type="cellIs" dxfId="115" priority="61" operator="equal">
      <formula>0</formula>
    </cfRule>
  </conditionalFormatting>
  <conditionalFormatting sqref="G251">
    <cfRule type="cellIs" dxfId="114" priority="59" operator="equal">
      <formula>0</formula>
    </cfRule>
  </conditionalFormatting>
  <conditionalFormatting sqref="G264">
    <cfRule type="cellIs" dxfId="113" priority="57" operator="equal">
      <formula>0</formula>
    </cfRule>
  </conditionalFormatting>
  <conditionalFormatting sqref="G277">
    <cfRule type="cellIs" dxfId="112" priority="55" operator="equal">
      <formula>0</formula>
    </cfRule>
  </conditionalFormatting>
  <conditionalFormatting sqref="G290">
    <cfRule type="cellIs" dxfId="111" priority="53" operator="equal">
      <formula>0</formula>
    </cfRule>
  </conditionalFormatting>
  <conditionalFormatting sqref="G303">
    <cfRule type="cellIs" dxfId="110" priority="51" operator="equal">
      <formula>0</formula>
    </cfRule>
  </conditionalFormatting>
  <conditionalFormatting sqref="G316">
    <cfRule type="cellIs" dxfId="109" priority="49" operator="equal">
      <formula>0</formula>
    </cfRule>
  </conditionalFormatting>
  <conditionalFormatting sqref="G329">
    <cfRule type="cellIs" dxfId="108" priority="47" operator="equal">
      <formula>0</formula>
    </cfRule>
  </conditionalFormatting>
  <conditionalFormatting sqref="G342">
    <cfRule type="cellIs" dxfId="107" priority="45" operator="equal">
      <formula>0</formula>
    </cfRule>
  </conditionalFormatting>
  <conditionalFormatting sqref="G355">
    <cfRule type="cellIs" dxfId="106" priority="43" operator="equal">
      <formula>0</formula>
    </cfRule>
  </conditionalFormatting>
  <conditionalFormatting sqref="G368">
    <cfRule type="cellIs" dxfId="105" priority="41" operator="equal">
      <formula>0</formula>
    </cfRule>
  </conditionalFormatting>
  <conditionalFormatting sqref="G381">
    <cfRule type="cellIs" dxfId="104" priority="39" operator="equal">
      <formula>0</formula>
    </cfRule>
  </conditionalFormatting>
  <conditionalFormatting sqref="G394">
    <cfRule type="cellIs" dxfId="103" priority="37" operator="equal">
      <formula>0</formula>
    </cfRule>
  </conditionalFormatting>
  <conditionalFormatting sqref="G407">
    <cfRule type="cellIs" dxfId="102" priority="35" operator="equal">
      <formula>0</formula>
    </cfRule>
  </conditionalFormatting>
  <conditionalFormatting sqref="G420">
    <cfRule type="cellIs" dxfId="101" priority="33" operator="equal">
      <formula>0</formula>
    </cfRule>
  </conditionalFormatting>
  <conditionalFormatting sqref="G433">
    <cfRule type="cellIs" dxfId="100" priority="31" operator="equal">
      <formula>0</formula>
    </cfRule>
  </conditionalFormatting>
  <conditionalFormatting sqref="G446">
    <cfRule type="cellIs" dxfId="99" priority="29" operator="equal">
      <formula>0</formula>
    </cfRule>
  </conditionalFormatting>
  <conditionalFormatting sqref="G459">
    <cfRule type="cellIs" dxfId="98" priority="27" operator="equal">
      <formula>0</formula>
    </cfRule>
  </conditionalFormatting>
  <conditionalFormatting sqref="G472">
    <cfRule type="cellIs" dxfId="97" priority="25" operator="equal">
      <formula>0</formula>
    </cfRule>
  </conditionalFormatting>
  <conditionalFormatting sqref="G485">
    <cfRule type="cellIs" dxfId="96" priority="23" operator="equal">
      <formula>0</formula>
    </cfRule>
  </conditionalFormatting>
  <conditionalFormatting sqref="G498">
    <cfRule type="cellIs" dxfId="95" priority="21" operator="equal">
      <formula>0</formula>
    </cfRule>
  </conditionalFormatting>
  <conditionalFormatting sqref="G511">
    <cfRule type="cellIs" dxfId="94" priority="17" operator="equal">
      <formula>0</formula>
    </cfRule>
  </conditionalFormatting>
  <conditionalFormatting sqref="G524">
    <cfRule type="cellIs" dxfId="93" priority="15" operator="equal">
      <formula>0</formula>
    </cfRule>
  </conditionalFormatting>
  <conditionalFormatting sqref="G537">
    <cfRule type="cellIs" dxfId="92" priority="13" operator="equal">
      <formula>0</formula>
    </cfRule>
  </conditionalFormatting>
  <conditionalFormatting sqref="G550">
    <cfRule type="cellIs" dxfId="91" priority="11" operator="equal">
      <formula>0</formula>
    </cfRule>
  </conditionalFormatting>
  <conditionalFormatting sqref="G563">
    <cfRule type="cellIs" dxfId="90" priority="9" operator="equal">
      <formula>0</formula>
    </cfRule>
  </conditionalFormatting>
  <conditionalFormatting sqref="G576">
    <cfRule type="cellIs" dxfId="89" priority="7" operator="equal">
      <formula>0</formula>
    </cfRule>
  </conditionalFormatting>
  <conditionalFormatting sqref="G589">
    <cfRule type="cellIs" dxfId="88" priority="5" operator="equal">
      <formula>0</formula>
    </cfRule>
  </conditionalFormatting>
  <conditionalFormatting sqref="G602">
    <cfRule type="cellIs" dxfId="87" priority="3" operator="equal">
      <formula>0</formula>
    </cfRule>
  </conditionalFormatting>
  <conditionalFormatting sqref="H17">
    <cfRule type="expression" dxfId="86" priority="166">
      <formula>G17&lt;&gt;0</formula>
    </cfRule>
  </conditionalFormatting>
  <conditionalFormatting sqref="H43">
    <cfRule type="expression" dxfId="85" priority="103">
      <formula>G43&lt;&gt;0</formula>
    </cfRule>
  </conditionalFormatting>
  <conditionalFormatting sqref="H56">
    <cfRule type="expression" dxfId="84" priority="90">
      <formula>G56&lt;&gt;0</formula>
    </cfRule>
  </conditionalFormatting>
  <conditionalFormatting sqref="H69">
    <cfRule type="expression" dxfId="83" priority="88">
      <formula>G69&lt;&gt;0</formula>
    </cfRule>
  </conditionalFormatting>
  <conditionalFormatting sqref="H82">
    <cfRule type="expression" dxfId="82" priority="86">
      <formula>G82&lt;&gt;0</formula>
    </cfRule>
  </conditionalFormatting>
  <conditionalFormatting sqref="H95">
    <cfRule type="expression" dxfId="81" priority="84">
      <formula>G95&lt;&gt;0</formula>
    </cfRule>
  </conditionalFormatting>
  <conditionalFormatting sqref="H108">
    <cfRule type="expression" dxfId="80" priority="82">
      <formula>G108&lt;&gt;0</formula>
    </cfRule>
  </conditionalFormatting>
  <conditionalFormatting sqref="H121">
    <cfRule type="expression" dxfId="79" priority="80">
      <formula>G121&lt;&gt;0</formula>
    </cfRule>
  </conditionalFormatting>
  <conditionalFormatting sqref="H134">
    <cfRule type="expression" dxfId="78" priority="78">
      <formula>G134&lt;&gt;0</formula>
    </cfRule>
  </conditionalFormatting>
  <conditionalFormatting sqref="H147">
    <cfRule type="expression" dxfId="77" priority="76">
      <formula>G147&lt;&gt;0</formula>
    </cfRule>
  </conditionalFormatting>
  <conditionalFormatting sqref="H160">
    <cfRule type="expression" dxfId="76" priority="74">
      <formula>G160&lt;&gt;0</formula>
    </cfRule>
  </conditionalFormatting>
  <conditionalFormatting sqref="H173">
    <cfRule type="expression" dxfId="75" priority="72">
      <formula>G173&lt;&gt;0</formula>
    </cfRule>
  </conditionalFormatting>
  <conditionalFormatting sqref="H186">
    <cfRule type="expression" dxfId="74" priority="70">
      <formula>G186&lt;&gt;0</formula>
    </cfRule>
  </conditionalFormatting>
  <conditionalFormatting sqref="H199">
    <cfRule type="expression" dxfId="73" priority="68">
      <formula>G199&lt;&gt;0</formula>
    </cfRule>
  </conditionalFormatting>
  <conditionalFormatting sqref="H212">
    <cfRule type="expression" dxfId="72" priority="66">
      <formula>G212&lt;&gt;0</formula>
    </cfRule>
  </conditionalFormatting>
  <conditionalFormatting sqref="H225">
    <cfRule type="expression" dxfId="71" priority="64">
      <formula>G225&lt;&gt;0</formula>
    </cfRule>
  </conditionalFormatting>
  <conditionalFormatting sqref="H238">
    <cfRule type="expression" dxfId="70" priority="62">
      <formula>G238&lt;&gt;0</formula>
    </cfRule>
  </conditionalFormatting>
  <conditionalFormatting sqref="H251">
    <cfRule type="expression" dxfId="69" priority="60">
      <formula>G251&lt;&gt;0</formula>
    </cfRule>
  </conditionalFormatting>
  <conditionalFormatting sqref="H264">
    <cfRule type="expression" dxfId="68" priority="58">
      <formula>G264&lt;&gt;0</formula>
    </cfRule>
  </conditionalFormatting>
  <conditionalFormatting sqref="H277">
    <cfRule type="expression" dxfId="67" priority="56">
      <formula>G277&lt;&gt;0</formula>
    </cfRule>
  </conditionalFormatting>
  <conditionalFormatting sqref="H290">
    <cfRule type="expression" dxfId="66" priority="54">
      <formula>G290&lt;&gt;0</formula>
    </cfRule>
  </conditionalFormatting>
  <conditionalFormatting sqref="H303">
    <cfRule type="expression" dxfId="65" priority="52">
      <formula>G303&lt;&gt;0</formula>
    </cfRule>
  </conditionalFormatting>
  <conditionalFormatting sqref="H316">
    <cfRule type="expression" dxfId="64" priority="50">
      <formula>G316&lt;&gt;0</formula>
    </cfRule>
  </conditionalFormatting>
  <conditionalFormatting sqref="H329">
    <cfRule type="expression" dxfId="63" priority="48">
      <formula>G329&lt;&gt;0</formula>
    </cfRule>
  </conditionalFormatting>
  <conditionalFormatting sqref="H342">
    <cfRule type="expression" dxfId="62" priority="46">
      <formula>G342&lt;&gt;0</formula>
    </cfRule>
  </conditionalFormatting>
  <conditionalFormatting sqref="H355">
    <cfRule type="expression" dxfId="61" priority="44">
      <formula>G355&lt;&gt;0</formula>
    </cfRule>
  </conditionalFormatting>
  <conditionalFormatting sqref="H368">
    <cfRule type="expression" dxfId="60" priority="42">
      <formula>G368&lt;&gt;0</formula>
    </cfRule>
  </conditionalFormatting>
  <conditionalFormatting sqref="H381">
    <cfRule type="expression" dxfId="59" priority="40">
      <formula>G381&lt;&gt;0</formula>
    </cfRule>
  </conditionalFormatting>
  <conditionalFormatting sqref="H394">
    <cfRule type="expression" dxfId="58" priority="38">
      <formula>G394&lt;&gt;0</formula>
    </cfRule>
  </conditionalFormatting>
  <conditionalFormatting sqref="H407">
    <cfRule type="expression" dxfId="57" priority="36">
      <formula>G407&lt;&gt;0</formula>
    </cfRule>
  </conditionalFormatting>
  <conditionalFormatting sqref="H420">
    <cfRule type="expression" dxfId="56" priority="34">
      <formula>G420&lt;&gt;0</formula>
    </cfRule>
  </conditionalFormatting>
  <conditionalFormatting sqref="H433">
    <cfRule type="expression" dxfId="55" priority="32">
      <formula>G433&lt;&gt;0</formula>
    </cfRule>
  </conditionalFormatting>
  <conditionalFormatting sqref="H446">
    <cfRule type="expression" dxfId="54" priority="30">
      <formula>G446&lt;&gt;0</formula>
    </cfRule>
  </conditionalFormatting>
  <conditionalFormatting sqref="H459">
    <cfRule type="expression" dxfId="53" priority="28">
      <formula>G459&lt;&gt;0</formula>
    </cfRule>
  </conditionalFormatting>
  <conditionalFormatting sqref="H472">
    <cfRule type="expression" dxfId="52" priority="26">
      <formula>G472&lt;&gt;0</formula>
    </cfRule>
  </conditionalFormatting>
  <conditionalFormatting sqref="H485">
    <cfRule type="expression" dxfId="51" priority="24">
      <formula>G485&lt;&gt;0</formula>
    </cfRule>
  </conditionalFormatting>
  <conditionalFormatting sqref="H498">
    <cfRule type="expression" dxfId="50" priority="22">
      <formula>G498&lt;&gt;0</formula>
    </cfRule>
  </conditionalFormatting>
  <conditionalFormatting sqref="H511">
    <cfRule type="expression" dxfId="49" priority="18">
      <formula>G511&lt;&gt;0</formula>
    </cfRule>
  </conditionalFormatting>
  <conditionalFormatting sqref="H524">
    <cfRule type="expression" dxfId="48" priority="16">
      <formula>G524&lt;&gt;0</formula>
    </cfRule>
  </conditionalFormatting>
  <conditionalFormatting sqref="H537">
    <cfRule type="expression" dxfId="47" priority="14">
      <formula>G537&lt;&gt;0</formula>
    </cfRule>
  </conditionalFormatting>
  <conditionalFormatting sqref="H550">
    <cfRule type="expression" dxfId="46" priority="12">
      <formula>G550&lt;&gt;0</formula>
    </cfRule>
  </conditionalFormatting>
  <conditionalFormatting sqref="H563">
    <cfRule type="expression" dxfId="45" priority="10">
      <formula>G563&lt;&gt;0</formula>
    </cfRule>
  </conditionalFormatting>
  <conditionalFormatting sqref="H576">
    <cfRule type="expression" dxfId="44" priority="8">
      <formula>G576&lt;&gt;0</formula>
    </cfRule>
  </conditionalFormatting>
  <conditionalFormatting sqref="H589">
    <cfRule type="expression" dxfId="43" priority="6">
      <formula>G589&lt;&gt;0</formula>
    </cfRule>
  </conditionalFormatting>
  <conditionalFormatting sqref="H602">
    <cfRule type="expression" dxfId="42" priority="4">
      <formula>G602&lt;&gt;0</formula>
    </cfRule>
  </conditionalFormatting>
  <printOptions horizontalCentered="1"/>
  <pageMargins left="0.15" right="0" top="0.37" bottom="0.35416666666666702" header="0.15763888888888899" footer="0.15763888888888899"/>
  <pageSetup scale="58" fitToHeight="0" orientation="portrait" horizontalDpi="300" verticalDpi="300" r:id="rId1"/>
  <headerFooter>
    <oddHeader>&amp;C&amp;"Arial,Bold"&amp;28</oddHeader>
    <oddFooter>&amp;L&amp;D&amp;R&amp;P/&amp;N</oddFooter>
  </headerFooter>
  <rowBreaks count="12" manualBreakCount="12">
    <brk id="50" max="16383" man="1"/>
    <brk id="92" min="2" max="13" man="1"/>
    <brk id="134" min="2" max="13" man="1"/>
    <brk id="256" min="2" max="13" man="1"/>
    <brk id="298" min="2" max="13" man="1"/>
    <brk id="340" min="2" max="13" man="1"/>
    <brk id="382" min="2" max="13" man="1"/>
    <brk id="424" min="2" max="13" man="1"/>
    <brk id="466" min="2" max="13" man="1"/>
    <brk id="508" min="2" max="13" man="1"/>
    <brk id="550" min="2" max="13" man="1"/>
    <brk id="592" min="2" max="1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499984740745262"/>
    <pageSetUpPr fitToPage="1"/>
  </sheetPr>
  <dimension ref="A1:AMJ252"/>
  <sheetViews>
    <sheetView showGridLines="0" showZeros="0" zoomScale="85" zoomScaleNormal="85" zoomScalePageLayoutView="70" workbookViewId="0">
      <pane ySplit="8" topLeftCell="A41" activePane="bottomLeft" state="frozen"/>
      <selection pane="bottomLeft" activeCell="G6" sqref="G6"/>
    </sheetView>
  </sheetViews>
  <sheetFormatPr baseColWidth="10" defaultColWidth="11.5" defaultRowHeight="13" x14ac:dyDescent="0.15"/>
  <cols>
    <col min="1" max="1" width="3.6640625" style="1" customWidth="1"/>
    <col min="2" max="2" width="6.5" style="198" customWidth="1"/>
    <col min="3" max="3" width="6.5" style="17" customWidth="1"/>
    <col min="4" max="4" width="8.83203125" style="17" customWidth="1"/>
    <col min="5" max="5" width="66.33203125" style="508" customWidth="1"/>
    <col min="6" max="6" width="37.83203125" style="573" customWidth="1"/>
    <col min="7" max="7" width="22.33203125" style="573" customWidth="1"/>
    <col min="8" max="8" width="19.1640625" style="572" customWidth="1"/>
    <col min="9" max="9" width="19.1640625" style="198" customWidth="1"/>
    <col min="10" max="10" width="19.1640625" style="572" customWidth="1"/>
    <col min="11" max="11" width="1.5" style="1" customWidth="1"/>
    <col min="12" max="12" width="7.33203125" style="1" customWidth="1"/>
    <col min="13" max="13" width="16.33203125" style="1" customWidth="1"/>
    <col min="14" max="14" width="24.1640625" style="1" customWidth="1"/>
    <col min="15" max="15" width="2.6640625" style="1" customWidth="1"/>
    <col min="16" max="16" width="36.83203125" style="1" hidden="1" customWidth="1"/>
    <col min="17" max="245" width="9.1640625" style="1" customWidth="1"/>
    <col min="246" max="1024" width="11.5" style="1"/>
  </cols>
  <sheetData>
    <row r="1" spans="2:16" ht="33.75" customHeight="1" x14ac:dyDescent="0.25">
      <c r="B1" s="1515" t="str">
        <f>IF(K1=2,"Suivi du budget","Budget Tracker")</f>
        <v>Budget Tracker</v>
      </c>
      <c r="C1" s="1515"/>
      <c r="D1" s="1515"/>
      <c r="E1" s="1515"/>
      <c r="F1" s="1515"/>
      <c r="G1" s="1515"/>
      <c r="H1" s="1515"/>
      <c r="I1" s="1515"/>
      <c r="J1" s="1515"/>
      <c r="K1" s="23">
        <f>'Set up ~ Config'!L10</f>
        <v>1</v>
      </c>
      <c r="L1" s="868" t="str">
        <f>IF(H61=H166,"Y","N")</f>
        <v>Y</v>
      </c>
      <c r="M1" s="1597" t="str">
        <f>IF(K1=2,"Totaux","Total")</f>
        <v>Total</v>
      </c>
      <c r="N1" s="1597"/>
      <c r="O1" s="505"/>
    </row>
    <row r="2" spans="2:16" ht="33.75" customHeight="1" x14ac:dyDescent="0.15">
      <c r="B2" s="1598" t="str">
        <f>'Set up ~ Config'!B3</f>
        <v xml:space="preserve">Fiscal Year  - </v>
      </c>
      <c r="C2" s="1598"/>
      <c r="D2" s="1598"/>
      <c r="E2" s="1598"/>
      <c r="F2" s="1598"/>
      <c r="G2" s="1598"/>
      <c r="H2" s="1598"/>
      <c r="I2" s="1598"/>
      <c r="J2" s="1598"/>
      <c r="K2" s="23"/>
      <c r="L2" s="1599" t="str">
        <f>IF(K1=2,"Revenus","Revenues")</f>
        <v>Revenues</v>
      </c>
      <c r="M2" s="1599"/>
      <c r="N2" s="869">
        <f>H61</f>
        <v>0</v>
      </c>
      <c r="O2" s="505"/>
    </row>
    <row r="3" spans="2:16" ht="27.75" customHeight="1" x14ac:dyDescent="0.15">
      <c r="B3" s="1598" t="str">
        <f>'Set up ~ Config'!B2</f>
        <v xml:space="preserve">SSC </v>
      </c>
      <c r="C3" s="1598"/>
      <c r="D3" s="1598"/>
      <c r="E3" s="1598"/>
      <c r="F3" s="1598"/>
      <c r="G3" s="1598"/>
      <c r="H3" s="1598"/>
      <c r="I3" s="1598"/>
      <c r="J3" s="1598"/>
      <c r="L3" s="1599" t="str">
        <f>IF(K1=2,"Dépenses","Expenses")</f>
        <v>Expenses</v>
      </c>
      <c r="M3" s="1599"/>
      <c r="N3" s="869">
        <f>H166</f>
        <v>0</v>
      </c>
      <c r="O3" s="505"/>
    </row>
    <row r="4" spans="2:16" ht="14.25" customHeight="1" x14ac:dyDescent="0.15">
      <c r="B4" s="199"/>
      <c r="F4" s="509"/>
      <c r="G4" s="510"/>
      <c r="H4" s="778"/>
      <c r="I4" s="1603" t="str">
        <f>IF(K1=2,"Inscrivez votre budget approuvé dans cette colonne","Fill in your approved budget in this column")</f>
        <v>Fill in your approved budget in this column</v>
      </c>
      <c r="J4" s="1603"/>
    </row>
    <row r="5" spans="2:16" s="1" customFormat="1" ht="12" hidden="1" customHeight="1" x14ac:dyDescent="0.15">
      <c r="E5" s="509"/>
      <c r="F5" s="509"/>
      <c r="G5" s="510"/>
      <c r="H5" s="22"/>
      <c r="I5" s="1603"/>
      <c r="J5" s="1603"/>
    </row>
    <row r="6" spans="2:16" s="512" customFormat="1" ht="21" customHeight="1" thickBot="1" x14ac:dyDescent="0.2">
      <c r="B6" s="1612" t="s">
        <v>135</v>
      </c>
      <c r="C6" s="1612"/>
      <c r="D6" s="936"/>
      <c r="E6" s="939"/>
      <c r="F6" s="937" t="str">
        <f>IF(K1=2,"Date (aaa-mm-jj):","Date (yyyy-mm-dd):")</f>
        <v>Date (yyyy-mm-dd):</v>
      </c>
      <c r="G6" s="1039"/>
      <c r="H6" s="514"/>
      <c r="I6" s="1604"/>
      <c r="J6" s="1604"/>
      <c r="L6" s="1507" t="str">
        <f>IF($K$1=2,IF(H61=H166,"BUDGET ÉQUILIBRÉ","BUDGET NON ÉQUILIBRÉ"),IF(H61=H166,"BALANCED BUDGET","UNBALANCED BUDGET"))</f>
        <v>BALANCED BUDGET</v>
      </c>
      <c r="M6" s="1507"/>
      <c r="N6" s="1507"/>
      <c r="O6" s="1507"/>
    </row>
    <row r="7" spans="2:16" s="12" customFormat="1" ht="39" customHeight="1" x14ac:dyDescent="0.15">
      <c r="B7" s="574" t="str">
        <f>IF(K1=2,"Catégories","ACC
Descr")</f>
        <v>ACC
Descr</v>
      </c>
      <c r="C7" s="575" t="s">
        <v>137</v>
      </c>
      <c r="D7" s="575"/>
      <c r="E7" s="575" t="s">
        <v>138</v>
      </c>
      <c r="F7" s="575" t="str">
        <f>IF(K1=2,"Détails (exemples)","Details (examples)")</f>
        <v>Details (examples)</v>
      </c>
      <c r="G7" s="575"/>
      <c r="H7" s="576" t="str">
        <f>IF(K1=2,"Budget 
(cette année)","Budget
(this year)")</f>
        <v>Budget
(this year)</v>
      </c>
      <c r="I7" s="575" t="str">
        <f>IF(K1=2,"Réel 
(cette année)","Actuals
(this year)")</f>
        <v>Actuals
(this year)</v>
      </c>
      <c r="J7" s="577" t="str">
        <f>IF(K1=2,"Différentiel","Differential")</f>
        <v>Differential</v>
      </c>
      <c r="L7" s="1507"/>
      <c r="M7" s="1507"/>
      <c r="N7" s="1507"/>
      <c r="O7" s="1507"/>
    </row>
    <row r="8" spans="2:16" s="12" customFormat="1" ht="23.25" customHeight="1" x14ac:dyDescent="0.15">
      <c r="B8" s="1592"/>
      <c r="C8" s="1593"/>
      <c r="D8" s="1593"/>
      <c r="E8" s="1593"/>
      <c r="F8" s="1593"/>
      <c r="G8" s="1593"/>
      <c r="H8" s="1593"/>
      <c r="I8" s="1593"/>
      <c r="J8" s="1594"/>
      <c r="L8" s="1595"/>
      <c r="M8" s="1595"/>
      <c r="N8" s="1596"/>
      <c r="O8" s="1596"/>
    </row>
    <row r="9" spans="2:16" s="12" customFormat="1" ht="23.25" customHeight="1" thickBot="1" x14ac:dyDescent="0.2">
      <c r="B9" s="1588" t="str">
        <f>IF(K1=2,"Revenus","Income Items")</f>
        <v>Income Items</v>
      </c>
      <c r="C9" s="1588"/>
      <c r="D9" s="1588"/>
      <c r="E9" s="1588"/>
      <c r="F9" s="1588"/>
      <c r="G9" s="1588"/>
      <c r="H9" s="1588"/>
      <c r="I9" s="1588"/>
      <c r="J9" s="1589"/>
      <c r="M9" s="578"/>
      <c r="N9" s="579"/>
      <c r="O9" s="580"/>
    </row>
    <row r="10" spans="2:16" s="12" customFormat="1" ht="33" customHeight="1" thickTop="1" thickBot="1" x14ac:dyDescent="0.2">
      <c r="B10" s="1590" t="str">
        <f>CONCATENATE('Jrnl Rev'!Q4," - ",'Jrnl Rev'!Q5)</f>
        <v>4000 - Donations, Grants &amp; Other</v>
      </c>
      <c r="C10" s="522">
        <f>'Jrnl Rev'!Q$6</f>
        <v>4010</v>
      </c>
      <c r="D10" s="1574"/>
      <c r="E10" s="523" t="str">
        <f>+'Jrnl Rev'!Q8</f>
        <v>From Official Sponsor(s)</v>
      </c>
      <c r="F10" s="524" t="str">
        <f>IF(K1=2,"De l'organisation qui parraine","From Squadron's Official Sponsor only")</f>
        <v>From Squadron's Official Sponsor only</v>
      </c>
      <c r="G10" s="1606"/>
      <c r="H10" s="200"/>
      <c r="I10" s="1202">
        <f>'Jrnl Rev'!Q516</f>
        <v>0</v>
      </c>
      <c r="J10" s="1211">
        <f>IF($I10=0,0,$I10-$H10)</f>
        <v>0</v>
      </c>
      <c r="L10" s="21"/>
      <c r="P10" s="581" t="str">
        <f>'Set up ~ Config'!$F$32&amp;" "&amp;'Set up ~ Config'!$G$32&amp;" "&amp;'Set up ~ Config'!$G$31</f>
        <v xml:space="preserve">  </v>
      </c>
    </row>
    <row r="11" spans="2:16" s="12" customFormat="1" ht="33" customHeight="1" x14ac:dyDescent="0.15">
      <c r="B11" s="1590"/>
      <c r="C11" s="526">
        <f>'Jrnl Rev'!R$6</f>
        <v>4020</v>
      </c>
      <c r="D11" s="1574"/>
      <c r="E11" s="527" t="str">
        <f>+'Jrnl Rev'!R8</f>
        <v>From Non-Sponsor Veterans Organizations, Auxiliaries</v>
      </c>
      <c r="F11" s="528" t="str">
        <f>IF(K1=2,"Légion, Ass ARC","Legion, RCAF Ass")</f>
        <v>Legion, RCAF Ass</v>
      </c>
      <c r="G11" s="1606"/>
      <c r="H11" s="201"/>
      <c r="I11" s="1209">
        <f>'Jrnl Rev'!R516</f>
        <v>0</v>
      </c>
      <c r="J11" s="1212">
        <f>IF($I11=0,0,$I11-$H11)</f>
        <v>0</v>
      </c>
      <c r="L11" s="21"/>
      <c r="P11" s="582">
        <f ca="1">IF(TODAY()&lt;$P$10,TODAY(),$P$10)</f>
        <v>45882</v>
      </c>
    </row>
    <row r="12" spans="2:16" s="12" customFormat="1" ht="33" customHeight="1" x14ac:dyDescent="0.15">
      <c r="B12" s="1590"/>
      <c r="C12" s="1613">
        <f>'Jrnl Rev'!S$6</f>
        <v>4030</v>
      </c>
      <c r="D12" s="529"/>
      <c r="E12" s="523" t="str">
        <f>+'Jrnl Rev'!S$8</f>
        <v>From Other Service Clubs (Charities)</v>
      </c>
      <c r="F12" s="530" t="str">
        <f>IF(K1=2,"4030 TOTAL","4030 TOTAL")</f>
        <v>4030 TOTAL</v>
      </c>
      <c r="G12" s="531"/>
      <c r="H12" s="583">
        <f>SUM(G13:G16)</f>
        <v>0</v>
      </c>
      <c r="I12" s="1224">
        <f>'Jrnl Rev'!S$516</f>
        <v>0</v>
      </c>
      <c r="J12" s="585">
        <f>IF($I12=0,0,$I12-$H12)</f>
        <v>0</v>
      </c>
      <c r="L12" s="21"/>
    </row>
    <row r="13" spans="2:16" s="12" customFormat="1" ht="33" customHeight="1" x14ac:dyDescent="0.15">
      <c r="B13" s="1590"/>
      <c r="C13" s="1613"/>
      <c r="D13" s="1225">
        <f>'Jrnl Rev'!T$6</f>
        <v>4030.1</v>
      </c>
      <c r="E13" s="1226" t="str">
        <f>+'Jrnl Rev'!T$8</f>
        <v>Disponible ~ Available</v>
      </c>
      <c r="F13" s="1227"/>
      <c r="G13" s="202"/>
      <c r="H13" s="1614"/>
      <c r="I13" s="1205">
        <f>'Jrnl Rev'!T$516</f>
        <v>0</v>
      </c>
      <c r="J13" s="1213">
        <f>IF($I13=0,0,$I13-$G13)</f>
        <v>0</v>
      </c>
      <c r="L13" s="21"/>
    </row>
    <row r="14" spans="2:16" s="12" customFormat="1" ht="33" customHeight="1" x14ac:dyDescent="0.15">
      <c r="B14" s="1590"/>
      <c r="C14" s="1613"/>
      <c r="D14" s="1225">
        <f>'Jrnl Rev'!U$6</f>
        <v>4030.2</v>
      </c>
      <c r="E14" s="1226" t="str">
        <f>+'Jrnl Rev'!U$8</f>
        <v>Disponible ~ Available</v>
      </c>
      <c r="F14" s="1227"/>
      <c r="G14" s="202"/>
      <c r="H14" s="1614"/>
      <c r="I14" s="1205">
        <f>'Jrnl Rev'!U$516</f>
        <v>0</v>
      </c>
      <c r="J14" s="1213">
        <f>IF($I14=0,0,$I14-$G14)</f>
        <v>0</v>
      </c>
      <c r="L14" s="21"/>
    </row>
    <row r="15" spans="2:16" s="12" customFormat="1" ht="33" customHeight="1" x14ac:dyDescent="0.15">
      <c r="B15" s="1590"/>
      <c r="C15" s="1613"/>
      <c r="D15" s="1225">
        <f>'Jrnl Rev'!V$6</f>
        <v>4030.3</v>
      </c>
      <c r="E15" s="1226" t="str">
        <f>+'Jrnl Rev'!V$8</f>
        <v>Disponible ~ Available</v>
      </c>
      <c r="F15" s="1227"/>
      <c r="G15" s="202"/>
      <c r="H15" s="1614"/>
      <c r="I15" s="1205">
        <f>'Jrnl Rev'!V$516</f>
        <v>0</v>
      </c>
      <c r="J15" s="1213">
        <f>IF($I15=0,0,$I15-$G15)</f>
        <v>0</v>
      </c>
      <c r="L15" s="21"/>
    </row>
    <row r="16" spans="2:16" s="12" customFormat="1" ht="33" customHeight="1" x14ac:dyDescent="0.15">
      <c r="B16" s="1590"/>
      <c r="C16" s="1613"/>
      <c r="D16" s="1228">
        <f>'Jrnl Rev'!W$6</f>
        <v>4030.4</v>
      </c>
      <c r="E16" s="1229" t="str">
        <f>+'Jrnl Rev'!W$8</f>
        <v>Disponible ~ Available</v>
      </c>
      <c r="F16" s="1230"/>
      <c r="G16" s="203"/>
      <c r="H16" s="1614"/>
      <c r="I16" s="1204">
        <f>'Jrnl Rev'!W$516</f>
        <v>0</v>
      </c>
      <c r="J16" s="1214">
        <f>IF($I16=0,0,$I16-$G16)</f>
        <v>0</v>
      </c>
      <c r="L16" s="21"/>
    </row>
    <row r="17" spans="1:12" s="12" customFormat="1" ht="33" customHeight="1" x14ac:dyDescent="0.15">
      <c r="B17" s="1590"/>
      <c r="C17" s="532">
        <f>'Jrnl Rev'!X$6</f>
        <v>4040</v>
      </c>
      <c r="D17" s="1591"/>
      <c r="E17" s="533" t="str">
        <f>+'Jrnl Rev'!X8</f>
        <v>Specific Purpose Non-DND Grants</v>
      </c>
      <c r="F17" s="534" t="str">
        <f>IF(K1=2,"Subvention spéciale pour projet","Special grant for a project")</f>
        <v>Special grant for a project</v>
      </c>
      <c r="G17" s="1591"/>
      <c r="H17" s="204"/>
      <c r="I17" s="1207">
        <f>'Jrnl Rev'!X516</f>
        <v>0</v>
      </c>
      <c r="J17" s="1215">
        <f t="shared" ref="J17:J59" si="0">IF($I17=0,0,$I17-$H17)</f>
        <v>0</v>
      </c>
      <c r="L17" s="21"/>
    </row>
    <row r="18" spans="1:12" s="12" customFormat="1" ht="33" customHeight="1" x14ac:dyDescent="0.15">
      <c r="B18" s="1590"/>
      <c r="C18" s="147">
        <f>'Jrnl Rev'!Y$6</f>
        <v>4050</v>
      </c>
      <c r="D18" s="1591"/>
      <c r="E18" s="501" t="str">
        <f>+'Jrnl Rev'!Y8</f>
        <v>Bequests and Such</v>
      </c>
      <c r="F18" s="535" t="str">
        <f>IF(K1=2,"Leg testamentaire","Money left in wills")</f>
        <v>Money left in wills</v>
      </c>
      <c r="G18" s="1591"/>
      <c r="H18" s="202"/>
      <c r="I18" s="1205">
        <f>'Jrnl Rev'!Y516</f>
        <v>0</v>
      </c>
      <c r="J18" s="1213">
        <f t="shared" si="0"/>
        <v>0</v>
      </c>
      <c r="L18" s="21"/>
    </row>
    <row r="19" spans="1:12" s="12" customFormat="1" ht="33" customHeight="1" x14ac:dyDescent="0.15">
      <c r="B19" s="1590"/>
      <c r="C19" s="147">
        <f>'Jrnl Rev'!Z$6</f>
        <v>4060</v>
      </c>
      <c r="D19" s="1591"/>
      <c r="E19" s="501" t="str">
        <f>+'Jrnl Rev'!Z8</f>
        <v>Non-Tax Receipt - Other Donations</v>
      </c>
      <c r="F19" s="535"/>
      <c r="G19" s="1591"/>
      <c r="H19" s="202"/>
      <c r="I19" s="1205">
        <f>'Jrnl Rev'!Z516</f>
        <v>0</v>
      </c>
      <c r="J19" s="1213">
        <f t="shared" si="0"/>
        <v>0</v>
      </c>
      <c r="L19" s="21"/>
    </row>
    <row r="20" spans="1:12" s="12" customFormat="1" ht="33" customHeight="1" x14ac:dyDescent="0.15">
      <c r="B20" s="1590"/>
      <c r="C20" s="147">
        <f>'Jrnl Rev'!AA$6</f>
        <v>4070</v>
      </c>
      <c r="D20" s="1591"/>
      <c r="E20" s="501" t="str">
        <f>+'Jrnl Rev'!AA8</f>
        <v>Tax Receipt - Other Donations</v>
      </c>
      <c r="F20" s="535"/>
      <c r="G20" s="1591"/>
      <c r="H20" s="202"/>
      <c r="I20" s="1205">
        <f>'Jrnl Rev'!AA516</f>
        <v>0</v>
      </c>
      <c r="J20" s="1213">
        <f t="shared" si="0"/>
        <v>0</v>
      </c>
      <c r="L20" s="21"/>
    </row>
    <row r="21" spans="1:12" s="12" customFormat="1" ht="33" customHeight="1" x14ac:dyDescent="0.15">
      <c r="B21" s="1590"/>
      <c r="C21" s="147">
        <f>'Jrnl Rev'!AB$6</f>
        <v>4080</v>
      </c>
      <c r="D21" s="1591"/>
      <c r="E21" s="501" t="str">
        <f>+'Jrnl Rev'!AB8</f>
        <v>Disponible ~ Available</v>
      </c>
      <c r="F21" s="535">
        <f>IF($K$1=2,'Jrnl Rev'!AB$13,'Jrnl Rev'!AB$14)</f>
        <v>0</v>
      </c>
      <c r="G21" s="1591"/>
      <c r="H21" s="202"/>
      <c r="I21" s="1205">
        <f>'Jrnl Rev'!AB516</f>
        <v>0</v>
      </c>
      <c r="J21" s="1213">
        <f t="shared" si="0"/>
        <v>0</v>
      </c>
      <c r="L21" s="21"/>
    </row>
    <row r="22" spans="1:12" s="12" customFormat="1" ht="33" customHeight="1" x14ac:dyDescent="0.15">
      <c r="B22" s="1590"/>
      <c r="C22" s="536">
        <f>'Jrnl Rev'!AC$6</f>
        <v>4090</v>
      </c>
      <c r="D22" s="1591"/>
      <c r="E22" s="537" t="str">
        <f>+'Jrnl Rev'!AC8</f>
        <v>Disponible ~ Available</v>
      </c>
      <c r="F22" s="538">
        <f>IF($K$1=2,'Jrnl Rev'!AC$13,'Jrnl Rev'!AC$14)</f>
        <v>0</v>
      </c>
      <c r="G22" s="1591"/>
      <c r="H22" s="205"/>
      <c r="I22" s="1205">
        <f>'Jrnl Rev'!AC516</f>
        <v>0</v>
      </c>
      <c r="J22" s="1213">
        <f t="shared" si="0"/>
        <v>0</v>
      </c>
      <c r="L22" s="21"/>
    </row>
    <row r="23" spans="1:12" s="12" customFormat="1" ht="33" customHeight="1" x14ac:dyDescent="0.15">
      <c r="B23" s="1590" t="str">
        <f>CONCATENATE('Jrnl Rev'!AD4," - ",'Jrnl Rev'!AD5)</f>
        <v>4200 - Gaming &amp; Lotteries Fundraising</v>
      </c>
      <c r="C23" s="522">
        <f>'Jrnl Rev'!AD$6</f>
        <v>4210</v>
      </c>
      <c r="D23" s="1574"/>
      <c r="E23" s="523" t="str">
        <f>+'Jrnl Rev'!AD8</f>
        <v>Disponible ~ Available</v>
      </c>
      <c r="F23" s="524">
        <f>IF($K$1=2,'Jrnl Rev'!AD$13,'Jrnl Rev'!AD$14)</f>
        <v>0</v>
      </c>
      <c r="G23" s="1574"/>
      <c r="H23" s="200"/>
      <c r="I23" s="1202">
        <f>'Jrnl Rev'!AD516</f>
        <v>0</v>
      </c>
      <c r="J23" s="1211">
        <f t="shared" si="0"/>
        <v>0</v>
      </c>
      <c r="L23" s="21"/>
    </row>
    <row r="24" spans="1:12" s="12" customFormat="1" ht="33" customHeight="1" x14ac:dyDescent="0.15">
      <c r="A24" s="539"/>
      <c r="B24" s="1590"/>
      <c r="C24" s="147">
        <f>'Jrnl Rev'!AE$6</f>
        <v>4220</v>
      </c>
      <c r="D24" s="1574"/>
      <c r="E24" s="501" t="str">
        <f>+'Jrnl Rev'!AE8</f>
        <v>Disponible ~ Available</v>
      </c>
      <c r="F24" s="540">
        <f>IF($K$1=2,'Jrnl Rev'!AE$13,'Jrnl Rev'!AE$14)</f>
        <v>0</v>
      </c>
      <c r="G24" s="1574"/>
      <c r="H24" s="202"/>
      <c r="I24" s="1205">
        <f>'Jrnl Rev'!AE516</f>
        <v>0</v>
      </c>
      <c r="J24" s="1213">
        <f t="shared" si="0"/>
        <v>0</v>
      </c>
      <c r="L24" s="21"/>
    </row>
    <row r="25" spans="1:12" s="12" customFormat="1" ht="33" customHeight="1" x14ac:dyDescent="0.15">
      <c r="A25" s="539"/>
      <c r="B25" s="1590"/>
      <c r="C25" s="147">
        <f>'Jrnl Rev'!AF$6</f>
        <v>4230</v>
      </c>
      <c r="D25" s="1574"/>
      <c r="E25" s="501" t="str">
        <f>+'Jrnl Rev'!AF8</f>
        <v>Disponible ~ Available</v>
      </c>
      <c r="F25" s="540">
        <f>IF($K$1=2,'Jrnl Rev'!AF$13,'Jrnl Rev'!AF$14)</f>
        <v>0</v>
      </c>
      <c r="G25" s="1574"/>
      <c r="H25" s="202"/>
      <c r="I25" s="1205">
        <f>'Jrnl Rev'!AF516</f>
        <v>0</v>
      </c>
      <c r="J25" s="1213">
        <f t="shared" si="0"/>
        <v>0</v>
      </c>
      <c r="L25" s="21"/>
    </row>
    <row r="26" spans="1:12" s="12" customFormat="1" ht="33" customHeight="1" x14ac:dyDescent="0.15">
      <c r="A26" s="539"/>
      <c r="B26" s="1590"/>
      <c r="C26" s="147">
        <f>'Jrnl Rev'!AG$6</f>
        <v>4240</v>
      </c>
      <c r="D26" s="1574"/>
      <c r="E26" s="501" t="str">
        <f>+'Jrnl Rev'!AG8</f>
        <v>Disponible ~ Available</v>
      </c>
      <c r="F26" s="540">
        <f>IF($K$1=2,'Jrnl Rev'!AG$13,'Jrnl Rev'!AG$14)</f>
        <v>0</v>
      </c>
      <c r="G26" s="1574"/>
      <c r="H26" s="202"/>
      <c r="I26" s="1205">
        <f>'Jrnl Rev'!AG516</f>
        <v>0</v>
      </c>
      <c r="J26" s="1213">
        <f t="shared" si="0"/>
        <v>0</v>
      </c>
      <c r="L26" s="21"/>
    </row>
    <row r="27" spans="1:12" s="12" customFormat="1" ht="33" customHeight="1" x14ac:dyDescent="0.15">
      <c r="A27" s="539"/>
      <c r="B27" s="1590"/>
      <c r="C27" s="147">
        <f>'Jrnl Rev'!AH$6</f>
        <v>4250</v>
      </c>
      <c r="D27" s="1574"/>
      <c r="E27" s="501" t="str">
        <f>+'Jrnl Rev'!AH8</f>
        <v>Disponible ~ Available</v>
      </c>
      <c r="F27" s="540">
        <f>IF($K$1=2,'Jrnl Rev'!AH$13,'Jrnl Rev'!AH$14)</f>
        <v>0</v>
      </c>
      <c r="G27" s="1574"/>
      <c r="H27" s="202"/>
      <c r="I27" s="1205">
        <f>'Jrnl Rev'!AH516</f>
        <v>0</v>
      </c>
      <c r="J27" s="1213">
        <f t="shared" si="0"/>
        <v>0</v>
      </c>
      <c r="L27" s="21"/>
    </row>
    <row r="28" spans="1:12" s="12" customFormat="1" ht="33" customHeight="1" x14ac:dyDescent="0.15">
      <c r="A28" s="539"/>
      <c r="B28" s="1590"/>
      <c r="C28" s="147">
        <f>'Jrnl Rev'!AI$6</f>
        <v>4260</v>
      </c>
      <c r="D28" s="1574"/>
      <c r="E28" s="501" t="str">
        <f>+'Jrnl Rev'!AI8</f>
        <v>Disponible ~ Available</v>
      </c>
      <c r="F28" s="540">
        <f>IF($K$1=2,'Jrnl Rev'!AI$13,'Jrnl Rev'!AI$14)</f>
        <v>0</v>
      </c>
      <c r="G28" s="1574"/>
      <c r="H28" s="202"/>
      <c r="I28" s="1205">
        <f>'Jrnl Rev'!AI516</f>
        <v>0</v>
      </c>
      <c r="J28" s="1213">
        <f t="shared" si="0"/>
        <v>0</v>
      </c>
      <c r="L28" s="21"/>
    </row>
    <row r="29" spans="1:12" s="12" customFormat="1" ht="33" customHeight="1" x14ac:dyDescent="0.15">
      <c r="A29" s="539"/>
      <c r="B29" s="1590"/>
      <c r="C29" s="147">
        <f>'Jrnl Rev'!AJ$6</f>
        <v>4270</v>
      </c>
      <c r="D29" s="1574"/>
      <c r="E29" s="501" t="str">
        <f>+'Jrnl Rev'!AJ8</f>
        <v>Disponible ~ Available</v>
      </c>
      <c r="F29" s="540">
        <f>IF($K$1=2,'Jrnl Rev'!AJ$13,'Jrnl Rev'!AJ$14)</f>
        <v>0</v>
      </c>
      <c r="G29" s="1574"/>
      <c r="H29" s="202"/>
      <c r="I29" s="1205">
        <f>'Jrnl Rev'!AJ516</f>
        <v>0</v>
      </c>
      <c r="J29" s="1213">
        <f t="shared" si="0"/>
        <v>0</v>
      </c>
      <c r="L29" s="21"/>
    </row>
    <row r="30" spans="1:12" s="12" customFormat="1" ht="33" customHeight="1" x14ac:dyDescent="0.15">
      <c r="A30" s="539"/>
      <c r="B30" s="1590"/>
      <c r="C30" s="147">
        <f>'Jrnl Rev'!AK$6</f>
        <v>4280</v>
      </c>
      <c r="D30" s="1574"/>
      <c r="E30" s="501" t="str">
        <f>+'Jrnl Rev'!AK8</f>
        <v>Disponible ~ Available</v>
      </c>
      <c r="F30" s="540">
        <f>IF($K$1=2,'Jrnl Rev'!AK$13,'Jrnl Rev'!AK$14)</f>
        <v>0</v>
      </c>
      <c r="G30" s="1574"/>
      <c r="H30" s="202"/>
      <c r="I30" s="1205">
        <f>'Jrnl Rev'!AK516</f>
        <v>0</v>
      </c>
      <c r="J30" s="1213">
        <f t="shared" si="0"/>
        <v>0</v>
      </c>
      <c r="L30" s="21"/>
    </row>
    <row r="31" spans="1:12" s="12" customFormat="1" ht="33" customHeight="1" x14ac:dyDescent="0.15">
      <c r="A31" s="539"/>
      <c r="B31" s="1590"/>
      <c r="C31" s="536">
        <f>'Jrnl Rev'!AL$6</f>
        <v>4290</v>
      </c>
      <c r="D31" s="1574"/>
      <c r="E31" s="537" t="str">
        <f>+'Jrnl Rev'!AL8</f>
        <v>Disponible ~ Available</v>
      </c>
      <c r="F31" s="538">
        <f>IF($K$1=2,'Jrnl Rev'!AL$13,'Jrnl Rev'!AL$14)</f>
        <v>0</v>
      </c>
      <c r="G31" s="1574"/>
      <c r="H31" s="205"/>
      <c r="I31" s="1205">
        <f>'Jrnl Rev'!AL516</f>
        <v>0</v>
      </c>
      <c r="J31" s="1213">
        <f t="shared" si="0"/>
        <v>0</v>
      </c>
      <c r="L31" s="21"/>
    </row>
    <row r="32" spans="1:12" s="12" customFormat="1" ht="33" customHeight="1" x14ac:dyDescent="0.15">
      <c r="B32" s="1590" t="str">
        <f>CONCATENATE('Jrnl Rev'!AM4," - ",'Jrnl Rev'!AM5)</f>
        <v>4400 - Other Fundraising</v>
      </c>
      <c r="C32" s="522">
        <f>'Jrnl Rev'!AM$6</f>
        <v>4410</v>
      </c>
      <c r="D32" s="1574"/>
      <c r="E32" s="523" t="str">
        <f>+'Jrnl Rev'!AM8</f>
        <v>Disponible ~ Available</v>
      </c>
      <c r="F32" s="524">
        <f>IF($K$1=2,'Jrnl Rev'!AM$13,'Jrnl Rev'!AM$14)</f>
        <v>0</v>
      </c>
      <c r="G32" s="1574"/>
      <c r="H32" s="200"/>
      <c r="I32" s="1202">
        <f>'Jrnl Rev'!AM516</f>
        <v>0</v>
      </c>
      <c r="J32" s="1211">
        <f t="shared" si="0"/>
        <v>0</v>
      </c>
      <c r="L32" s="21"/>
    </row>
    <row r="33" spans="2:14" s="12" customFormat="1" ht="33" customHeight="1" x14ac:dyDescent="0.15">
      <c r="B33" s="1590"/>
      <c r="C33" s="147">
        <f>'Jrnl Rev'!AN$6</f>
        <v>4420</v>
      </c>
      <c r="D33" s="1574"/>
      <c r="E33" s="501" t="str">
        <f>+'Jrnl Rev'!AN8</f>
        <v>Disponible ~ Available</v>
      </c>
      <c r="F33" s="540">
        <f>IF($K$1=2,'Jrnl Rev'!AN$13,'Jrnl Rev'!AN$14)</f>
        <v>0</v>
      </c>
      <c r="G33" s="1574"/>
      <c r="H33" s="202"/>
      <c r="I33" s="1205">
        <f>'Jrnl Rev'!AN516</f>
        <v>0</v>
      </c>
      <c r="J33" s="1213">
        <f t="shared" si="0"/>
        <v>0</v>
      </c>
      <c r="L33" s="21"/>
    </row>
    <row r="34" spans="2:14" s="12" customFormat="1" ht="33" customHeight="1" x14ac:dyDescent="0.15">
      <c r="B34" s="1590"/>
      <c r="C34" s="147">
        <f>'Jrnl Rev'!AO$6</f>
        <v>4430</v>
      </c>
      <c r="D34" s="1574"/>
      <c r="E34" s="501" t="str">
        <f>+'Jrnl Rev'!AO8</f>
        <v>Disponible ~ Available</v>
      </c>
      <c r="F34" s="540">
        <f>IF($K$1=2,'Jrnl Rev'!AO$13,'Jrnl Rev'!AO$14)</f>
        <v>0</v>
      </c>
      <c r="G34" s="1574"/>
      <c r="H34" s="202"/>
      <c r="I34" s="1205">
        <f>'Jrnl Rev'!AO516</f>
        <v>0</v>
      </c>
      <c r="J34" s="1213">
        <f t="shared" si="0"/>
        <v>0</v>
      </c>
      <c r="L34" s="21"/>
    </row>
    <row r="35" spans="2:14" s="12" customFormat="1" ht="33" customHeight="1" x14ac:dyDescent="0.15">
      <c r="B35" s="1590"/>
      <c r="C35" s="147">
        <f>'Jrnl Rev'!AP$6</f>
        <v>4440</v>
      </c>
      <c r="D35" s="1574"/>
      <c r="E35" s="501" t="str">
        <f>+'Jrnl Rev'!AP8</f>
        <v>Disponible ~ Available</v>
      </c>
      <c r="F35" s="540">
        <f>IF($K$1=2,'Jrnl Rev'!AP$13,'Jrnl Rev'!AP$14)</f>
        <v>0</v>
      </c>
      <c r="G35" s="1574"/>
      <c r="H35" s="202"/>
      <c r="I35" s="1205">
        <f>'Jrnl Rev'!AP516</f>
        <v>0</v>
      </c>
      <c r="J35" s="1213">
        <f t="shared" si="0"/>
        <v>0</v>
      </c>
      <c r="L35" s="21"/>
    </row>
    <row r="36" spans="2:14" s="12" customFormat="1" ht="33" customHeight="1" x14ac:dyDescent="0.15">
      <c r="B36" s="1590"/>
      <c r="C36" s="147">
        <f>'Jrnl Rev'!AQ$6</f>
        <v>4450</v>
      </c>
      <c r="D36" s="1574"/>
      <c r="E36" s="501" t="str">
        <f>+'Jrnl Rev'!AQ8</f>
        <v>Disponible ~ Available</v>
      </c>
      <c r="F36" s="540">
        <f>IF($K$1=2,'Jrnl Rev'!AQ$13,'Jrnl Rev'!AQ$14)</f>
        <v>0</v>
      </c>
      <c r="G36" s="1574"/>
      <c r="H36" s="202"/>
      <c r="I36" s="1205">
        <f>'Jrnl Rev'!AQ516</f>
        <v>0</v>
      </c>
      <c r="J36" s="1213">
        <f t="shared" si="0"/>
        <v>0</v>
      </c>
      <c r="L36" s="21"/>
    </row>
    <row r="37" spans="2:14" s="12" customFormat="1" ht="33" customHeight="1" x14ac:dyDescent="0.15">
      <c r="B37" s="1590"/>
      <c r="C37" s="147">
        <f>'Jrnl Rev'!AR$6</f>
        <v>4460</v>
      </c>
      <c r="D37" s="1574"/>
      <c r="E37" s="501" t="str">
        <f>+'Jrnl Rev'!AR8</f>
        <v>Disponible ~ Available</v>
      </c>
      <c r="F37" s="540">
        <f>IF($K$1=2,'Jrnl Rev'!AR$13,'Jrnl Rev'!AR$14)</f>
        <v>0</v>
      </c>
      <c r="G37" s="1574"/>
      <c r="H37" s="202"/>
      <c r="I37" s="1205">
        <f>'Jrnl Rev'!AR516</f>
        <v>0</v>
      </c>
      <c r="J37" s="1213">
        <f t="shared" si="0"/>
        <v>0</v>
      </c>
      <c r="L37" s="21"/>
    </row>
    <row r="38" spans="2:14" s="12" customFormat="1" ht="33" customHeight="1" x14ac:dyDescent="0.15">
      <c r="B38" s="1590"/>
      <c r="C38" s="147">
        <f>'Jrnl Rev'!AS$6</f>
        <v>4470</v>
      </c>
      <c r="D38" s="1574"/>
      <c r="E38" s="501" t="str">
        <f>+'Jrnl Rev'!AS$8</f>
        <v>Disponible ~ Available</v>
      </c>
      <c r="F38" s="540">
        <f>IF($K$1=2,'Jrnl Rev'!AS$13,'Jrnl Rev'!AS$14)</f>
        <v>0</v>
      </c>
      <c r="G38" s="1574"/>
      <c r="H38" s="202"/>
      <c r="I38" s="1205">
        <f>'Jrnl Rev'!AS$516</f>
        <v>0</v>
      </c>
      <c r="J38" s="1213">
        <f t="shared" si="0"/>
        <v>0</v>
      </c>
      <c r="L38" s="21"/>
    </row>
    <row r="39" spans="2:14" s="12" customFormat="1" ht="33" customHeight="1" x14ac:dyDescent="0.15">
      <c r="B39" s="1590"/>
      <c r="C39" s="147">
        <f>'Jrnl Rev'!AT$6</f>
        <v>4480</v>
      </c>
      <c r="D39" s="1574"/>
      <c r="E39" s="501" t="str">
        <f>+'Jrnl Rev'!AT$8</f>
        <v>Disponible ~ Available</v>
      </c>
      <c r="F39" s="540">
        <f>IF($K$1=2,'Jrnl Rev'!AT$13,'Jrnl Rev'!AT$14)</f>
        <v>0</v>
      </c>
      <c r="G39" s="1574"/>
      <c r="H39" s="202"/>
      <c r="I39" s="1205">
        <f>'Jrnl Rev'!AT$516</f>
        <v>0</v>
      </c>
      <c r="J39" s="1213">
        <f t="shared" si="0"/>
        <v>0</v>
      </c>
      <c r="L39" s="21"/>
      <c r="N39" s="12" t="s">
        <v>92</v>
      </c>
    </row>
    <row r="40" spans="2:14" s="12" customFormat="1" ht="33" customHeight="1" x14ac:dyDescent="0.15">
      <c r="B40" s="1590"/>
      <c r="C40" s="541">
        <f>'Jrnl Rev'!AU$6</f>
        <v>4490</v>
      </c>
      <c r="D40" s="1574"/>
      <c r="E40" s="542" t="str">
        <f>+'Jrnl Rev'!AU$8</f>
        <v>Disponible ~ Available</v>
      </c>
      <c r="F40" s="538">
        <f>IF($K$1=2,'Jrnl Rev'!AU$13,'Jrnl Rev'!AU$14)</f>
        <v>0</v>
      </c>
      <c r="G40" s="1574"/>
      <c r="H40" s="203"/>
      <c r="I40" s="1204">
        <f>'Jrnl Rev'!AU$516</f>
        <v>0</v>
      </c>
      <c r="J40" s="1214">
        <f t="shared" si="0"/>
        <v>0</v>
      </c>
      <c r="L40" s="21"/>
    </row>
    <row r="41" spans="2:14" s="12" customFormat="1" ht="33" customHeight="1" x14ac:dyDescent="0.15">
      <c r="B41" s="1590" t="str">
        <f>CONCATENATE('Jrnl Rev'!AV4," - ",'Jrnl Rev'!AV5)</f>
        <v>4600 - Misc Revenues (Other than Gov't)</v>
      </c>
      <c r="C41" s="522">
        <f>'Jrnl Rev'!AV$6</f>
        <v>4610</v>
      </c>
      <c r="D41" s="1574"/>
      <c r="E41" s="523" t="str">
        <f>+'Jrnl Rev'!AV8</f>
        <v>Money Collected for Activities</v>
      </c>
      <c r="F41" s="524" t="str">
        <f>IF(K1=2,"montant reçu des cadets pour une activité spécifique","Received from cadets for a specific activity")</f>
        <v>Received from cadets for a specific activity</v>
      </c>
      <c r="G41" s="1574"/>
      <c r="H41" s="200"/>
      <c r="I41" s="1202">
        <f>'Jrnl Rev'!AV516</f>
        <v>0</v>
      </c>
      <c r="J41" s="1211">
        <f t="shared" si="0"/>
        <v>0</v>
      </c>
      <c r="L41" s="21"/>
    </row>
    <row r="42" spans="2:14" s="12" customFormat="1" ht="33" customHeight="1" x14ac:dyDescent="0.15">
      <c r="B42" s="1590"/>
      <c r="C42" s="147">
        <f>'Jrnl Rev'!AW$6</f>
        <v>4620</v>
      </c>
      <c r="D42" s="1574"/>
      <c r="E42" s="501" t="str">
        <f>+'Jrnl Rev'!AW8</f>
        <v>Refunds</v>
      </c>
      <c r="F42" s="540" t="str">
        <f>IF(K1=2,"Si le remboursement n'est pas relié à une activité en particulier","If the reimbursement is not related to a specific activity")</f>
        <v>If the reimbursement is not related to a specific activity</v>
      </c>
      <c r="G42" s="1574"/>
      <c r="H42" s="202"/>
      <c r="I42" s="1205">
        <f>'Jrnl Rev'!AW516</f>
        <v>0</v>
      </c>
      <c r="J42" s="1213">
        <f t="shared" si="0"/>
        <v>0</v>
      </c>
      <c r="L42" s="21"/>
    </row>
    <row r="43" spans="2:14" s="12" customFormat="1" ht="33" customHeight="1" x14ac:dyDescent="0.15">
      <c r="B43" s="1590"/>
      <c r="C43" s="147">
        <f>'Jrnl Rev'!AX$6</f>
        <v>4630</v>
      </c>
      <c r="D43" s="1574"/>
      <c r="E43" s="501" t="str">
        <f>+'Jrnl Rev'!AX8</f>
        <v>Canteen Proceeds</v>
      </c>
      <c r="F43" s="540"/>
      <c r="G43" s="1574"/>
      <c r="H43" s="202"/>
      <c r="I43" s="1205">
        <f>'Jrnl Rev'!AX516</f>
        <v>0</v>
      </c>
      <c r="J43" s="1213">
        <f t="shared" si="0"/>
        <v>0</v>
      </c>
      <c r="L43" s="21"/>
    </row>
    <row r="44" spans="2:14" s="12" customFormat="1" ht="33" customHeight="1" x14ac:dyDescent="0.15">
      <c r="B44" s="1590"/>
      <c r="C44" s="147">
        <f>'Jrnl Rev'!AY$6</f>
        <v>4640</v>
      </c>
      <c r="D44" s="1574"/>
      <c r="E44" s="501" t="str">
        <f>+'Jrnl Rev'!AY8</f>
        <v>Bank &amp; Investments Interest/Income</v>
      </c>
      <c r="F44" s="540"/>
      <c r="G44" s="1574"/>
      <c r="H44" s="202"/>
      <c r="I44" s="1205">
        <f>'Jrnl Rev'!AY516</f>
        <v>0</v>
      </c>
      <c r="J44" s="1213">
        <f t="shared" si="0"/>
        <v>0</v>
      </c>
      <c r="L44" s="21"/>
    </row>
    <row r="45" spans="2:14" s="12" customFormat="1" ht="33" customHeight="1" x14ac:dyDescent="0.15">
      <c r="B45" s="1590"/>
      <c r="C45" s="147">
        <f>'Jrnl Rev'!AZ$6</f>
        <v>4650</v>
      </c>
      <c r="D45" s="1574"/>
      <c r="E45" s="501" t="str">
        <f>+'Jrnl Rev'!AZ8</f>
        <v>Misc Revenue</v>
      </c>
      <c r="F45" s="540"/>
      <c r="G45" s="1574"/>
      <c r="H45" s="202"/>
      <c r="I45" s="1205">
        <f>'Jrnl Rev'!AZ516</f>
        <v>0</v>
      </c>
      <c r="J45" s="1213">
        <f t="shared" si="0"/>
        <v>0</v>
      </c>
      <c r="L45" s="21"/>
    </row>
    <row r="46" spans="2:14" s="12" customFormat="1" ht="33" customHeight="1" x14ac:dyDescent="0.15">
      <c r="B46" s="1590"/>
      <c r="C46" s="147">
        <f>'Jrnl Rev'!BA$6</f>
        <v>4660</v>
      </c>
      <c r="D46" s="1574"/>
      <c r="E46" s="501" t="str">
        <f>+'Jrnl Rev'!BA8</f>
        <v>Disponible ~ Available</v>
      </c>
      <c r="F46" s="540"/>
      <c r="G46" s="1574"/>
      <c r="H46" s="202"/>
      <c r="I46" s="1205">
        <f>'Jrnl Rev'!BA516</f>
        <v>0</v>
      </c>
      <c r="J46" s="1213">
        <f t="shared" si="0"/>
        <v>0</v>
      </c>
      <c r="L46" s="21"/>
    </row>
    <row r="47" spans="2:14" s="12" customFormat="1" ht="33" customHeight="1" x14ac:dyDescent="0.15">
      <c r="B47" s="1590"/>
      <c r="C47" s="147">
        <f>'Jrnl Rev'!BB$6</f>
        <v>4670</v>
      </c>
      <c r="D47" s="1574"/>
      <c r="E47" s="501" t="str">
        <f>+'Jrnl Rev'!BB8</f>
        <v>Disponible ~ Available</v>
      </c>
      <c r="F47" s="540">
        <f>IF($K$1=2,'Jrnl Rev'!BB$13,'Jrnl Rev'!BB$14)</f>
        <v>0</v>
      </c>
      <c r="G47" s="1574"/>
      <c r="H47" s="202"/>
      <c r="I47" s="1205">
        <f>'Jrnl Rev'!BB516</f>
        <v>0</v>
      </c>
      <c r="J47" s="1213">
        <f t="shared" si="0"/>
        <v>0</v>
      </c>
      <c r="L47" s="21"/>
    </row>
    <row r="48" spans="2:14" s="12" customFormat="1" ht="33" customHeight="1" x14ac:dyDescent="0.15">
      <c r="B48" s="1590"/>
      <c r="C48" s="147">
        <f>'Jrnl Rev'!BC$6</f>
        <v>4680</v>
      </c>
      <c r="D48" s="1574"/>
      <c r="E48" s="501" t="str">
        <f>+'Jrnl Rev'!BC8</f>
        <v>Disponible ~ Available</v>
      </c>
      <c r="F48" s="540">
        <f>IF($K$1=2,'Jrnl Rev'!BC$13,'Jrnl Rev'!BC$14)</f>
        <v>0</v>
      </c>
      <c r="G48" s="1574"/>
      <c r="H48" s="202"/>
      <c r="I48" s="1205">
        <f>'Jrnl Rev'!BC516</f>
        <v>0</v>
      </c>
      <c r="J48" s="1213">
        <f t="shared" si="0"/>
        <v>0</v>
      </c>
      <c r="L48" s="21"/>
    </row>
    <row r="49" spans="2:12" s="12" customFormat="1" ht="33" customHeight="1" x14ac:dyDescent="0.15">
      <c r="B49" s="1590"/>
      <c r="C49" s="541">
        <f>'Jrnl Rev'!BD$6</f>
        <v>4690</v>
      </c>
      <c r="D49" s="1574"/>
      <c r="E49" s="542" t="str">
        <f>+'Jrnl Rev'!BD8</f>
        <v>Disponible ~ Available</v>
      </c>
      <c r="F49" s="538">
        <f>IF($K$1=2,'Jrnl Rev'!BD$13,'Jrnl Rev'!BD$14)</f>
        <v>0</v>
      </c>
      <c r="G49" s="1574"/>
      <c r="H49" s="203"/>
      <c r="I49" s="1205">
        <f>'Jrnl Rev'!BD516</f>
        <v>0</v>
      </c>
      <c r="J49" s="1213">
        <f t="shared" si="0"/>
        <v>0</v>
      </c>
      <c r="L49" s="21"/>
    </row>
    <row r="50" spans="2:12" s="12" customFormat="1" ht="33" customHeight="1" x14ac:dyDescent="0.15">
      <c r="B50" s="1590" t="str">
        <f>CONCATENATE('Jrnl Rev'!BE4," - ",'Jrnl Rev'!BE5)</f>
        <v>4800 - Funding &amp; Recoveries (Gov't)</v>
      </c>
      <c r="C50" s="522">
        <f>'Jrnl Rev'!BE$6</f>
        <v>4810</v>
      </c>
      <c r="D50" s="1574"/>
      <c r="E50" s="523" t="str">
        <f>+'Jrnl Rev'!BE$8</f>
        <v>DND Local Support Allocation (LSA)</v>
      </c>
      <c r="F50" s="524">
        <f>IF($K$1=2,'Jrnl Rev'!BE$13,'Jrnl Rev'!BE$14)</f>
        <v>0</v>
      </c>
      <c r="G50" s="1574"/>
      <c r="H50" s="200"/>
      <c r="I50" s="1202">
        <f>'Jrnl Rev'!BE$516</f>
        <v>0</v>
      </c>
      <c r="J50" s="1211">
        <f t="shared" si="0"/>
        <v>0</v>
      </c>
      <c r="L50" s="21"/>
    </row>
    <row r="51" spans="2:12" s="12" customFormat="1" ht="33" customHeight="1" x14ac:dyDescent="0.15">
      <c r="B51" s="1590"/>
      <c r="C51" s="147">
        <f>'Jrnl Rev'!BF$6</f>
        <v>4820</v>
      </c>
      <c r="D51" s="1574"/>
      <c r="E51" s="501" t="str">
        <f>+'Jrnl Rev'!BF$8</f>
        <v>DND Allocation - Mandatory and Complementary Pgm (MCP)</v>
      </c>
      <c r="F51" s="540">
        <f>IF($K$1=2,'Jrnl Rev'!BF$13,'Jrnl Rev'!BF$14)</f>
        <v>0</v>
      </c>
      <c r="G51" s="1574"/>
      <c r="H51" s="202"/>
      <c r="I51" s="1205">
        <f>'Jrnl Rev'!BF$516</f>
        <v>0</v>
      </c>
      <c r="J51" s="1213">
        <f t="shared" si="0"/>
        <v>0</v>
      </c>
      <c r="L51" s="21"/>
    </row>
    <row r="52" spans="2:12" s="12" customFormat="1" ht="33" customHeight="1" x14ac:dyDescent="0.15">
      <c r="B52" s="1590"/>
      <c r="C52" s="147">
        <f>'Jrnl Rev'!BG$6</f>
        <v>4830</v>
      </c>
      <c r="D52" s="1574"/>
      <c r="E52" s="501" t="str">
        <f>+'Jrnl Rev'!BG$8</f>
        <v>Federal Portion - Tax Rebate</v>
      </c>
      <c r="F52" s="540" t="str">
        <f>IF(K1=2,"Seulement si l'escadrons a un statut d'organisme de bienfaisance","Only for squadrons with a Charity status")</f>
        <v>Only for squadrons with a Charity status</v>
      </c>
      <c r="G52" s="1574"/>
      <c r="H52" s="202"/>
      <c r="I52" s="1205">
        <f>'Jrnl Rev'!BG516</f>
        <v>0</v>
      </c>
      <c r="J52" s="1213">
        <f t="shared" si="0"/>
        <v>0</v>
      </c>
      <c r="L52" s="21"/>
    </row>
    <row r="53" spans="2:12" s="12" customFormat="1" ht="33" customHeight="1" x14ac:dyDescent="0.15">
      <c r="B53" s="1590"/>
      <c r="C53" s="147">
        <f>'Jrnl Rev'!BH$6</f>
        <v>4835</v>
      </c>
      <c r="D53" s="1574"/>
      <c r="E53" s="501" t="str">
        <f>+'Jrnl Rev'!BH$8</f>
        <v>Disponible ~ Available</v>
      </c>
      <c r="F53" s="540"/>
      <c r="G53" s="1574"/>
      <c r="H53" s="202"/>
      <c r="I53" s="1205">
        <f>'Jrnl Rev'!BH516</f>
        <v>0</v>
      </c>
      <c r="J53" s="1213">
        <f t="shared" si="0"/>
        <v>0</v>
      </c>
      <c r="L53" s="21"/>
    </row>
    <row r="54" spans="2:12" s="12" customFormat="1" ht="33" customHeight="1" x14ac:dyDescent="0.15">
      <c r="B54" s="1590"/>
      <c r="C54" s="147">
        <f>'Jrnl Rev'!BI$6</f>
        <v>4840</v>
      </c>
      <c r="D54" s="1574"/>
      <c r="E54" s="501" t="str">
        <f>+'Jrnl Rev'!BI8</f>
        <v>Governmental Grants - Provincial</v>
      </c>
      <c r="F54" s="540"/>
      <c r="G54" s="1574"/>
      <c r="H54" s="202"/>
      <c r="I54" s="1205">
        <f>'Jrnl Rev'!BI$516</f>
        <v>0</v>
      </c>
      <c r="J54" s="1213">
        <f t="shared" si="0"/>
        <v>0</v>
      </c>
      <c r="L54" s="21"/>
    </row>
    <row r="55" spans="2:12" s="12" customFormat="1" ht="33" customHeight="1" x14ac:dyDescent="0.15">
      <c r="B55" s="1590"/>
      <c r="C55" s="147">
        <f>'Jrnl Rev'!BJ6</f>
        <v>4850</v>
      </c>
      <c r="D55" s="1574"/>
      <c r="E55" s="501" t="str">
        <f>+'Jrnl Rev'!BJ8</f>
        <v>Provincial Portion - Tax Rebate</v>
      </c>
      <c r="F55" s="540" t="str">
        <f>IF(K1=2,"Seulement si l'escadrons a un statut d'organisme de bienfaisance","Only for squadrons with a Charity status")</f>
        <v>Only for squadrons with a Charity status</v>
      </c>
      <c r="G55" s="1574"/>
      <c r="H55" s="202"/>
      <c r="I55" s="1205">
        <f>'Jrnl Rev'!BJ$516</f>
        <v>0</v>
      </c>
      <c r="J55" s="1213">
        <f t="shared" si="0"/>
        <v>0</v>
      </c>
      <c r="L55" s="21"/>
    </row>
    <row r="56" spans="2:12" s="12" customFormat="1" ht="33" customHeight="1" x14ac:dyDescent="0.15">
      <c r="B56" s="1590"/>
      <c r="C56" s="147">
        <f>'Jrnl Rev'!BK6</f>
        <v>4860</v>
      </c>
      <c r="D56" s="1574"/>
      <c r="E56" s="501" t="str">
        <f>+'Jrnl Rev'!BK8</f>
        <v>Disponible ~ Available</v>
      </c>
      <c r="F56" s="540">
        <f>IF($K$1=2,'Jrnl Rev'!BK$13,'Jrnl Rev'!BK$14)</f>
        <v>0</v>
      </c>
      <c r="G56" s="1574"/>
      <c r="H56" s="202"/>
      <c r="I56" s="1205">
        <f>'Jrnl Rev'!BK$516</f>
        <v>0</v>
      </c>
      <c r="J56" s="1213">
        <f t="shared" si="0"/>
        <v>0</v>
      </c>
      <c r="L56" s="21"/>
    </row>
    <row r="57" spans="2:12" s="12" customFormat="1" ht="33" customHeight="1" x14ac:dyDescent="0.15">
      <c r="B57" s="1590"/>
      <c r="C57" s="147">
        <f>'Jrnl Rev'!BL6</f>
        <v>4870</v>
      </c>
      <c r="D57" s="1574"/>
      <c r="E57" s="501" t="str">
        <f>+'Jrnl Rev'!BL8</f>
        <v>Governmental Grants - Regional/
Municipal</v>
      </c>
      <c r="F57" s="540">
        <f>IF($K$1=2,'Jrnl Rev'!BL$13,'Jrnl Rev'!BL$14)</f>
        <v>0</v>
      </c>
      <c r="G57" s="1574"/>
      <c r="H57" s="202"/>
      <c r="I57" s="1205">
        <f>'Jrnl Rev'!BL$516</f>
        <v>0</v>
      </c>
      <c r="J57" s="1213">
        <f t="shared" si="0"/>
        <v>0</v>
      </c>
      <c r="L57" s="21"/>
    </row>
    <row r="58" spans="2:12" s="12" customFormat="1" ht="33" customHeight="1" x14ac:dyDescent="0.15">
      <c r="B58" s="1590"/>
      <c r="C58" s="147">
        <f>'Jrnl Rev'!BM$6</f>
        <v>4880</v>
      </c>
      <c r="D58" s="1574"/>
      <c r="E58" s="501" t="str">
        <f>+'Jrnl Rev'!BM8</f>
        <v>Disponible ~ Available</v>
      </c>
      <c r="F58" s="540">
        <f>IF($K$1=2,'Jrnl Rev'!BM$13,'Jrnl Rev'!BM$14)</f>
        <v>0</v>
      </c>
      <c r="G58" s="1574"/>
      <c r="H58" s="202"/>
      <c r="I58" s="1205">
        <f>'Jrnl Rev'!BM$516</f>
        <v>0</v>
      </c>
      <c r="J58" s="1213">
        <f t="shared" si="0"/>
        <v>0</v>
      </c>
      <c r="L58" s="21"/>
    </row>
    <row r="59" spans="2:12" s="12" customFormat="1" ht="33" customHeight="1" x14ac:dyDescent="0.15">
      <c r="B59" s="1590"/>
      <c r="C59" s="541">
        <f>'Jrnl Rev'!BN$6</f>
        <v>4890</v>
      </c>
      <c r="D59" s="1574"/>
      <c r="E59" s="542" t="str">
        <f>+'Jrnl Rev'!BN8</f>
        <v>Disponible ~ Available</v>
      </c>
      <c r="F59" s="538">
        <f>IF($K$1=2,'Jrnl Rev'!BN$13,'Jrnl Rev'!BN$14)</f>
        <v>0</v>
      </c>
      <c r="G59" s="1574"/>
      <c r="H59" s="203"/>
      <c r="I59" s="1204">
        <f>'Jrnl Rev'!BN$516</f>
        <v>0</v>
      </c>
      <c r="J59" s="1214">
        <f t="shared" si="0"/>
        <v>0</v>
      </c>
      <c r="L59" s="21"/>
    </row>
    <row r="60" spans="2:12" s="12" customFormat="1" ht="10.5" customHeight="1" x14ac:dyDescent="0.15">
      <c r="H60" s="543"/>
      <c r="I60" s="543"/>
      <c r="J60" s="543"/>
      <c r="L60" s="21"/>
    </row>
    <row r="61" spans="2:12" s="12" customFormat="1" ht="18.75" customHeight="1" x14ac:dyDescent="0.15">
      <c r="B61" s="25"/>
      <c r="C61" s="19"/>
      <c r="D61" s="19"/>
      <c r="E61" s="1587" t="str">
        <f>IF(K1=2,"Sous-Total","Sub-Total")</f>
        <v>Sub-Total</v>
      </c>
      <c r="F61" s="1587"/>
      <c r="G61" s="1587"/>
      <c r="H61" s="546">
        <f>SUM(H10:H12,H17:H59)</f>
        <v>0</v>
      </c>
      <c r="I61" s="546">
        <f>SUM(I10:I12,I17:I59)</f>
        <v>0</v>
      </c>
      <c r="J61" s="547">
        <f>IF($I61=0,0,$H61-$I61)</f>
        <v>0</v>
      </c>
      <c r="L61" s="21"/>
    </row>
    <row r="62" spans="2:12" s="12" customFormat="1" ht="9.75" customHeight="1" x14ac:dyDescent="0.15">
      <c r="B62" s="25"/>
      <c r="C62" s="19"/>
      <c r="D62" s="19"/>
      <c r="E62" s="548"/>
      <c r="F62" s="548"/>
      <c r="G62" s="548"/>
      <c r="H62" s="549"/>
      <c r="I62" s="549"/>
      <c r="J62" s="549"/>
      <c r="L62" s="21"/>
    </row>
    <row r="63" spans="2:12" s="12" customFormat="1" ht="24" customHeight="1" thickBot="1" x14ac:dyDescent="0.2">
      <c r="B63" s="1588" t="str">
        <f>IF(K1=2,"Dépenses","Expense Items")</f>
        <v>Expense Items</v>
      </c>
      <c r="C63" s="1588"/>
      <c r="D63" s="1588"/>
      <c r="E63" s="1588"/>
      <c r="F63" s="1588"/>
      <c r="G63" s="1588"/>
      <c r="H63" s="1588"/>
      <c r="I63" s="1588"/>
      <c r="J63" s="1589"/>
      <c r="L63" s="21"/>
    </row>
    <row r="64" spans="2:12" s="12" customFormat="1" ht="33" customHeight="1" thickTop="1" thickBot="1" x14ac:dyDescent="0.2">
      <c r="B64" s="1572" t="str">
        <f>CONCATENATE('Jrnl Exp ~ Dép'!P4," - ",'Jrnl Exp ~ Dép'!P5)</f>
        <v>5000 - Administrative &amp; Operating Expenses</v>
      </c>
      <c r="C64" s="522">
        <f>'Jrnl Exp ~ Dép'!P$6</f>
        <v>5010</v>
      </c>
      <c r="D64" s="1574"/>
      <c r="E64" s="523" t="str">
        <f>+'Jrnl Exp ~ Dép'!P8</f>
        <v>Admin. &amp; Office supplies</v>
      </c>
      <c r="F64" s="524" t="str">
        <f>IF(K1=2,"Photocopie, Encre, Papeterie","Photocopies, Paper, Toner, Stationary")</f>
        <v>Photocopies, Paper, Toner, Stationary</v>
      </c>
      <c r="G64" s="1574"/>
      <c r="H64" s="200"/>
      <c r="I64" s="1202">
        <f>'Jrnl Exp ~ Dép'!P$516</f>
        <v>0</v>
      </c>
      <c r="J64" s="1211">
        <f t="shared" ref="J64:J90" si="1">IF($I64=0,0,$H64-$I64)</f>
        <v>0</v>
      </c>
      <c r="L64" s="21"/>
    </row>
    <row r="65" spans="2:12" s="12" customFormat="1" ht="33" customHeight="1" thickTop="1" thickBot="1" x14ac:dyDescent="0.2">
      <c r="B65" s="1573"/>
      <c r="C65" s="147">
        <f>'Jrnl Exp ~ Dép'!Q$6</f>
        <v>5020</v>
      </c>
      <c r="D65" s="1574"/>
      <c r="E65" s="501" t="str">
        <f>+'Jrnl Exp ~ Dép'!Q8</f>
        <v>Office Equipment</v>
      </c>
      <c r="F65" s="535" t="str">
        <f>IF(K1=2,"Ordinateurs portables, Imprimantes, Classeurs, Bureaux et chaises","Laptops, Printers, Software, Filing Cabinets, Desk, chairs")</f>
        <v>Laptops, Printers, Software, Filing Cabinets, Desk, chairs</v>
      </c>
      <c r="G65" s="1574"/>
      <c r="H65" s="202"/>
      <c r="I65" s="1205">
        <f>'Jrnl Exp ~ Dép'!Q$516</f>
        <v>0</v>
      </c>
      <c r="J65" s="1213">
        <f t="shared" si="1"/>
        <v>0</v>
      </c>
      <c r="L65" s="21"/>
    </row>
    <row r="66" spans="2:12" s="12" customFormat="1" ht="33" customHeight="1" thickTop="1" thickBot="1" x14ac:dyDescent="0.2">
      <c r="B66" s="1573"/>
      <c r="C66" s="147">
        <f>'Jrnl Exp ~ Dép'!R$6</f>
        <v>5030</v>
      </c>
      <c r="D66" s="1574"/>
      <c r="E66" s="501" t="str">
        <f>+'Jrnl Exp ~ Dép'!R8</f>
        <v>Sqn Quarters Rental</v>
      </c>
      <c r="F66" s="535" t="str">
        <f>IF(K1=2,"Coûts annuels: Location école, entrepôt","Annual Costs: school rental, storage")</f>
        <v>Annual Costs: school rental, storage</v>
      </c>
      <c r="G66" s="1574"/>
      <c r="H66" s="202"/>
      <c r="I66" s="1205">
        <f>'Jrnl Exp ~ Dép'!R$516</f>
        <v>0</v>
      </c>
      <c r="J66" s="1213">
        <f t="shared" si="1"/>
        <v>0</v>
      </c>
      <c r="L66" s="21"/>
    </row>
    <row r="67" spans="2:12" s="12" customFormat="1" ht="33" customHeight="1" thickTop="1" thickBot="1" x14ac:dyDescent="0.2">
      <c r="B67" s="1573"/>
      <c r="C67" s="147">
        <f>'Jrnl Exp ~ Dép'!S$6</f>
        <v>5040</v>
      </c>
      <c r="D67" s="1574"/>
      <c r="E67" s="501" t="str">
        <f>+'Jrnl Exp ~ Dép'!S8</f>
        <v>Maintenance, repairs, expansion</v>
      </c>
      <c r="F67" s="535" t="str">
        <f>IF(K1=2,"Entretien, réparations, agrandissement","Maintenance, Expansion, Repairs")</f>
        <v>Maintenance, Expansion, Repairs</v>
      </c>
      <c r="G67" s="1574"/>
      <c r="H67" s="202"/>
      <c r="I67" s="1205">
        <f>'Jrnl Exp ~ Dép'!S$516</f>
        <v>0</v>
      </c>
      <c r="J67" s="1213">
        <f t="shared" si="1"/>
        <v>0</v>
      </c>
      <c r="L67" s="21"/>
    </row>
    <row r="68" spans="2:12" s="12" customFormat="1" ht="33" customHeight="1" thickTop="1" thickBot="1" x14ac:dyDescent="0.2">
      <c r="B68" s="1573"/>
      <c r="C68" s="147">
        <f>'Jrnl Exp ~ Dép'!T$6</f>
        <v>5050</v>
      </c>
      <c r="D68" s="1574"/>
      <c r="E68" s="501" t="str">
        <f>+'Jrnl Exp ~ Dép'!T$8</f>
        <v>Utilities,PO Box</v>
      </c>
      <c r="F68" s="535" t="str">
        <f>IF(K1=2,"Casier postal, Internet, Site web, Téléphone portable","PO Box, Internet, Website, Cell")</f>
        <v>PO Box, Internet, Website, Cell</v>
      </c>
      <c r="G68" s="1574"/>
      <c r="H68" s="202"/>
      <c r="I68" s="1205">
        <f>'Jrnl Exp ~ Dép'!T$516</f>
        <v>0</v>
      </c>
      <c r="J68" s="1213">
        <f t="shared" si="1"/>
        <v>0</v>
      </c>
      <c r="L68" s="21"/>
    </row>
    <row r="69" spans="2:12" s="12" customFormat="1" ht="33" customHeight="1" thickTop="1" thickBot="1" x14ac:dyDescent="0.2">
      <c r="B69" s="1573"/>
      <c r="C69" s="147">
        <f>'Jrnl Exp ~ Dép'!U$6</f>
        <v>5060</v>
      </c>
      <c r="D69" s="1574"/>
      <c r="E69" s="501" t="str">
        <f>+'Jrnl Exp ~ Dép'!U$8</f>
        <v>Meeting costs</v>
      </c>
      <c r="F69" s="535" t="str">
        <f>IF(K1=2,"Participation du Cmdt, Président du CR, Cdt-Cmdt","Chair, Treasurer, CO and Cdt Comdr (or representatives)")</f>
        <v>Chair, Treasurer, CO and Cdt Comdr (or representatives)</v>
      </c>
      <c r="G69" s="1574"/>
      <c r="H69" s="202"/>
      <c r="I69" s="1205">
        <f>'Jrnl Exp ~ Dép'!U$516</f>
        <v>0</v>
      </c>
      <c r="J69" s="1213">
        <f t="shared" si="1"/>
        <v>0</v>
      </c>
      <c r="L69" s="21"/>
    </row>
    <row r="70" spans="2:12" s="12" customFormat="1" ht="33" customHeight="1" thickTop="1" thickBot="1" x14ac:dyDescent="0.2">
      <c r="B70" s="1573"/>
      <c r="C70" s="147">
        <f>'Jrnl Exp ~ Dép'!V$6</f>
        <v>5070</v>
      </c>
      <c r="D70" s="1574"/>
      <c r="E70" s="501" t="str">
        <f>+'Jrnl Exp ~ Dép'!V$8</f>
        <v>Committee staff Accoutrement and such</v>
      </c>
      <c r="F70" s="535"/>
      <c r="G70" s="1574"/>
      <c r="H70" s="202"/>
      <c r="I70" s="1205">
        <f>'Jrnl Exp ~ Dép'!V$516</f>
        <v>0</v>
      </c>
      <c r="J70" s="1213">
        <f t="shared" si="1"/>
        <v>0</v>
      </c>
      <c r="L70" s="21"/>
    </row>
    <row r="71" spans="2:12" s="12" customFormat="1" ht="33" customHeight="1" thickTop="1" thickBot="1" x14ac:dyDescent="0.2">
      <c r="B71" s="1573"/>
      <c r="C71" s="147">
        <f>'Jrnl Exp ~ Dép'!W$6</f>
        <v>5080</v>
      </c>
      <c r="D71" s="1574"/>
      <c r="E71" s="501" t="str">
        <f>+'Jrnl Exp ~ Dép'!W$8</f>
        <v>Advertising &amp; Recruiting</v>
      </c>
      <c r="F71" s="535" t="str">
        <f>IF(K1=2,"Publicité, Journaux, Aide-mémoire pour parents, Portes ouvertes","P.R., Image, Handbook, Advertising,  Newspaper Ads, Open door, awards, etc.")</f>
        <v>P.R., Image, Handbook, Advertising,  Newspaper Ads, Open door, awards, etc.</v>
      </c>
      <c r="G71" s="1574"/>
      <c r="H71" s="202"/>
      <c r="I71" s="1205">
        <f>'Jrnl Exp ~ Dép'!W$516</f>
        <v>0</v>
      </c>
      <c r="J71" s="1213">
        <f t="shared" si="1"/>
        <v>0</v>
      </c>
      <c r="L71" s="21"/>
    </row>
    <row r="72" spans="2:12" s="12" customFormat="1" ht="33" customHeight="1" thickTop="1" thickBot="1" x14ac:dyDescent="0.2">
      <c r="B72" s="1573"/>
      <c r="C72" s="147">
        <f>'Jrnl Exp ~ Dép'!X$6</f>
        <v>5090</v>
      </c>
      <c r="D72" s="1574"/>
      <c r="E72" s="501" t="str">
        <f>+'Jrnl Exp ~ Dép'!X$8</f>
        <v>Annual Provincial Committee Assessment</v>
      </c>
      <c r="F72" s="535" t="str">
        <f>IF(K1=2,"Basé sur le quota au 31 mars de l'AF précédente","Based on the quota as of 31 March of previous FY")</f>
        <v>Based on the quota as of 31 March of previous FY</v>
      </c>
      <c r="G72" s="1574"/>
      <c r="H72" s="202"/>
      <c r="I72" s="1205">
        <f>'Jrnl Exp ~ Dép'!X$516</f>
        <v>0</v>
      </c>
      <c r="J72" s="1213">
        <f t="shared" si="1"/>
        <v>0</v>
      </c>
      <c r="L72" s="21"/>
    </row>
    <row r="73" spans="2:12" s="12" customFormat="1" ht="33" customHeight="1" thickTop="1" thickBot="1" x14ac:dyDescent="0.2">
      <c r="B73" s="1573"/>
      <c r="C73" s="147">
        <f>'Jrnl Exp ~ Dép'!Y$6</f>
        <v>5100</v>
      </c>
      <c r="D73" s="1574"/>
      <c r="E73" s="501" t="str">
        <f>+'Jrnl Exp ~ Dép'!Y$8</f>
        <v>Air Group, Air Wing Dues and such</v>
      </c>
      <c r="F73" s="535" t="str">
        <f>IF(K1=2,"Cotisation régionale","Regional Assessment")</f>
        <v>Regional Assessment</v>
      </c>
      <c r="G73" s="1574"/>
      <c r="H73" s="202"/>
      <c r="I73" s="1205">
        <f>'Jrnl Exp ~ Dép'!Y$516</f>
        <v>0</v>
      </c>
      <c r="J73" s="1213">
        <f t="shared" si="1"/>
        <v>0</v>
      </c>
      <c r="L73" s="21"/>
    </row>
    <row r="74" spans="2:12" s="12" customFormat="1" ht="33" customHeight="1" thickTop="1" thickBot="1" x14ac:dyDescent="0.2">
      <c r="B74" s="1573"/>
      <c r="C74" s="147">
        <f>'Jrnl Exp ~ Dép'!Z$6</f>
        <v>5110</v>
      </c>
      <c r="D74" s="1574"/>
      <c r="E74" s="501" t="str">
        <f>+'Jrnl Exp ~ Dép'!Z$8</f>
        <v>Financial &amp; Bank Charges</v>
      </c>
      <c r="F74" s="535" t="str">
        <f>IF(K1=2,"Frais bancaires mensuels, Chèques sans provisions, impression de chèques","Monthly Bank Fees, Cheques Printing, Investment Charges, Returned cheque fees")</f>
        <v>Monthly Bank Fees, Cheques Printing, Investment Charges, Returned cheque fees</v>
      </c>
      <c r="G74" s="1574"/>
      <c r="H74" s="202"/>
      <c r="I74" s="1205">
        <f>'Jrnl Exp ~ Dép'!Z$516</f>
        <v>0</v>
      </c>
      <c r="J74" s="1213">
        <f t="shared" si="1"/>
        <v>0</v>
      </c>
      <c r="L74" s="21"/>
    </row>
    <row r="75" spans="2:12" s="12" customFormat="1" ht="33" customHeight="1" thickTop="1" thickBot="1" x14ac:dyDescent="0.2">
      <c r="B75" s="1573"/>
      <c r="C75" s="147">
        <f>'Jrnl Exp ~ Dép'!AA$6</f>
        <v>5120</v>
      </c>
      <c r="D75" s="1574"/>
      <c r="E75" s="501" t="str">
        <f>+'Jrnl Exp ~ Dép'!AA$8</f>
        <v>Professional Services</v>
      </c>
      <c r="F75" s="540">
        <f>IF($K$1=2,'Jrnl Exp ~ Dép'!AA13,'Jrnl Exp ~ Dép'!AA14)</f>
        <v>0</v>
      </c>
      <c r="G75" s="1574"/>
      <c r="H75" s="202"/>
      <c r="I75" s="1205">
        <f>'Jrnl Exp ~ Dép'!AA$516</f>
        <v>0</v>
      </c>
      <c r="J75" s="1213">
        <f t="shared" si="1"/>
        <v>0</v>
      </c>
      <c r="L75" s="21"/>
    </row>
    <row r="76" spans="2:12" s="12" customFormat="1" ht="33" customHeight="1" thickTop="1" thickBot="1" x14ac:dyDescent="0.2">
      <c r="B76" s="1573"/>
      <c r="C76" s="147">
        <f>'Jrnl Exp ~ Dép'!AB$6</f>
        <v>5130</v>
      </c>
      <c r="D76" s="1574"/>
      <c r="E76" s="501" t="str">
        <f>+'Jrnl Exp ~ Dép'!AB$8</f>
        <v>Compensation for employees</v>
      </c>
      <c r="F76" s="540">
        <f>IF($K$1=2,'Jrnl Exp ~ Dép'!AB14,'Jrnl Exp ~ Dép'!AB16)</f>
        <v>0</v>
      </c>
      <c r="G76" s="1574"/>
      <c r="H76" s="202"/>
      <c r="I76" s="1205">
        <f>'Jrnl Exp ~ Dép'!AB$516</f>
        <v>0</v>
      </c>
      <c r="J76" s="1213">
        <f t="shared" si="1"/>
        <v>0</v>
      </c>
      <c r="L76" s="21"/>
    </row>
    <row r="77" spans="2:12" s="12" customFormat="1" ht="33" customHeight="1" thickTop="1" thickBot="1" x14ac:dyDescent="0.2">
      <c r="B77" s="1573"/>
      <c r="C77" s="147">
        <f>'Jrnl Exp ~ Dép'!AC$6</f>
        <v>5140</v>
      </c>
      <c r="D77" s="1574"/>
      <c r="E77" s="501" t="str">
        <f>+'Jrnl Exp ~ Dép'!AC$8</f>
        <v>Insurance for material and properties</v>
      </c>
      <c r="F77" s="540" t="str">
        <f>IF(K1=2,"Assurance du matériel du CR (par la Ligue ou non)","Insurance for SSC Material (through League or not)")</f>
        <v>Insurance for SSC Material (through League or not)</v>
      </c>
      <c r="G77" s="1574"/>
      <c r="H77" s="202"/>
      <c r="I77" s="1205">
        <f>'Jrnl Exp ~ Dép'!AC$516</f>
        <v>0</v>
      </c>
      <c r="J77" s="1213">
        <f t="shared" si="1"/>
        <v>0</v>
      </c>
      <c r="L77" s="21"/>
    </row>
    <row r="78" spans="2:12" s="12" customFormat="1" ht="33" customHeight="1" thickTop="1" thickBot="1" x14ac:dyDescent="0.2">
      <c r="B78" s="1573"/>
      <c r="C78" s="147">
        <f>'Jrnl Exp ~ Dép'!AD$6</f>
        <v>5150</v>
      </c>
      <c r="D78" s="1574"/>
      <c r="E78" s="501" t="str">
        <f>+'Jrnl Exp ~ Dép'!AD$8</f>
        <v>Travel Expenses</v>
      </c>
      <c r="F78" s="540">
        <f>IF($K$1=2,'Jrnl Exp ~ Dép'!AD17,'Jrnl Exp ~ Dép'!AD18)</f>
        <v>0</v>
      </c>
      <c r="G78" s="1574"/>
      <c r="H78" s="202"/>
      <c r="I78" s="1205">
        <f>'Jrnl Exp ~ Dép'!AD$516</f>
        <v>0</v>
      </c>
      <c r="J78" s="1213">
        <f t="shared" si="1"/>
        <v>0</v>
      </c>
      <c r="L78" s="21"/>
    </row>
    <row r="79" spans="2:12" s="12" customFormat="1" ht="33" customHeight="1" thickTop="1" thickBot="1" x14ac:dyDescent="0.2">
      <c r="B79" s="1573"/>
      <c r="C79" s="147">
        <f>'Jrnl Exp ~ Dép'!AE$6</f>
        <v>5160</v>
      </c>
      <c r="D79" s="1574"/>
      <c r="E79" s="501" t="str">
        <f>+'Jrnl Exp ~ Dép'!AE$8</f>
        <v>Postage/Shipping Costs</v>
      </c>
      <c r="F79" s="540">
        <f>IF($K$1=2,'Jrnl Exp ~ Dép'!AE18,'Jrnl Exp ~ Dép'!AE19)</f>
        <v>0</v>
      </c>
      <c r="G79" s="1574"/>
      <c r="H79" s="202"/>
      <c r="I79" s="1205">
        <f>'Jrnl Exp ~ Dép'!AE$516</f>
        <v>0</v>
      </c>
      <c r="J79" s="1213">
        <f t="shared" si="1"/>
        <v>0</v>
      </c>
      <c r="L79" s="21"/>
    </row>
    <row r="80" spans="2:12" s="12" customFormat="1" ht="33" customHeight="1" thickTop="1" thickBot="1" x14ac:dyDescent="0.2">
      <c r="B80" s="1573"/>
      <c r="C80" s="147">
        <f>'Jrnl Exp ~ Dép'!AF$6</f>
        <v>5170</v>
      </c>
      <c r="D80" s="1574"/>
      <c r="E80" s="501" t="str">
        <f>+'Jrnl Exp ~ Dép'!AF$8</f>
        <v>Facility Rental others than 5030</v>
      </c>
      <c r="F80" s="540">
        <f>IF($K$1=2,'Jrnl Exp ~ Dép'!AF19,'Jrnl Exp ~ Dép'!AF20)</f>
        <v>0</v>
      </c>
      <c r="G80" s="1574"/>
      <c r="H80" s="202"/>
      <c r="I80" s="1205">
        <f>'Jrnl Exp ~ Dép'!AF$516</f>
        <v>0</v>
      </c>
      <c r="J80" s="1213">
        <f t="shared" si="1"/>
        <v>0</v>
      </c>
      <c r="L80" s="21"/>
    </row>
    <row r="81" spans="2:12" s="12" customFormat="1" ht="33" customHeight="1" thickTop="1" thickBot="1" x14ac:dyDescent="0.2">
      <c r="B81" s="1573"/>
      <c r="C81" s="147">
        <f>'Jrnl Exp ~ Dép'!AG$6</f>
        <v>5180</v>
      </c>
      <c r="D81" s="1574"/>
      <c r="E81" s="501" t="str">
        <f>+'Jrnl Exp ~ Dép'!AG$8</f>
        <v>Disponible ~ Available</v>
      </c>
      <c r="F81" s="540"/>
      <c r="G81" s="1574"/>
      <c r="H81" s="202"/>
      <c r="I81" s="1205">
        <f>'Jrnl Exp ~ Dép'!AG$516</f>
        <v>0</v>
      </c>
      <c r="J81" s="1213">
        <f t="shared" si="1"/>
        <v>0</v>
      </c>
      <c r="L81" s="21"/>
    </row>
    <row r="82" spans="2:12" s="12" customFormat="1" ht="33" customHeight="1" thickTop="1" thickBot="1" x14ac:dyDescent="0.2">
      <c r="B82" s="1573"/>
      <c r="C82" s="147">
        <f>'Jrnl Exp ~ Dép'!AH$6</f>
        <v>5185</v>
      </c>
      <c r="D82" s="1574"/>
      <c r="E82" s="501" t="str">
        <f>+'Jrnl Exp ~ Dép'!AH$8</f>
        <v>Disponible ~ Available</v>
      </c>
      <c r="F82" s="540"/>
      <c r="G82" s="1574"/>
      <c r="H82" s="202"/>
      <c r="I82" s="1205">
        <f>'Jrnl Exp ~ Dép'!AH$516</f>
        <v>0</v>
      </c>
      <c r="J82" s="1213">
        <f t="shared" si="1"/>
        <v>0</v>
      </c>
      <c r="L82" s="21"/>
    </row>
    <row r="83" spans="2:12" s="12" customFormat="1" ht="33" customHeight="1" thickTop="1" thickBot="1" x14ac:dyDescent="0.2">
      <c r="B83" s="1573"/>
      <c r="C83" s="147">
        <f>'Jrnl Exp ~ Dép'!AI$6</f>
        <v>5190</v>
      </c>
      <c r="D83" s="1574"/>
      <c r="E83" s="501" t="str">
        <f>+'Jrnl Exp ~ Dép'!AI$8</f>
        <v>Disponible ~ Available</v>
      </c>
      <c r="F83" s="540"/>
      <c r="G83" s="1574"/>
      <c r="H83" s="202"/>
      <c r="I83" s="1205">
        <f>'Jrnl Exp ~ Dép'!AI$516</f>
        <v>0</v>
      </c>
      <c r="J83" s="1213">
        <f t="shared" si="1"/>
        <v>0</v>
      </c>
      <c r="L83" s="21"/>
    </row>
    <row r="84" spans="2:12" s="12" customFormat="1" ht="33" customHeight="1" thickTop="1" thickBot="1" x14ac:dyDescent="0.2">
      <c r="B84" s="1573"/>
      <c r="C84" s="147">
        <f>'Jrnl Exp ~ Dép'!AJ$6</f>
        <v>5195</v>
      </c>
      <c r="D84" s="1574"/>
      <c r="E84" s="501" t="str">
        <f>+'Jrnl Exp ~ Dép'!AJ$8</f>
        <v>Disponible ~ Available</v>
      </c>
      <c r="F84" s="540"/>
      <c r="G84" s="1574"/>
      <c r="H84" s="202"/>
      <c r="I84" s="1205">
        <f>'Jrnl Exp ~ Dép'!AJ$516</f>
        <v>0</v>
      </c>
      <c r="J84" s="1213">
        <f t="shared" si="1"/>
        <v>0</v>
      </c>
      <c r="L84" s="21"/>
    </row>
    <row r="85" spans="2:12" s="12" customFormat="1" ht="33" customHeight="1" thickTop="1" thickBot="1" x14ac:dyDescent="0.2">
      <c r="B85" s="1573"/>
      <c r="C85" s="147">
        <f>'Jrnl Exp ~ Dép'!AK$6</f>
        <v>5200</v>
      </c>
      <c r="D85" s="1574"/>
      <c r="E85" s="501" t="str">
        <f>+'Jrnl Exp ~ Dép'!AK$8</f>
        <v>Disponible ~ Available</v>
      </c>
      <c r="F85" s="540"/>
      <c r="G85" s="1574"/>
      <c r="H85" s="202"/>
      <c r="I85" s="1205">
        <f>'Jrnl Exp ~ Dép'!AK$516</f>
        <v>0</v>
      </c>
      <c r="J85" s="1213">
        <f t="shared" si="1"/>
        <v>0</v>
      </c>
      <c r="L85" s="21"/>
    </row>
    <row r="86" spans="2:12" s="12" customFormat="1" ht="33" customHeight="1" thickTop="1" thickBot="1" x14ac:dyDescent="0.2">
      <c r="B86" s="1573"/>
      <c r="C86" s="147">
        <f>'Jrnl Exp ~ Dép'!AL$6</f>
        <v>5205</v>
      </c>
      <c r="D86" s="1574"/>
      <c r="E86" s="501" t="str">
        <f>+'Jrnl Exp ~ Dép'!AL$8</f>
        <v>Disponible ~ Available</v>
      </c>
      <c r="F86" s="540"/>
      <c r="G86" s="1574"/>
      <c r="H86" s="202"/>
      <c r="I86" s="1205">
        <f>'Jrnl Exp ~ Dép'!AL$516</f>
        <v>0</v>
      </c>
      <c r="J86" s="1213">
        <f t="shared" si="1"/>
        <v>0</v>
      </c>
      <c r="L86" s="21"/>
    </row>
    <row r="87" spans="2:12" s="12" customFormat="1" ht="33" customHeight="1" thickTop="1" thickBot="1" x14ac:dyDescent="0.2">
      <c r="B87" s="1573"/>
      <c r="C87" s="147">
        <f>'Jrnl Exp ~ Dép'!AM$6</f>
        <v>5210</v>
      </c>
      <c r="D87" s="1574"/>
      <c r="E87" s="501" t="str">
        <f>+'Jrnl Exp ~ Dép'!AM$8</f>
        <v>Disponible ~ Available</v>
      </c>
      <c r="F87" s="540"/>
      <c r="G87" s="1574"/>
      <c r="H87" s="202"/>
      <c r="I87" s="1205">
        <f>'Jrnl Exp ~ Dép'!AM$516</f>
        <v>0</v>
      </c>
      <c r="J87" s="1213">
        <f t="shared" si="1"/>
        <v>0</v>
      </c>
      <c r="L87" s="21"/>
    </row>
    <row r="88" spans="2:12" s="12" customFormat="1" ht="33" customHeight="1" thickTop="1" thickBot="1" x14ac:dyDescent="0.2">
      <c r="B88" s="1573"/>
      <c r="C88" s="147">
        <f>'Jrnl Exp ~ Dép'!AN$6</f>
        <v>5215</v>
      </c>
      <c r="D88" s="1574"/>
      <c r="E88" s="501" t="str">
        <f>+'Jrnl Exp ~ Dép'!AN$8</f>
        <v>Disponible ~ Available</v>
      </c>
      <c r="F88" s="540">
        <f>IF($K$1=2,'Jrnl Exp ~ Dép'!AG20,'Jrnl Exp ~ Dép'!AG21)</f>
        <v>0</v>
      </c>
      <c r="G88" s="1574"/>
      <c r="H88" s="202"/>
      <c r="I88" s="1205">
        <f>'Jrnl Exp ~ Dép'!AN$516</f>
        <v>0</v>
      </c>
      <c r="J88" s="1213">
        <f t="shared" si="1"/>
        <v>0</v>
      </c>
      <c r="L88" s="21"/>
    </row>
    <row r="89" spans="2:12" s="12" customFormat="1" ht="33" customHeight="1" thickTop="1" thickBot="1" x14ac:dyDescent="0.2">
      <c r="B89" s="1579"/>
      <c r="C89" s="541">
        <f>'Jrnl Exp ~ Dép'!AO$6</f>
        <v>5220</v>
      </c>
      <c r="D89" s="1574"/>
      <c r="E89" s="542" t="str">
        <f>+'Jrnl Exp ~ Dép'!AO$8</f>
        <v>Disponible ~ Available</v>
      </c>
      <c r="F89" s="538">
        <f>IF($K$1=2,'Jrnl Exp ~ Dép'!AO21,'Jrnl Exp ~ Dép'!AO22)</f>
        <v>0</v>
      </c>
      <c r="G89" s="1574"/>
      <c r="H89" s="203"/>
      <c r="I89" s="1205">
        <f>'Jrnl Exp ~ Dép'!AO$516</f>
        <v>0</v>
      </c>
      <c r="J89" s="1214">
        <f t="shared" si="1"/>
        <v>0</v>
      </c>
      <c r="L89" s="21"/>
    </row>
    <row r="90" spans="2:12" s="12" customFormat="1" ht="33" customHeight="1" thickTop="1" x14ac:dyDescent="0.15">
      <c r="B90" s="1572" t="str">
        <f>CONCATENATE('Jrnl Exp ~ Dép'!AP4," - ",'Jrnl Exp ~ Dép'!AP5)</f>
        <v>5300 - DND Supported Mandatory Trg/Activities Expenses</v>
      </c>
      <c r="C90" s="1583">
        <f>'Jrnl Exp ~ Dép'!AP$6</f>
        <v>5310</v>
      </c>
      <c r="D90" s="550"/>
      <c r="E90" s="551" t="str">
        <f>+'Jrnl Exp ~ Dép'!AP$8</f>
        <v>Field Trg Ex (FTX)</v>
      </c>
      <c r="F90" s="530" t="s">
        <v>469</v>
      </c>
      <c r="G90" s="531"/>
      <c r="H90" s="583">
        <f>SUM(G91:G94)</f>
        <v>0</v>
      </c>
      <c r="I90" s="584">
        <f>'Jrnl Exp ~ Dép'!AP$516</f>
        <v>0</v>
      </c>
      <c r="J90" s="585">
        <f t="shared" si="1"/>
        <v>0</v>
      </c>
      <c r="L90" s="21"/>
    </row>
    <row r="91" spans="2:12" s="12" customFormat="1" ht="33" customHeight="1" x14ac:dyDescent="0.15">
      <c r="B91" s="1573"/>
      <c r="C91" s="1584"/>
      <c r="D91" s="1225">
        <f>'Jrnl Exp ~ Dép'!AQ$6</f>
        <v>5310.1</v>
      </c>
      <c r="E91" s="1226" t="str">
        <f>+'Jrnl Exp ~ Dép'!AQ$8</f>
        <v>Disponible ~ Available</v>
      </c>
      <c r="F91" s="1227"/>
      <c r="G91" s="202"/>
      <c r="H91" s="1607"/>
      <c r="I91" s="1205">
        <f>'Jrnl Exp ~ Dép'!AQ$516</f>
        <v>0</v>
      </c>
      <c r="J91" s="1213">
        <f t="shared" ref="J91:J99" si="2">IF($I91=0,0,$G91-$I91)</f>
        <v>0</v>
      </c>
      <c r="L91" s="21"/>
    </row>
    <row r="92" spans="2:12" s="12" customFormat="1" ht="33" customHeight="1" x14ac:dyDescent="0.15">
      <c r="B92" s="1573"/>
      <c r="C92" s="1584"/>
      <c r="D92" s="1225">
        <f>'Jrnl Exp ~ Dép'!AR$6</f>
        <v>5310.2</v>
      </c>
      <c r="E92" s="1226" t="str">
        <f>+'Jrnl Exp ~ Dép'!AR$8</f>
        <v>Disponible ~ Available</v>
      </c>
      <c r="F92" s="1227"/>
      <c r="G92" s="202"/>
      <c r="H92" s="1608"/>
      <c r="I92" s="1205">
        <f>'Jrnl Exp ~ Dép'!AR$516</f>
        <v>0</v>
      </c>
      <c r="J92" s="1213">
        <f t="shared" si="2"/>
        <v>0</v>
      </c>
      <c r="L92" s="21"/>
    </row>
    <row r="93" spans="2:12" s="12" customFormat="1" ht="33" customHeight="1" x14ac:dyDescent="0.15">
      <c r="B93" s="1573"/>
      <c r="C93" s="1584"/>
      <c r="D93" s="1225">
        <f>'Jrnl Exp ~ Dép'!AS$6</f>
        <v>5310.3</v>
      </c>
      <c r="E93" s="1226" t="str">
        <f>+'Jrnl Exp ~ Dép'!AS$8</f>
        <v>Disponible ~ Available</v>
      </c>
      <c r="F93" s="1231"/>
      <c r="G93" s="202"/>
      <c r="H93" s="1608"/>
      <c r="I93" s="1205">
        <f>'Jrnl Exp ~ Dép'!AS$516</f>
        <v>0</v>
      </c>
      <c r="J93" s="1213">
        <f t="shared" si="2"/>
        <v>0</v>
      </c>
      <c r="L93" s="21"/>
    </row>
    <row r="94" spans="2:12" s="12" customFormat="1" ht="33" customHeight="1" thickBot="1" x14ac:dyDescent="0.2">
      <c r="B94" s="1573"/>
      <c r="C94" s="1585"/>
      <c r="D94" s="1232">
        <f>'Jrnl Exp ~ Dép'!AT$6</f>
        <v>5310.4</v>
      </c>
      <c r="E94" s="1233" t="str">
        <f>+'Jrnl Exp ~ Dép'!AT$8</f>
        <v>Disponible ~ Available</v>
      </c>
      <c r="F94" s="1234"/>
      <c r="G94" s="488"/>
      <c r="H94" s="1609"/>
      <c r="I94" s="1216">
        <f>'Jrnl Exp ~ Dép'!AT$516</f>
        <v>0</v>
      </c>
      <c r="J94" s="1217">
        <f t="shared" si="2"/>
        <v>0</v>
      </c>
      <c r="L94" s="21"/>
    </row>
    <row r="95" spans="2:12" s="12" customFormat="1" ht="33" customHeight="1" x14ac:dyDescent="0.15">
      <c r="B95" s="1573"/>
      <c r="C95" s="1586">
        <f>'Jrnl Exp ~ Dép'!AU$6</f>
        <v>5315</v>
      </c>
      <c r="D95" s="586"/>
      <c r="E95" s="587" t="str">
        <f>+'Jrnl Exp ~ Dép'!AU$8</f>
        <v>Other training</v>
      </c>
      <c r="F95" s="588" t="s">
        <v>470</v>
      </c>
      <c r="G95" s="589"/>
      <c r="H95" s="590">
        <f>SUM(G96:G99)</f>
        <v>0</v>
      </c>
      <c r="I95" s="591">
        <f>'Jrnl Exp ~ Dép'!AU$516</f>
        <v>0</v>
      </c>
      <c r="J95" s="592">
        <f t="shared" ref="J95" si="3">IF($I95=0,0,$H95-$I95)</f>
        <v>0</v>
      </c>
      <c r="L95" s="21"/>
    </row>
    <row r="96" spans="2:12" s="12" customFormat="1" ht="33" customHeight="1" x14ac:dyDescent="0.15">
      <c r="B96" s="1573"/>
      <c r="C96" s="1584"/>
      <c r="D96" s="1225">
        <f>'Jrnl Exp ~ Dép'!AV$6</f>
        <v>5315.1</v>
      </c>
      <c r="E96" s="1226" t="str">
        <f>+'Jrnl Exp ~ Dép'!AV$8</f>
        <v>Disponible ~ Available</v>
      </c>
      <c r="F96" s="1235"/>
      <c r="G96" s="202"/>
      <c r="H96" s="1607"/>
      <c r="I96" s="1205">
        <f>'Jrnl Exp ~ Dép'!AV$516</f>
        <v>0</v>
      </c>
      <c r="J96" s="1213">
        <f t="shared" si="2"/>
        <v>0</v>
      </c>
      <c r="L96" s="21"/>
    </row>
    <row r="97" spans="2:12" s="12" customFormat="1" ht="33" customHeight="1" x14ac:dyDescent="0.15">
      <c r="B97" s="1573"/>
      <c r="C97" s="1584"/>
      <c r="D97" s="1225">
        <f>'Jrnl Exp ~ Dép'!AW$6</f>
        <v>5315.2</v>
      </c>
      <c r="E97" s="1226" t="str">
        <f>+'Jrnl Exp ~ Dép'!AW$8</f>
        <v>Disponible ~ Available</v>
      </c>
      <c r="F97" s="1235"/>
      <c r="G97" s="202"/>
      <c r="H97" s="1608"/>
      <c r="I97" s="1205">
        <f>'Jrnl Exp ~ Dép'!AW$516</f>
        <v>0</v>
      </c>
      <c r="J97" s="1213">
        <f t="shared" si="2"/>
        <v>0</v>
      </c>
      <c r="L97" s="21"/>
    </row>
    <row r="98" spans="2:12" s="12" customFormat="1" ht="33" customHeight="1" x14ac:dyDescent="0.15">
      <c r="B98" s="1573"/>
      <c r="C98" s="1584"/>
      <c r="D98" s="1225">
        <f>'Jrnl Exp ~ Dép'!AX$6</f>
        <v>5315.3</v>
      </c>
      <c r="E98" s="1226" t="str">
        <f>+'Jrnl Exp ~ Dép'!AX$8</f>
        <v>Disponible ~ Available</v>
      </c>
      <c r="F98" s="1235"/>
      <c r="G98" s="202"/>
      <c r="H98" s="1608"/>
      <c r="I98" s="1205">
        <f>'Jrnl Exp ~ Dép'!AX$516</f>
        <v>0</v>
      </c>
      <c r="J98" s="1213">
        <f t="shared" si="2"/>
        <v>0</v>
      </c>
      <c r="L98" s="21"/>
    </row>
    <row r="99" spans="2:12" s="12" customFormat="1" ht="33" customHeight="1" thickBot="1" x14ac:dyDescent="0.2">
      <c r="B99" s="1573"/>
      <c r="C99" s="1585"/>
      <c r="D99" s="1232">
        <f>'Jrnl Exp ~ Dép'!AY$6</f>
        <v>5315.4</v>
      </c>
      <c r="E99" s="1233" t="str">
        <f>+'Jrnl Exp ~ Dép'!AY$8</f>
        <v>Disponible ~ Available</v>
      </c>
      <c r="F99" s="1236"/>
      <c r="G99" s="488"/>
      <c r="H99" s="1609"/>
      <c r="I99" s="1216">
        <f>'Jrnl Exp ~ Dép'!AY$516</f>
        <v>0</v>
      </c>
      <c r="J99" s="1217">
        <f t="shared" si="2"/>
        <v>0</v>
      </c>
      <c r="L99" s="21"/>
    </row>
    <row r="100" spans="2:12" s="12" customFormat="1" ht="33" customHeight="1" x14ac:dyDescent="0.15">
      <c r="B100" s="1573"/>
      <c r="C100" s="532">
        <f>'Jrnl Exp ~ Dép'!AZ$6</f>
        <v>5320</v>
      </c>
      <c r="D100" s="1605"/>
      <c r="E100" s="533" t="str">
        <f>+'Jrnl Exp ~ Dép'!AZ$8</f>
        <v>Training Equipment</v>
      </c>
      <c r="F100" s="555"/>
      <c r="G100" s="1605"/>
      <c r="H100" s="204"/>
      <c r="I100" s="1207">
        <f>'Jrnl Exp ~ Dép'!AZ$516</f>
        <v>0</v>
      </c>
      <c r="J100" s="1215">
        <f t="shared" ref="J100:J111" si="4">IF($I100=0,0,$H100-$I100)</f>
        <v>0</v>
      </c>
      <c r="L100" s="21"/>
    </row>
    <row r="101" spans="2:12" s="12" customFormat="1" ht="33" customHeight="1" x14ac:dyDescent="0.15">
      <c r="B101" s="1573"/>
      <c r="C101" s="147">
        <f>'Jrnl Exp ~ Dép'!BA$6</f>
        <v>5325</v>
      </c>
      <c r="D101" s="1605"/>
      <c r="E101" s="501" t="str">
        <f>+'Jrnl Exp ~ Dép'!BA$8</f>
        <v>Sports &amp; Phys Ed Related Activities</v>
      </c>
      <c r="F101" s="556" t="str">
        <f>IF(K1=2,"Incl. Laser Tag, Quilles, Course à obstacles et autres act. commerciales","Including Laser tag, Absailing, Bowling and other commercial activities")</f>
        <v>Including Laser tag, Absailing, Bowling and other commercial activities</v>
      </c>
      <c r="G101" s="1605"/>
      <c r="H101" s="202"/>
      <c r="I101" s="1205">
        <f>'Jrnl Exp ~ Dép'!BA$516</f>
        <v>0</v>
      </c>
      <c r="J101" s="1213">
        <f t="shared" si="4"/>
        <v>0</v>
      </c>
      <c r="L101" s="21"/>
    </row>
    <row r="102" spans="2:12" s="12" customFormat="1" ht="42" x14ac:dyDescent="0.15">
      <c r="B102" s="1573"/>
      <c r="C102" s="147">
        <f>'Jrnl Exp ~ Dép'!BB$6</f>
        <v>5330</v>
      </c>
      <c r="D102" s="1605"/>
      <c r="E102" s="207" t="str">
        <f>+'Jrnl Exp ~ Dép'!BB$8</f>
        <v>Flying and Gliding related outlays</v>
      </c>
      <c r="F102" s="556" t="str">
        <f>IF(K1=2,"Familiarisation :Repas, Transport - Spécialisation: Certificat médical, License, examen du Min. Trsp, Sélection, etc.","Familiarization: Meals, Trsp - Specialization: Med Certificate, Licence, Exams, Selection, Etc.")</f>
        <v>Familiarization: Meals, Trsp - Specialization: Med Certificate, Licence, Exams, Selection, Etc.</v>
      </c>
      <c r="G102" s="1605"/>
      <c r="H102" s="202"/>
      <c r="I102" s="1205">
        <f>'Jrnl Exp ~ Dép'!BB$516</f>
        <v>0</v>
      </c>
      <c r="J102" s="1213">
        <f t="shared" si="4"/>
        <v>0</v>
      </c>
      <c r="L102" s="21"/>
    </row>
    <row r="103" spans="2:12" s="12" customFormat="1" ht="33" customHeight="1" x14ac:dyDescent="0.15">
      <c r="B103" s="1573"/>
      <c r="C103" s="147">
        <f>'Jrnl Exp ~ Dép'!BC$6</f>
        <v>5335</v>
      </c>
      <c r="D103" s="1605"/>
      <c r="E103" s="207" t="str">
        <f>+'Jrnl Exp ~ Dép'!BC$8</f>
        <v>Community Service</v>
      </c>
      <c r="F103" s="556"/>
      <c r="G103" s="1605"/>
      <c r="H103" s="202"/>
      <c r="I103" s="1205">
        <f>'Jrnl Exp ~ Dép'!BC$516</f>
        <v>0</v>
      </c>
      <c r="J103" s="1213">
        <f t="shared" si="4"/>
        <v>0</v>
      </c>
      <c r="L103" s="21"/>
    </row>
    <row r="104" spans="2:12" s="12" customFormat="1" ht="33" customHeight="1" x14ac:dyDescent="0.15">
      <c r="B104" s="1573"/>
      <c r="C104" s="147">
        <f>'Jrnl Exp ~ Dép'!BD$6</f>
        <v>5340</v>
      </c>
      <c r="D104" s="1605"/>
      <c r="E104" s="207" t="str">
        <f>+'Jrnl Exp ~ Dép'!BD$8</f>
        <v>Shooting Pgm</v>
      </c>
      <c r="F104" s="556" t="str">
        <f>IF(K1=2,"Familiarisation seulement","Familiarization only")</f>
        <v>Familiarization only</v>
      </c>
      <c r="G104" s="1605"/>
      <c r="H104" s="202"/>
      <c r="I104" s="1205">
        <f>'Jrnl Exp ~ Dép'!BD$516</f>
        <v>0</v>
      </c>
      <c r="J104" s="1213">
        <f t="shared" si="4"/>
        <v>0</v>
      </c>
      <c r="L104" s="21"/>
    </row>
    <row r="105" spans="2:12" s="12" customFormat="1" ht="33" customHeight="1" x14ac:dyDescent="0.15">
      <c r="B105" s="1573"/>
      <c r="C105" s="147">
        <f>'Jrnl Exp ~ Dép'!BE$6</f>
        <v>5345</v>
      </c>
      <c r="D105" s="1605"/>
      <c r="E105" s="207" t="str">
        <f>+'Jrnl Exp ~ Dép'!BE$8</f>
        <v>Aviation Day</v>
      </c>
      <c r="F105" s="556"/>
      <c r="G105" s="1605"/>
      <c r="H105" s="202"/>
      <c r="I105" s="1205">
        <f>'Jrnl Exp ~ Dép'!BE$516</f>
        <v>0</v>
      </c>
      <c r="J105" s="1213">
        <f t="shared" si="4"/>
        <v>0</v>
      </c>
      <c r="L105" s="21"/>
    </row>
    <row r="106" spans="2:12" s="12" customFormat="1" ht="33" customHeight="1" x14ac:dyDescent="0.15">
      <c r="B106" s="1573"/>
      <c r="C106" s="147">
        <f>'Jrnl Exp ~ Dép'!BF$6</f>
        <v>5350</v>
      </c>
      <c r="D106" s="1605"/>
      <c r="E106" s="501" t="str">
        <f>+'Jrnl Exp ~ Dép'!BF$8</f>
        <v>Mess Dinner</v>
      </c>
      <c r="F106" s="556"/>
      <c r="G106" s="1605"/>
      <c r="H106" s="202"/>
      <c r="I106" s="1205">
        <f>'Jrnl Exp ~ Dép'!BF516</f>
        <v>0</v>
      </c>
      <c r="J106" s="1213">
        <f t="shared" si="4"/>
        <v>0</v>
      </c>
      <c r="L106" s="21"/>
    </row>
    <row r="107" spans="2:12" s="12" customFormat="1" ht="33" customHeight="1" x14ac:dyDescent="0.15">
      <c r="B107" s="1573"/>
      <c r="C107" s="147">
        <f>'Jrnl Exp ~ Dép'!BG$6</f>
        <v>5355</v>
      </c>
      <c r="D107" s="1605"/>
      <c r="E107" s="501" t="str">
        <f>+'Jrnl Exp ~ Dép'!BG$8</f>
        <v>Ground School</v>
      </c>
      <c r="F107" s="556"/>
      <c r="G107" s="1605"/>
      <c r="H107" s="202"/>
      <c r="I107" s="1205">
        <f>'Jrnl Exp ~ Dép'!BG$516</f>
        <v>0</v>
      </c>
      <c r="J107" s="1213">
        <f t="shared" si="4"/>
        <v>0</v>
      </c>
      <c r="L107" s="21"/>
    </row>
    <row r="108" spans="2:12" s="12" customFormat="1" ht="33" customHeight="1" x14ac:dyDescent="0.15">
      <c r="B108" s="1573"/>
      <c r="C108" s="526">
        <f>'Jrnl Exp ~ Dép'!BH$6</f>
        <v>5360</v>
      </c>
      <c r="D108" s="1605"/>
      <c r="E108" s="527" t="str">
        <f>+'Jrnl Exp ~ Dép'!BH$8</f>
        <v>Disponible ~ Available</v>
      </c>
      <c r="F108" s="557"/>
      <c r="G108" s="1605"/>
      <c r="H108" s="201"/>
      <c r="I108" s="1209">
        <f>'Jrnl Exp ~ Dép'!BH$516</f>
        <v>0</v>
      </c>
      <c r="J108" s="1212">
        <f t="shared" si="4"/>
        <v>0</v>
      </c>
      <c r="L108" s="21"/>
    </row>
    <row r="109" spans="2:12" s="12" customFormat="1" ht="33" customHeight="1" x14ac:dyDescent="0.15">
      <c r="B109" s="1573"/>
      <c r="C109" s="526">
        <f>'Jrnl Exp ~ Dép'!BI$6</f>
        <v>5365</v>
      </c>
      <c r="D109" s="1605"/>
      <c r="E109" s="527" t="str">
        <f>+'Jrnl Exp ~ Dép'!BI$8</f>
        <v>Disponible ~ Available</v>
      </c>
      <c r="F109" s="557"/>
      <c r="G109" s="1605"/>
      <c r="H109" s="201"/>
      <c r="I109" s="1209">
        <f>'Jrnl Exp ~ Dép'!BI$516</f>
        <v>0</v>
      </c>
      <c r="J109" s="1212">
        <f t="shared" si="4"/>
        <v>0</v>
      </c>
      <c r="L109" s="21"/>
    </row>
    <row r="110" spans="2:12" s="12" customFormat="1" ht="33" customHeight="1" x14ac:dyDescent="0.15">
      <c r="B110" s="1573"/>
      <c r="C110" s="526">
        <f>'Jrnl Exp ~ Dép'!BJ$6</f>
        <v>5370</v>
      </c>
      <c r="D110" s="1605"/>
      <c r="E110" s="527" t="str">
        <f>+'Jrnl Exp ~ Dép'!BJ$8</f>
        <v>Disponible ~ Available</v>
      </c>
      <c r="F110" s="557"/>
      <c r="G110" s="1605"/>
      <c r="H110" s="201"/>
      <c r="I110" s="1209">
        <f>'Jrnl Exp ~ Dép'!BJ$516</f>
        <v>0</v>
      </c>
      <c r="J110" s="1212">
        <f t="shared" si="4"/>
        <v>0</v>
      </c>
      <c r="L110" s="21"/>
    </row>
    <row r="111" spans="2:12" s="12" customFormat="1" ht="33" customHeight="1" x14ac:dyDescent="0.15">
      <c r="B111" s="1573"/>
      <c r="C111" s="526">
        <f>'Jrnl Exp ~ Dép'!BK$6</f>
        <v>5375</v>
      </c>
      <c r="D111" s="1605"/>
      <c r="E111" s="527" t="str">
        <f>+'Jrnl Exp ~ Dép'!BK$8</f>
        <v>Disponible ~ Available</v>
      </c>
      <c r="F111" s="557"/>
      <c r="G111" s="1605"/>
      <c r="H111" s="201"/>
      <c r="I111" s="1209">
        <f>'Jrnl Exp ~ Dép'!BK$516</f>
        <v>0</v>
      </c>
      <c r="J111" s="1212">
        <f t="shared" si="4"/>
        <v>0</v>
      </c>
      <c r="L111" s="21"/>
    </row>
    <row r="112" spans="2:12" s="12" customFormat="1" ht="33" customHeight="1" thickBot="1" x14ac:dyDescent="0.2">
      <c r="B112" s="1573"/>
      <c r="C112" s="526">
        <f>'Jrnl Exp ~ Dép'!BL$6</f>
        <v>5380</v>
      </c>
      <c r="D112" s="1605"/>
      <c r="E112" s="527" t="str">
        <f>+'Jrnl Exp ~ Dép'!BL$8</f>
        <v>Disponible ~ Available</v>
      </c>
      <c r="F112" s="557"/>
      <c r="G112" s="1605"/>
      <c r="H112" s="201"/>
      <c r="I112" s="1209">
        <f>'Jrnl Exp ~ Dép'!BL$516</f>
        <v>0</v>
      </c>
      <c r="J112" s="1212">
        <f>IF($I112=0,0,$H112-$I112)</f>
        <v>0</v>
      </c>
      <c r="L112" s="21"/>
    </row>
    <row r="113" spans="2:12" s="12" customFormat="1" ht="29" thickTop="1" x14ac:dyDescent="0.15">
      <c r="B113" s="1576" t="str">
        <f>CONCATENATE('Jrnl Exp ~ Dép'!BM4," - ",'Jrnl Exp ~ Dép'!BM5)</f>
        <v>5400 - DND Supported Optional Trg/Activities Expenses</v>
      </c>
      <c r="C113" s="558">
        <f>'Jrnl Exp ~ Dép'!BM$6</f>
        <v>5410</v>
      </c>
      <c r="D113" s="1606"/>
      <c r="E113" s="559" t="str">
        <f>+'Jrnl Exp ~ Dép'!BM$8</f>
        <v>Band</v>
      </c>
      <c r="F113" s="560" t="str">
        <f>IF(K1=2,"Instruments, Accessoires, Compétitions, Repas, Transport, Instructeurs, Locations etc.","Instruments, Accessories, Competitions, Meals, Trsp, Instructors, Rental, etc.")</f>
        <v>Instruments, Accessories, Competitions, Meals, Trsp, Instructors, Rental, etc.</v>
      </c>
      <c r="G113" s="561"/>
      <c r="H113" s="200"/>
      <c r="I113" s="1202">
        <f>'Jrnl Exp ~ Dép'!BM$516</f>
        <v>0</v>
      </c>
      <c r="J113" s="1211">
        <f>IF($I113=0,0,$H113-$I113)</f>
        <v>0</v>
      </c>
      <c r="L113" s="21"/>
    </row>
    <row r="114" spans="2:12" s="12" customFormat="1" ht="33" customHeight="1" x14ac:dyDescent="0.15">
      <c r="B114" s="1577"/>
      <c r="C114" s="526">
        <f>'Jrnl Exp ~ Dép'!BN$6</f>
        <v>5415</v>
      </c>
      <c r="D114" s="1605"/>
      <c r="E114" s="527" t="str">
        <f>+'Jrnl Exp ~ Dép'!BN$8</f>
        <v>Drill Team</v>
      </c>
      <c r="F114" s="556" t="str">
        <f>IF(K1=2,"Locations, Repas, Transport, Compétitions, Habillement, etc.","Rental, Meals, Trsp, Competitions, Clothing, etc.")</f>
        <v>Rental, Meals, Trsp, Competitions, Clothing, etc.</v>
      </c>
      <c r="G114" s="562"/>
      <c r="H114" s="202"/>
      <c r="I114" s="1205">
        <f>'Jrnl Exp ~ Dép'!BN$516</f>
        <v>0</v>
      </c>
      <c r="J114" s="1213">
        <f t="shared" ref="J114:J122" si="5">IF($I114=0,0,$H114-$I114)</f>
        <v>0</v>
      </c>
      <c r="L114" s="21"/>
    </row>
    <row r="115" spans="2:12" s="12" customFormat="1" ht="33" customHeight="1" x14ac:dyDescent="0.15">
      <c r="B115" s="1577"/>
      <c r="C115" s="526">
        <f>'Jrnl Exp ~ Dép'!BO$6</f>
        <v>5420</v>
      </c>
      <c r="D115" s="1605"/>
      <c r="E115" s="527" t="str">
        <f>+'Jrnl Exp ~ Dép'!BO$8</f>
        <v>Marksmanship</v>
      </c>
      <c r="F115" s="556" t="str">
        <f>IF(K1=2,"Locations, Repas, Transport, Équipement, Compétitions, etc.","Rental, Meals, Trsp, Equipments, Competitions, etc.")</f>
        <v>Rental, Meals, Trsp, Equipments, Competitions, etc.</v>
      </c>
      <c r="G115" s="562"/>
      <c r="H115" s="202"/>
      <c r="I115" s="1205">
        <f>'Jrnl Exp ~ Dép'!BO$516</f>
        <v>0</v>
      </c>
      <c r="J115" s="1213">
        <f t="shared" si="5"/>
        <v>0</v>
      </c>
      <c r="L115" s="21"/>
    </row>
    <row r="116" spans="2:12" s="12" customFormat="1" ht="33" customHeight="1" x14ac:dyDescent="0.15">
      <c r="B116" s="1577"/>
      <c r="C116" s="526">
        <f>'Jrnl Exp ~ Dép'!BP$6</f>
        <v>5425</v>
      </c>
      <c r="D116" s="1605"/>
      <c r="E116" s="527" t="str">
        <f>+'Jrnl Exp ~ Dép'!BP$8</f>
        <v>Biathlon</v>
      </c>
      <c r="F116" s="556" t="str">
        <f>IF(K1=2,"Locations, Repas, Transport, Équipement, Compétitions, etc.","Rental, Meals, Trsp, Equipments, Competitions, etc.")</f>
        <v>Rental, Meals, Trsp, Equipments, Competitions, etc.</v>
      </c>
      <c r="G116" s="562"/>
      <c r="H116" s="202"/>
      <c r="I116" s="1205">
        <f>'Jrnl Exp ~ Dép'!BP$516</f>
        <v>0</v>
      </c>
      <c r="J116" s="1213">
        <f t="shared" si="5"/>
        <v>0</v>
      </c>
      <c r="L116" s="21"/>
    </row>
    <row r="117" spans="2:12" s="12" customFormat="1" ht="33" customHeight="1" x14ac:dyDescent="0.15">
      <c r="B117" s="1577"/>
      <c r="C117" s="526">
        <f>'Jrnl Exp ~ Dép'!BQ$6</f>
        <v>5430</v>
      </c>
      <c r="D117" s="1605"/>
      <c r="E117" s="527" t="str">
        <f>+'Jrnl Exp ~ Dép'!BQ$8</f>
        <v>Effective Speaking</v>
      </c>
      <c r="F117" s="556" t="str">
        <f>IF(K1=2,"Locations, Repas, Transport, Fournitures, Compétitions, etc.","Rental, Meals, Trsp, Supplies, Competitions etc.")</f>
        <v>Rental, Meals, Trsp, Supplies, Competitions etc.</v>
      </c>
      <c r="G117" s="562"/>
      <c r="H117" s="202"/>
      <c r="I117" s="1205">
        <f>'Jrnl Exp ~ Dép'!BQ$516</f>
        <v>0</v>
      </c>
      <c r="J117" s="1213">
        <f t="shared" si="5"/>
        <v>0</v>
      </c>
      <c r="L117" s="21"/>
    </row>
    <row r="118" spans="2:12" s="12" customFormat="1" ht="33" customHeight="1" x14ac:dyDescent="0.15">
      <c r="B118" s="1577"/>
      <c r="C118" s="526">
        <f>'Jrnl Exp ~ Dép'!BR$6</f>
        <v>5435</v>
      </c>
      <c r="D118" s="1605"/>
      <c r="E118" s="527" t="str">
        <f>+'Jrnl Exp ~ Dép'!BR$8</f>
        <v>Disponible ~ Available</v>
      </c>
      <c r="F118" s="556"/>
      <c r="G118" s="562"/>
      <c r="H118" s="202"/>
      <c r="I118" s="1205">
        <f>'Jrnl Exp ~ Dép'!BR$516</f>
        <v>0</v>
      </c>
      <c r="J118" s="1213">
        <f t="shared" si="5"/>
        <v>0</v>
      </c>
      <c r="L118" s="21"/>
    </row>
    <row r="119" spans="2:12" s="12" customFormat="1" ht="33" customHeight="1" x14ac:dyDescent="0.15">
      <c r="B119" s="1577"/>
      <c r="C119" s="526">
        <f>'Jrnl Exp ~ Dép'!BS$6</f>
        <v>5440</v>
      </c>
      <c r="D119" s="1605"/>
      <c r="E119" s="527" t="str">
        <f>+'Jrnl Exp ~ Dép'!BS$8</f>
        <v>Disponible ~ Available</v>
      </c>
      <c r="F119" s="556"/>
      <c r="G119" s="562"/>
      <c r="H119" s="202"/>
      <c r="I119" s="1205">
        <f>'Jrnl Exp ~ Dép'!BS$516</f>
        <v>0</v>
      </c>
      <c r="J119" s="1213">
        <f t="shared" si="5"/>
        <v>0</v>
      </c>
      <c r="L119" s="21"/>
    </row>
    <row r="120" spans="2:12" s="12" customFormat="1" ht="33" customHeight="1" x14ac:dyDescent="0.15">
      <c r="B120" s="1577"/>
      <c r="C120" s="526">
        <f>'Jrnl Exp ~ Dép'!BT$6</f>
        <v>5445</v>
      </c>
      <c r="D120" s="1605"/>
      <c r="E120" s="527" t="str">
        <f>+'Jrnl Exp ~ Dép'!BT$8</f>
        <v>Disponible ~ Available</v>
      </c>
      <c r="F120" s="556"/>
      <c r="G120" s="562"/>
      <c r="H120" s="202"/>
      <c r="I120" s="1205">
        <f>'Jrnl Exp ~ Dép'!BT$516</f>
        <v>0</v>
      </c>
      <c r="J120" s="1213">
        <f t="shared" si="5"/>
        <v>0</v>
      </c>
      <c r="L120" s="21"/>
    </row>
    <row r="121" spans="2:12" s="12" customFormat="1" ht="33" customHeight="1" x14ac:dyDescent="0.15">
      <c r="B121" s="1577"/>
      <c r="C121" s="526">
        <f>'Jrnl Exp ~ Dép'!BU$6</f>
        <v>5450</v>
      </c>
      <c r="D121" s="1605"/>
      <c r="E121" s="527" t="str">
        <f>+'Jrnl Exp ~ Dép'!BU$8</f>
        <v>Disponible ~ Available</v>
      </c>
      <c r="F121" s="556"/>
      <c r="G121" s="562"/>
      <c r="H121" s="202"/>
      <c r="I121" s="1205">
        <f>'Jrnl Exp ~ Dép'!BU$516</f>
        <v>0</v>
      </c>
      <c r="J121" s="1213">
        <f t="shared" si="5"/>
        <v>0</v>
      </c>
      <c r="L121" s="21"/>
    </row>
    <row r="122" spans="2:12" s="12" customFormat="1" ht="33" customHeight="1" thickBot="1" x14ac:dyDescent="0.2">
      <c r="B122" s="1578"/>
      <c r="C122" s="541">
        <f>'Jrnl Exp ~ Dép'!BV$6</f>
        <v>5455</v>
      </c>
      <c r="D122" s="1591"/>
      <c r="E122" s="542" t="str">
        <f>+'Jrnl Exp ~ Dép'!BV$8</f>
        <v>Disponible ~ Available</v>
      </c>
      <c r="F122" s="563"/>
      <c r="G122" s="564"/>
      <c r="H122" s="203"/>
      <c r="I122" s="1204">
        <f>'Jrnl Exp ~ Dép'!BV$516</f>
        <v>0</v>
      </c>
      <c r="J122" s="1214">
        <f t="shared" si="5"/>
        <v>0</v>
      </c>
      <c r="L122" s="21"/>
    </row>
    <row r="123" spans="2:12" s="12" customFormat="1" ht="33" customHeight="1" thickTop="1" x14ac:dyDescent="0.15">
      <c r="B123" s="1572" t="str">
        <f>CONCATENATE('Jrnl Exp ~ Dép'!BW4," - ",'Jrnl Exp ~ Dép'!BW5)</f>
        <v>5500 - DND Non-Supported Trg/Activities Expenses</v>
      </c>
      <c r="C123" s="1583">
        <f>'Jrnl Exp ~ Dép'!BW$6</f>
        <v>5510</v>
      </c>
      <c r="D123" s="565"/>
      <c r="E123" s="559" t="str">
        <f>+'Jrnl Exp ~ Dép'!BW$8</f>
        <v>Cadet Banquets and Special Events</v>
      </c>
      <c r="F123" s="588" t="s">
        <v>471</v>
      </c>
      <c r="G123" s="561"/>
      <c r="H123" s="593">
        <f>SUM(G124:G130)</f>
        <v>0</v>
      </c>
      <c r="I123" s="594">
        <f>'Jrnl Exp ~ Dép'!BW$516</f>
        <v>0</v>
      </c>
      <c r="J123" s="595">
        <f t="shared" ref="J123" si="6">IF($I123=0,0,$H123-$I123)</f>
        <v>0</v>
      </c>
      <c r="L123" s="21"/>
    </row>
    <row r="124" spans="2:12" s="12" customFormat="1" ht="33" customHeight="1" x14ac:dyDescent="0.15">
      <c r="B124" s="1573"/>
      <c r="C124" s="1584"/>
      <c r="D124" s="1225">
        <f>'Jrnl Exp ~ Dép'!BX$6</f>
        <v>5510.1</v>
      </c>
      <c r="E124" s="1226" t="str">
        <f>'Jrnl Exp ~ Dép'!BX$8</f>
        <v>Disponible ~ Available</v>
      </c>
      <c r="F124" s="1227"/>
      <c r="G124" s="202"/>
      <c r="H124" s="1610"/>
      <c r="I124" s="1205">
        <f>'Jrnl Exp ~ Dép'!BX$516</f>
        <v>0</v>
      </c>
      <c r="J124" s="1213">
        <f t="shared" ref="J124:J130" si="7">IF($I124=0,0,$G124-$I124)</f>
        <v>0</v>
      </c>
      <c r="L124" s="21"/>
    </row>
    <row r="125" spans="2:12" s="12" customFormat="1" ht="33" customHeight="1" x14ac:dyDescent="0.15">
      <c r="B125" s="1573"/>
      <c r="C125" s="1584"/>
      <c r="D125" s="1225">
        <f>'Jrnl Exp ~ Dép'!BY$6</f>
        <v>5510.2</v>
      </c>
      <c r="E125" s="1226" t="str">
        <f>'Jrnl Exp ~ Dép'!BY$8</f>
        <v>Disponible ~ Available</v>
      </c>
      <c r="F125" s="1227"/>
      <c r="G125" s="202"/>
      <c r="H125" s="1611"/>
      <c r="I125" s="1205">
        <f>'Jrnl Exp ~ Dép'!BY$516</f>
        <v>0</v>
      </c>
      <c r="J125" s="1213">
        <f t="shared" si="7"/>
        <v>0</v>
      </c>
      <c r="L125" s="21"/>
    </row>
    <row r="126" spans="2:12" s="12" customFormat="1" ht="33" customHeight="1" x14ac:dyDescent="0.15">
      <c r="B126" s="1573"/>
      <c r="C126" s="1584"/>
      <c r="D126" s="1225">
        <f>'Jrnl Exp ~ Dép'!BZ$6</f>
        <v>5510.3</v>
      </c>
      <c r="E126" s="1226" t="str">
        <f>'Jrnl Exp ~ Dép'!BZ$8</f>
        <v>Disponible ~ Available</v>
      </c>
      <c r="F126" s="1227"/>
      <c r="G126" s="202"/>
      <c r="H126" s="1611"/>
      <c r="I126" s="1205">
        <f>'Jrnl Exp ~ Dép'!BZ$516</f>
        <v>0</v>
      </c>
      <c r="J126" s="1213">
        <f t="shared" si="7"/>
        <v>0</v>
      </c>
      <c r="L126" s="21"/>
    </row>
    <row r="127" spans="2:12" s="12" customFormat="1" ht="33" customHeight="1" x14ac:dyDescent="0.15">
      <c r="B127" s="1573"/>
      <c r="C127" s="1584"/>
      <c r="D127" s="1225">
        <f>'Jrnl Exp ~ Dép'!CA$6</f>
        <v>5510.4</v>
      </c>
      <c r="E127" s="1226" t="str">
        <f>'Jrnl Exp ~ Dép'!CA$8</f>
        <v>Disponible ~ Available</v>
      </c>
      <c r="F127" s="1227"/>
      <c r="G127" s="202"/>
      <c r="H127" s="1611"/>
      <c r="I127" s="1205">
        <f>'Jrnl Exp ~ Dép'!CA$516</f>
        <v>0</v>
      </c>
      <c r="J127" s="1213">
        <f t="shared" si="7"/>
        <v>0</v>
      </c>
      <c r="L127" s="21"/>
    </row>
    <row r="128" spans="2:12" s="12" customFormat="1" ht="33" customHeight="1" x14ac:dyDescent="0.15">
      <c r="B128" s="1573"/>
      <c r="C128" s="1584"/>
      <c r="D128" s="1225">
        <f>'Jrnl Exp ~ Dép'!CB$6</f>
        <v>5510.5</v>
      </c>
      <c r="E128" s="1226" t="str">
        <f>'Jrnl Exp ~ Dép'!CB$8</f>
        <v>Disponible ~ Available</v>
      </c>
      <c r="F128" s="1227"/>
      <c r="G128" s="202"/>
      <c r="H128" s="1611"/>
      <c r="I128" s="1205">
        <f>'Jrnl Exp ~ Dép'!CB$516</f>
        <v>0</v>
      </c>
      <c r="J128" s="1213">
        <f t="shared" si="7"/>
        <v>0</v>
      </c>
      <c r="L128" s="21"/>
    </row>
    <row r="129" spans="2:12" s="12" customFormat="1" ht="33" customHeight="1" x14ac:dyDescent="0.15">
      <c r="B129" s="1573"/>
      <c r="C129" s="1584"/>
      <c r="D129" s="1225">
        <f>'Jrnl Exp ~ Dép'!CC$6</f>
        <v>5510.6</v>
      </c>
      <c r="E129" s="1226" t="str">
        <f>'Jrnl Exp ~ Dép'!CC$8</f>
        <v>Disponible ~ Available</v>
      </c>
      <c r="F129" s="1227"/>
      <c r="G129" s="202"/>
      <c r="H129" s="1611"/>
      <c r="I129" s="1205">
        <f>'Jrnl Exp ~ Dép'!CC$516</f>
        <v>0</v>
      </c>
      <c r="J129" s="1213">
        <f t="shared" si="7"/>
        <v>0</v>
      </c>
      <c r="L129" s="21"/>
    </row>
    <row r="130" spans="2:12" s="12" customFormat="1" ht="33" customHeight="1" thickBot="1" x14ac:dyDescent="0.2">
      <c r="B130" s="1573"/>
      <c r="C130" s="1584"/>
      <c r="D130" s="1237">
        <f>'Jrnl Exp ~ Dép'!CD$6</f>
        <v>5510.7</v>
      </c>
      <c r="E130" s="1238" t="str">
        <f>'Jrnl Exp ~ Dép'!CD$8</f>
        <v>Disponible ~ Available</v>
      </c>
      <c r="F130" s="1239"/>
      <c r="G130" s="201"/>
      <c r="H130" s="1611"/>
      <c r="I130" s="1209">
        <f>'Jrnl Exp ~ Dép'!CD$516</f>
        <v>0</v>
      </c>
      <c r="J130" s="1212">
        <f t="shared" si="7"/>
        <v>0</v>
      </c>
      <c r="L130" s="21"/>
    </row>
    <row r="131" spans="2:12" s="12" customFormat="1" ht="33" customHeight="1" x14ac:dyDescent="0.15">
      <c r="B131" s="1573"/>
      <c r="C131" s="596">
        <f>'Jrnl Exp ~ Dép'!CE$6</f>
        <v>5515</v>
      </c>
      <c r="D131" s="1580"/>
      <c r="E131" s="597" t="str">
        <f>+'Jrnl Exp ~ Dép'!CE$8</f>
        <v>Annual Ceremonial Review</v>
      </c>
      <c r="F131" s="598" t="str">
        <f>IF(K1=2,"Location, Nourriture, transport, etc.","Rental, Food, Trsp, etc.")</f>
        <v>Rental, Food, Trsp, etc.</v>
      </c>
      <c r="G131" s="1600"/>
      <c r="H131" s="489"/>
      <c r="I131" s="1218">
        <f>'Jrnl Exp ~ Dép'!CE$516</f>
        <v>0</v>
      </c>
      <c r="J131" s="1219">
        <f>IF($I131=0,0,$H131-$I131)</f>
        <v>0</v>
      </c>
      <c r="K131" s="599">
        <f>IF($H131=0,0,#REF!-$H131)</f>
        <v>0</v>
      </c>
      <c r="L131" s="21"/>
    </row>
    <row r="132" spans="2:12" s="12" customFormat="1" ht="33" customHeight="1" x14ac:dyDescent="0.15">
      <c r="B132" s="1573"/>
      <c r="C132" s="147">
        <f>'Jrnl Exp ~ Dép'!CF$6</f>
        <v>5520</v>
      </c>
      <c r="D132" s="1581"/>
      <c r="E132" s="501" t="str">
        <f>+'Jrnl Exp ~ Dép'!CF$8</f>
        <v>Honours &amp; Award</v>
      </c>
      <c r="F132" s="540" t="str">
        <f>IF(K1=2,"Trophées, Plaques, Présents pour invités, etc.","Trophies, Plaques, Gifts for guests, etc.")</f>
        <v>Trophies, Plaques, Gifts for guests, etc.</v>
      </c>
      <c r="G132" s="1601"/>
      <c r="H132" s="202"/>
      <c r="I132" s="1205">
        <f>'Jrnl Exp ~ Dép'!CF$516</f>
        <v>0</v>
      </c>
      <c r="J132" s="1220">
        <f t="shared" ref="J132:J138" si="8">IF($I132=0,0,$H132-$I132)</f>
        <v>0</v>
      </c>
      <c r="K132" s="599">
        <f>IF($H132=0,0,#REF!-$H132)</f>
        <v>0</v>
      </c>
      <c r="L132" s="21"/>
    </row>
    <row r="133" spans="2:12" s="12" customFormat="1" ht="33" customHeight="1" x14ac:dyDescent="0.15">
      <c r="B133" s="1573"/>
      <c r="C133" s="147">
        <f>'Jrnl Exp ~ Dép'!CG$6</f>
        <v>5525</v>
      </c>
      <c r="D133" s="1581"/>
      <c r="E133" s="501" t="str">
        <f>+'Jrnl Exp ~ Dép'!CG$8</f>
        <v>Cadet &amp; Ceremonial Accoutrements</v>
      </c>
      <c r="F133" s="540" t="str">
        <f>IF(K1=2,"Ceintures blanches, Insignes de nom, montage de médailles, etc.","White Belt, Name Tag, Medal Mounting, Etc.")</f>
        <v>White Belt, Name Tag, Medal Mounting, Etc.</v>
      </c>
      <c r="G133" s="1601"/>
      <c r="H133" s="202"/>
      <c r="I133" s="1205">
        <f>'Jrnl Exp ~ Dép'!CG$516</f>
        <v>0</v>
      </c>
      <c r="J133" s="1220">
        <f t="shared" si="8"/>
        <v>0</v>
      </c>
      <c r="K133" s="599"/>
      <c r="L133" s="21"/>
    </row>
    <row r="134" spans="2:12" s="12" customFormat="1" ht="33" customHeight="1" x14ac:dyDescent="0.15">
      <c r="B134" s="1573"/>
      <c r="C134" s="147">
        <f>'Jrnl Exp ~ Dép'!CH$6</f>
        <v>5530</v>
      </c>
      <c r="D134" s="1581"/>
      <c r="E134" s="501" t="str">
        <f>+'Jrnl Exp ~ Dép'!CH$8</f>
        <v>Scholarship &amp; Bursaries</v>
      </c>
      <c r="F134" s="501"/>
      <c r="G134" s="1601"/>
      <c r="H134" s="202"/>
      <c r="I134" s="1205">
        <f>'Jrnl Exp ~ Dép'!CH$516</f>
        <v>0</v>
      </c>
      <c r="J134" s="1220">
        <f t="shared" si="8"/>
        <v>0</v>
      </c>
      <c r="K134" s="599"/>
      <c r="L134" s="21"/>
    </row>
    <row r="135" spans="2:12" s="12" customFormat="1" ht="33" customHeight="1" x14ac:dyDescent="0.15">
      <c r="B135" s="1573"/>
      <c r="C135" s="147">
        <f>'Jrnl Exp ~ Dép'!CI$6</f>
        <v>5535</v>
      </c>
      <c r="D135" s="1581"/>
      <c r="E135" s="501" t="str">
        <f>+'Jrnl Exp ~ Dép'!CI$8</f>
        <v>Disponible ~ Available</v>
      </c>
      <c r="F135" s="501"/>
      <c r="G135" s="1601"/>
      <c r="H135" s="202"/>
      <c r="I135" s="1205">
        <f>'Jrnl Exp ~ Dép'!CI$516</f>
        <v>0</v>
      </c>
      <c r="J135" s="1220">
        <f t="shared" si="8"/>
        <v>0</v>
      </c>
      <c r="K135" s="599"/>
      <c r="L135" s="21"/>
    </row>
    <row r="136" spans="2:12" s="12" customFormat="1" ht="33" customHeight="1" x14ac:dyDescent="0.15">
      <c r="B136" s="1573"/>
      <c r="C136" s="532">
        <f>'Jrnl Exp ~ Dép'!CJ$6</f>
        <v>5540</v>
      </c>
      <c r="D136" s="1581"/>
      <c r="E136" s="533" t="str">
        <f>+'Jrnl Exp ~ Dép'!CJ$8</f>
        <v>Disponible ~ Available</v>
      </c>
      <c r="F136" s="533"/>
      <c r="G136" s="1601"/>
      <c r="H136" s="202"/>
      <c r="I136" s="1207">
        <f>'Jrnl Exp ~ Dép'!CJ$516</f>
        <v>0</v>
      </c>
      <c r="J136" s="1220">
        <f t="shared" si="8"/>
        <v>0</v>
      </c>
      <c r="K136" s="599"/>
      <c r="L136" s="21"/>
    </row>
    <row r="137" spans="2:12" s="12" customFormat="1" ht="33" customHeight="1" x14ac:dyDescent="0.15">
      <c r="B137" s="1573"/>
      <c r="C137" s="532">
        <f>'Jrnl Exp ~ Dép'!CK$6</f>
        <v>5545</v>
      </c>
      <c r="D137" s="1581"/>
      <c r="E137" s="501" t="str">
        <f>+'Jrnl Exp ~ Dép'!CK$8</f>
        <v>Disponible ~ Available</v>
      </c>
      <c r="F137" s="501"/>
      <c r="G137" s="1601"/>
      <c r="H137" s="202"/>
      <c r="I137" s="1205">
        <f>'Jrnl Exp ~ Dép'!CK$516</f>
        <v>0</v>
      </c>
      <c r="J137" s="1220">
        <f t="shared" si="8"/>
        <v>0</v>
      </c>
      <c r="K137" s="599"/>
      <c r="L137" s="21"/>
    </row>
    <row r="138" spans="2:12" s="12" customFormat="1" ht="33" customHeight="1" thickBot="1" x14ac:dyDescent="0.2">
      <c r="B138" s="1579"/>
      <c r="C138" s="536">
        <f>'Jrnl Exp ~ Dép'!CL$6</f>
        <v>5550</v>
      </c>
      <c r="D138" s="1582"/>
      <c r="E138" s="542" t="str">
        <f>+'Jrnl Exp ~ Dép'!CL$8</f>
        <v>Disponible ~ Available</v>
      </c>
      <c r="F138" s="542"/>
      <c r="G138" s="1602"/>
      <c r="H138" s="203"/>
      <c r="I138" s="1204">
        <f>'Jrnl Exp ~ Dép'!CL$516</f>
        <v>0</v>
      </c>
      <c r="J138" s="1221">
        <f t="shared" si="8"/>
        <v>0</v>
      </c>
      <c r="K138" s="599"/>
      <c r="L138" s="21"/>
    </row>
    <row r="139" spans="2:12" s="12" customFormat="1" ht="33" customHeight="1" thickTop="1" thickBot="1" x14ac:dyDescent="0.2">
      <c r="B139" s="1576" t="str">
        <f>CONCATENATE('Jrnl Exp ~ Dép'!CM4," - ",'Jrnl Exp ~ Dép'!CM5)</f>
        <v>5600 - Expenses - Gaming &amp; Lotteries Fundraising</v>
      </c>
      <c r="C139" s="522">
        <f>'Jrnl Exp ~ Dép'!CM$6</f>
        <v>5610</v>
      </c>
      <c r="D139" s="1574"/>
      <c r="E139" s="523" t="str">
        <f>+'Jrnl Exp ~ Dép'!CM$8</f>
        <v>Disponible ~ Available</v>
      </c>
      <c r="F139" s="524">
        <f>IF($K$1=2,'Jrnl Exp ~ Dép'!CV$13,'Jrnl Exp ~ Dép'!CV$14)</f>
        <v>0</v>
      </c>
      <c r="G139" s="1574"/>
      <c r="H139" s="200"/>
      <c r="I139" s="1202">
        <f>'Jrnl Exp ~ Dép'!CM$516</f>
        <v>0</v>
      </c>
      <c r="J139" s="1211">
        <f t="shared" ref="J139:J164" si="9">IF($I139=0,0,$H139-$I139)</f>
        <v>0</v>
      </c>
      <c r="L139" s="21"/>
    </row>
    <row r="140" spans="2:12" s="12" customFormat="1" ht="33" customHeight="1" thickTop="1" thickBot="1" x14ac:dyDescent="0.2">
      <c r="B140" s="1577"/>
      <c r="C140" s="147">
        <f>'Jrnl Exp ~ Dép'!CN$6</f>
        <v>5620</v>
      </c>
      <c r="D140" s="1574"/>
      <c r="E140" s="501" t="str">
        <f>+'Jrnl Exp ~ Dép'!CN$8</f>
        <v>Disponible ~ Available</v>
      </c>
      <c r="F140" s="540">
        <f>IF($K$1=2,'Jrnl Exp ~ Dép'!CW$13,'Jrnl Exp ~ Dép'!CW$14)</f>
        <v>0</v>
      </c>
      <c r="G140" s="1574"/>
      <c r="H140" s="202"/>
      <c r="I140" s="1205">
        <f>'Jrnl Exp ~ Dép'!CN$516</f>
        <v>0</v>
      </c>
      <c r="J140" s="1213">
        <f t="shared" si="9"/>
        <v>0</v>
      </c>
      <c r="L140" s="21"/>
    </row>
    <row r="141" spans="2:12" s="12" customFormat="1" ht="33" customHeight="1" thickTop="1" thickBot="1" x14ac:dyDescent="0.2">
      <c r="B141" s="1577"/>
      <c r="C141" s="147">
        <f>'Jrnl Exp ~ Dép'!CO$6</f>
        <v>5630</v>
      </c>
      <c r="D141" s="1574"/>
      <c r="E141" s="501" t="str">
        <f>+'Jrnl Exp ~ Dép'!CO$8</f>
        <v>Disponible ~ Available</v>
      </c>
      <c r="F141" s="540">
        <f>IF($K$1=2,'Jrnl Exp ~ Dép'!CX4,'Jrnl Exp ~ Dép'!CX$14)</f>
        <v>0</v>
      </c>
      <c r="G141" s="1574"/>
      <c r="H141" s="202"/>
      <c r="I141" s="1205">
        <f>'Jrnl Exp ~ Dép'!CO$516</f>
        <v>0</v>
      </c>
      <c r="J141" s="1213">
        <f t="shared" si="9"/>
        <v>0</v>
      </c>
      <c r="L141" s="21"/>
    </row>
    <row r="142" spans="2:12" s="12" customFormat="1" ht="33" customHeight="1" thickTop="1" thickBot="1" x14ac:dyDescent="0.2">
      <c r="B142" s="1577"/>
      <c r="C142" s="147">
        <f>'Jrnl Exp ~ Dép'!CP$6</f>
        <v>5640</v>
      </c>
      <c r="D142" s="1574"/>
      <c r="E142" s="501" t="str">
        <f>+'Jrnl Exp ~ Dép'!CP$8</f>
        <v>Disponible ~ Available</v>
      </c>
      <c r="F142" s="540">
        <f>IF($K$1=2,'Jrnl Exp ~ Dép'!CY$13,'Jrnl Exp ~ Dép'!CY$14)</f>
        <v>0</v>
      </c>
      <c r="G142" s="1574"/>
      <c r="H142" s="202"/>
      <c r="I142" s="1205">
        <f>'Jrnl Exp ~ Dép'!CP$516</f>
        <v>0</v>
      </c>
      <c r="J142" s="1213">
        <f t="shared" si="9"/>
        <v>0</v>
      </c>
      <c r="L142" s="21"/>
    </row>
    <row r="143" spans="2:12" s="12" customFormat="1" ht="33" customHeight="1" thickTop="1" thickBot="1" x14ac:dyDescent="0.2">
      <c r="B143" s="1577"/>
      <c r="C143" s="147">
        <f>'Jrnl Exp ~ Dép'!CQ$6</f>
        <v>5650</v>
      </c>
      <c r="D143" s="1574"/>
      <c r="E143" s="501" t="str">
        <f>+'Jrnl Exp ~ Dép'!CQ$8</f>
        <v>Disponible ~ Available</v>
      </c>
      <c r="F143" s="540">
        <f>IF($K$1=2,'Jrnl Exp ~ Dép'!CZ$13,'Jrnl Exp ~ Dép'!CZ$14)</f>
        <v>0</v>
      </c>
      <c r="G143" s="1574"/>
      <c r="H143" s="202"/>
      <c r="I143" s="1205">
        <f>'Jrnl Exp ~ Dép'!CQ$516</f>
        <v>0</v>
      </c>
      <c r="J143" s="1213">
        <f t="shared" si="9"/>
        <v>0</v>
      </c>
      <c r="L143" s="21"/>
    </row>
    <row r="144" spans="2:12" s="12" customFormat="1" ht="33" customHeight="1" thickTop="1" thickBot="1" x14ac:dyDescent="0.2">
      <c r="B144" s="1577"/>
      <c r="C144" s="147">
        <f>'Jrnl Exp ~ Dép'!CR$6</f>
        <v>5660</v>
      </c>
      <c r="D144" s="1574"/>
      <c r="E144" s="501" t="str">
        <f>+'Jrnl Exp ~ Dép'!CR$8</f>
        <v>Disponible ~ Available</v>
      </c>
      <c r="F144" s="540">
        <f>IF($K$1=2,'Jrnl Exp ~ Dép'!DA$13,'Jrnl Exp ~ Dép'!DA$14)</f>
        <v>0</v>
      </c>
      <c r="G144" s="1574"/>
      <c r="H144" s="202"/>
      <c r="I144" s="1205">
        <f>'Jrnl Exp ~ Dép'!CR$516</f>
        <v>0</v>
      </c>
      <c r="J144" s="1213">
        <f t="shared" si="9"/>
        <v>0</v>
      </c>
      <c r="L144" s="21"/>
    </row>
    <row r="145" spans="2:12" s="12" customFormat="1" ht="33" customHeight="1" thickTop="1" thickBot="1" x14ac:dyDescent="0.2">
      <c r="B145" s="1577"/>
      <c r="C145" s="147">
        <f>'Jrnl Exp ~ Dép'!CS$6</f>
        <v>5670</v>
      </c>
      <c r="D145" s="1574"/>
      <c r="E145" s="501" t="str">
        <f>+'Jrnl Exp ~ Dép'!CS$8</f>
        <v>Disponible ~ Available</v>
      </c>
      <c r="F145" s="540">
        <f>IF($K$1=2,'Jrnl Exp ~ Dép'!DB$13,'Jrnl Exp ~ Dép'!DB$14)</f>
        <v>0</v>
      </c>
      <c r="G145" s="1574"/>
      <c r="H145" s="202"/>
      <c r="I145" s="1205">
        <f>'Jrnl Exp ~ Dép'!CS$516</f>
        <v>0</v>
      </c>
      <c r="J145" s="1213">
        <f t="shared" si="9"/>
        <v>0</v>
      </c>
      <c r="L145" s="21"/>
    </row>
    <row r="146" spans="2:12" s="12" customFormat="1" ht="33" customHeight="1" thickTop="1" thickBot="1" x14ac:dyDescent="0.2">
      <c r="B146" s="1577"/>
      <c r="C146" s="147">
        <f>'Jrnl Exp ~ Dép'!CT$6</f>
        <v>5680</v>
      </c>
      <c r="D146" s="1574"/>
      <c r="E146" s="501" t="str">
        <f>+'Jrnl Exp ~ Dép'!CT$8</f>
        <v>Disponible ~ Available</v>
      </c>
      <c r="F146" s="540">
        <f>IF($K$1=2,'Jrnl Exp ~ Dép'!DC$13,'Jrnl Exp ~ Dép'!DC$14)</f>
        <v>0</v>
      </c>
      <c r="G146" s="1574"/>
      <c r="H146" s="202"/>
      <c r="I146" s="1205">
        <f>'Jrnl Exp ~ Dép'!CT$516</f>
        <v>0</v>
      </c>
      <c r="J146" s="1213">
        <f t="shared" si="9"/>
        <v>0</v>
      </c>
      <c r="L146" s="21"/>
    </row>
    <row r="147" spans="2:12" s="12" customFormat="1" ht="33" customHeight="1" thickTop="1" thickBot="1" x14ac:dyDescent="0.2">
      <c r="B147" s="1578"/>
      <c r="C147" s="541">
        <f>'Jrnl Exp ~ Dép'!CU$6</f>
        <v>5690</v>
      </c>
      <c r="D147" s="1574"/>
      <c r="E147" s="542" t="str">
        <f>+'Jrnl Exp ~ Dép'!CU$8</f>
        <v>Disponible ~ Available</v>
      </c>
      <c r="F147" s="538">
        <f>IF($K$1=2,'Jrnl Exp ~ Dép'!DD$13,'Jrnl Exp ~ Dép'!DD$14)</f>
        <v>0</v>
      </c>
      <c r="G147" s="1574"/>
      <c r="H147" s="203"/>
      <c r="I147" s="1204">
        <f>'Jrnl Exp ~ Dép'!CU$516</f>
        <v>0</v>
      </c>
      <c r="J147" s="1214">
        <f t="shared" si="9"/>
        <v>0</v>
      </c>
      <c r="L147" s="21"/>
    </row>
    <row r="148" spans="2:12" s="12" customFormat="1" ht="33" customHeight="1" thickTop="1" thickBot="1" x14ac:dyDescent="0.2">
      <c r="B148" s="1576" t="str">
        <f>CONCATENATE('Jrnl Exp ~ Dép'!CV4," - ",'Jrnl Exp ~ Dép'!CV5)</f>
        <v>5700 - Expenses - Other Fundraising</v>
      </c>
      <c r="C148" s="522">
        <f>'Jrnl Exp ~ Dép'!CV$6</f>
        <v>5710</v>
      </c>
      <c r="D148" s="1574"/>
      <c r="E148" s="523" t="str">
        <f>+'Jrnl Exp ~ Dép'!CV$8</f>
        <v>Disponible ~ Available</v>
      </c>
      <c r="F148" s="524">
        <f>IF($K$1=2,'Jrnl Exp ~ Dép'!CV$13,'Jrnl Exp ~ Dép'!CV$14)</f>
        <v>0</v>
      </c>
      <c r="G148" s="1574"/>
      <c r="H148" s="200"/>
      <c r="I148" s="1202">
        <f>'Jrnl Exp ~ Dép'!CV$516</f>
        <v>0</v>
      </c>
      <c r="J148" s="1211">
        <f t="shared" si="9"/>
        <v>0</v>
      </c>
      <c r="L148" s="21"/>
    </row>
    <row r="149" spans="2:12" s="566" customFormat="1" ht="33" customHeight="1" thickTop="1" thickBot="1" x14ac:dyDescent="0.2">
      <c r="B149" s="1577"/>
      <c r="C149" s="147">
        <f>'Jrnl Exp ~ Dép'!CW$6</f>
        <v>5720</v>
      </c>
      <c r="D149" s="1574"/>
      <c r="E149" s="501" t="str">
        <f>+'Jrnl Exp ~ Dép'!CW$8</f>
        <v>Disponible ~ Available</v>
      </c>
      <c r="F149" s="540">
        <f>IF($K$1=2,'Jrnl Exp ~ Dép'!CW$13,'Jrnl Exp ~ Dép'!CW$14)</f>
        <v>0</v>
      </c>
      <c r="G149" s="1574"/>
      <c r="H149" s="202"/>
      <c r="I149" s="1205">
        <f>'Jrnl Exp ~ Dép'!CW$516</f>
        <v>0</v>
      </c>
      <c r="J149" s="1213">
        <f t="shared" si="9"/>
        <v>0</v>
      </c>
      <c r="L149" s="21"/>
    </row>
    <row r="150" spans="2:12" s="12" customFormat="1" ht="33" customHeight="1" thickTop="1" thickBot="1" x14ac:dyDescent="0.2">
      <c r="B150" s="1577"/>
      <c r="C150" s="147">
        <f>'Jrnl Exp ~ Dép'!CX$6</f>
        <v>5730</v>
      </c>
      <c r="D150" s="1574"/>
      <c r="E150" s="501" t="str">
        <f>+'Jrnl Exp ~ Dép'!CX$8</f>
        <v>Disponible ~ Available</v>
      </c>
      <c r="F150" s="540">
        <f>IF($K$1=2,'Jrnl Exp ~ Dép'!CX13,'Jrnl Exp ~ Dép'!CX$14)</f>
        <v>0</v>
      </c>
      <c r="G150" s="1574"/>
      <c r="H150" s="202"/>
      <c r="I150" s="1205">
        <f>'Jrnl Exp ~ Dép'!CX$516</f>
        <v>0</v>
      </c>
      <c r="J150" s="1213">
        <f t="shared" si="9"/>
        <v>0</v>
      </c>
      <c r="L150" s="21"/>
    </row>
    <row r="151" spans="2:12" s="12" customFormat="1" ht="33" customHeight="1" thickTop="1" thickBot="1" x14ac:dyDescent="0.2">
      <c r="B151" s="1577"/>
      <c r="C151" s="147">
        <f>'Jrnl Exp ~ Dép'!CY$6</f>
        <v>5740</v>
      </c>
      <c r="D151" s="1574"/>
      <c r="E151" s="501" t="str">
        <f>+'Jrnl Exp ~ Dép'!CY$8</f>
        <v>Disponible ~ Available</v>
      </c>
      <c r="F151" s="540">
        <f>IF($K$1=2,'Jrnl Exp ~ Dép'!CY$13,'Jrnl Exp ~ Dép'!CY$14)</f>
        <v>0</v>
      </c>
      <c r="G151" s="1574"/>
      <c r="H151" s="202"/>
      <c r="I151" s="1205">
        <f>'Jrnl Exp ~ Dép'!CY$516</f>
        <v>0</v>
      </c>
      <c r="J151" s="1213">
        <f t="shared" si="9"/>
        <v>0</v>
      </c>
      <c r="L151" s="21"/>
    </row>
    <row r="152" spans="2:12" s="12" customFormat="1" ht="33" customHeight="1" thickTop="1" thickBot="1" x14ac:dyDescent="0.2">
      <c r="B152" s="1577"/>
      <c r="C152" s="147">
        <f>'Jrnl Exp ~ Dép'!CZ$6</f>
        <v>5750</v>
      </c>
      <c r="D152" s="1574"/>
      <c r="E152" s="501" t="str">
        <f>+'Jrnl Exp ~ Dép'!CZ$8</f>
        <v>Disponible ~ Available</v>
      </c>
      <c r="F152" s="540">
        <f>IF($K$1=2,'Jrnl Exp ~ Dép'!CZ$13,'Jrnl Exp ~ Dép'!CZ$14)</f>
        <v>0</v>
      </c>
      <c r="G152" s="1574"/>
      <c r="H152" s="202"/>
      <c r="I152" s="1205">
        <f>'Jrnl Exp ~ Dép'!CZ$516</f>
        <v>0</v>
      </c>
      <c r="J152" s="1213">
        <f t="shared" si="9"/>
        <v>0</v>
      </c>
      <c r="L152" s="21"/>
    </row>
    <row r="153" spans="2:12" s="12" customFormat="1" ht="33" customHeight="1" thickTop="1" thickBot="1" x14ac:dyDescent="0.2">
      <c r="B153" s="1577"/>
      <c r="C153" s="147">
        <f>'Jrnl Exp ~ Dép'!DA$6</f>
        <v>5760</v>
      </c>
      <c r="D153" s="1574"/>
      <c r="E153" s="501" t="str">
        <f>+'Jrnl Exp ~ Dép'!DA$8</f>
        <v>Disponible ~ Available</v>
      </c>
      <c r="F153" s="540">
        <f>IF($K$1=2,'Jrnl Exp ~ Dép'!DA$13,'Jrnl Exp ~ Dép'!DA$14)</f>
        <v>0</v>
      </c>
      <c r="G153" s="1574"/>
      <c r="H153" s="202"/>
      <c r="I153" s="1205">
        <f>'Jrnl Exp ~ Dép'!DA$516</f>
        <v>0</v>
      </c>
      <c r="J153" s="1213">
        <f t="shared" si="9"/>
        <v>0</v>
      </c>
      <c r="L153" s="21"/>
    </row>
    <row r="154" spans="2:12" s="12" customFormat="1" ht="33" customHeight="1" thickTop="1" thickBot="1" x14ac:dyDescent="0.2">
      <c r="B154" s="1577"/>
      <c r="C154" s="147">
        <f>'Jrnl Exp ~ Dép'!DB$6</f>
        <v>5770</v>
      </c>
      <c r="D154" s="1574"/>
      <c r="E154" s="501" t="str">
        <f>+'Jrnl Exp ~ Dép'!DB$8</f>
        <v>Disponible ~ Available</v>
      </c>
      <c r="F154" s="540">
        <f>IF($K$1=2,'Jrnl Exp ~ Dép'!DB$13,'Jrnl Exp ~ Dép'!DB$14)</f>
        <v>0</v>
      </c>
      <c r="G154" s="1574"/>
      <c r="H154" s="202"/>
      <c r="I154" s="1205">
        <f>'Jrnl Exp ~ Dép'!DB$516</f>
        <v>0</v>
      </c>
      <c r="J154" s="1213">
        <f t="shared" si="9"/>
        <v>0</v>
      </c>
      <c r="L154" s="21"/>
    </row>
    <row r="155" spans="2:12" s="12" customFormat="1" ht="33" customHeight="1" thickTop="1" thickBot="1" x14ac:dyDescent="0.2">
      <c r="B155" s="1577"/>
      <c r="C155" s="147">
        <f>'Jrnl Exp ~ Dép'!DC$6</f>
        <v>5780</v>
      </c>
      <c r="D155" s="1574"/>
      <c r="E155" s="501" t="str">
        <f>+'Jrnl Exp ~ Dép'!DC$8</f>
        <v>Disponible ~ Available</v>
      </c>
      <c r="F155" s="540">
        <f>IF($K$1=2,'Jrnl Exp ~ Dép'!DC$13,'Jrnl Exp ~ Dép'!DC$14)</f>
        <v>0</v>
      </c>
      <c r="G155" s="1574"/>
      <c r="H155" s="202"/>
      <c r="I155" s="1205">
        <f>'Jrnl Exp ~ Dép'!DC$516</f>
        <v>0</v>
      </c>
      <c r="J155" s="1213">
        <f t="shared" si="9"/>
        <v>0</v>
      </c>
      <c r="L155" s="21"/>
    </row>
    <row r="156" spans="2:12" s="12" customFormat="1" ht="33" customHeight="1" thickTop="1" thickBot="1" x14ac:dyDescent="0.2">
      <c r="B156" s="1578"/>
      <c r="C156" s="541">
        <f>'Jrnl Exp ~ Dép'!DD$6</f>
        <v>5790</v>
      </c>
      <c r="D156" s="1574"/>
      <c r="E156" s="542" t="str">
        <f>+'Jrnl Exp ~ Dép'!DD$8</f>
        <v>Disponible ~ Available</v>
      </c>
      <c r="F156" s="538">
        <f>IF($K$1=2,'Jrnl Exp ~ Dép'!DD$13,'Jrnl Exp ~ Dép'!DD$14)</f>
        <v>0</v>
      </c>
      <c r="G156" s="1574"/>
      <c r="H156" s="203"/>
      <c r="I156" s="1204">
        <f>'Jrnl Exp ~ Dép'!DD$516</f>
        <v>0</v>
      </c>
      <c r="J156" s="1214">
        <f t="shared" si="9"/>
        <v>0</v>
      </c>
      <c r="L156" s="21"/>
    </row>
    <row r="157" spans="2:12" s="12" customFormat="1" ht="33" customHeight="1" thickTop="1" thickBot="1" x14ac:dyDescent="0.2">
      <c r="B157" s="1576" t="str">
        <f>CONCATENATE('Jrnl Exp ~ Dép'!DE4," - ",'Jrnl Exp ~ Dép'!DE5)</f>
        <v>5800 - Other Expenses</v>
      </c>
      <c r="C157" s="522">
        <f>'Jrnl Exp ~ Dép'!DE$6</f>
        <v>5810</v>
      </c>
      <c r="D157" s="1574"/>
      <c r="E157" s="523" t="str">
        <f>+'Jrnl Exp ~ Dép'!DE$8</f>
        <v>Donations to other Qualified Donnees</v>
      </c>
      <c r="F157" s="567" t="str">
        <f>IF(K1=2,"Don à un autre organisme de bienfaisance enregistré","Donation to another Registered Charity")</f>
        <v>Donation to another Registered Charity</v>
      </c>
      <c r="G157" s="1574"/>
      <c r="H157" s="200"/>
      <c r="I157" s="1202">
        <f>'Jrnl Exp ~ Dép'!DE$516</f>
        <v>0</v>
      </c>
      <c r="J157" s="1211">
        <f t="shared" si="9"/>
        <v>0</v>
      </c>
      <c r="L157" s="21"/>
    </row>
    <row r="158" spans="2:12" s="12" customFormat="1" ht="33" customHeight="1" thickTop="1" thickBot="1" x14ac:dyDescent="0.2">
      <c r="B158" s="1577"/>
      <c r="C158" s="147">
        <f>'Jrnl Exp ~ Dép'!DF$6</f>
        <v>5820</v>
      </c>
      <c r="D158" s="1574"/>
      <c r="E158" s="501" t="str">
        <f>+'Jrnl Exp ~ Dép'!DF$8</f>
        <v>Bad Debts</v>
      </c>
      <c r="F158" s="535"/>
      <c r="G158" s="1574"/>
      <c r="H158" s="202"/>
      <c r="I158" s="1205">
        <f>'Jrnl Exp ~ Dép'!DF$516</f>
        <v>0</v>
      </c>
      <c r="J158" s="1213">
        <f t="shared" si="9"/>
        <v>0</v>
      </c>
      <c r="L158" s="21"/>
    </row>
    <row r="159" spans="2:12" s="12" customFormat="1" ht="33" customHeight="1" thickTop="1" thickBot="1" x14ac:dyDescent="0.2">
      <c r="B159" s="1577"/>
      <c r="C159" s="147">
        <f>'Jrnl Exp ~ Dép'!DG$6</f>
        <v>5830</v>
      </c>
      <c r="D159" s="1574"/>
      <c r="E159" s="501" t="str">
        <f>+'Jrnl Exp ~ Dép'!DG$8</f>
        <v>Capital Losses</v>
      </c>
      <c r="F159" s="535">
        <f>IF($K$1=2,'Jrnl Exp ~ Dép'!DG$13,'Jrnl Exp ~ Dép'!DG$14)</f>
        <v>0</v>
      </c>
      <c r="G159" s="1574"/>
      <c r="H159" s="202"/>
      <c r="I159" s="1205">
        <f>'Jrnl Exp ~ Dép'!DG$516</f>
        <v>0</v>
      </c>
      <c r="J159" s="1213">
        <f t="shared" si="9"/>
        <v>0</v>
      </c>
      <c r="L159" s="21"/>
    </row>
    <row r="160" spans="2:12" s="12" customFormat="1" ht="33" customHeight="1" thickTop="1" thickBot="1" x14ac:dyDescent="0.2">
      <c r="B160" s="1577"/>
      <c r="C160" s="147">
        <f>'Jrnl Exp ~ Dép'!DH$6</f>
        <v>5840</v>
      </c>
      <c r="D160" s="1574"/>
      <c r="E160" s="501" t="str">
        <f>+'Jrnl Exp ~ Dép'!DH$8</f>
        <v>Purchase of Sqn Logo Items</v>
      </c>
      <c r="F160" s="535">
        <f>IF($K$1=2,'Jrnl Exp ~ Dép'!DH$13,'Jrnl Exp ~ Dép'!DH$14)</f>
        <v>0</v>
      </c>
      <c r="G160" s="1574"/>
      <c r="H160" s="202"/>
      <c r="I160" s="1205">
        <f>'Jrnl Exp ~ Dép'!DH$516</f>
        <v>0</v>
      </c>
      <c r="J160" s="1213">
        <f t="shared" si="9"/>
        <v>0</v>
      </c>
      <c r="L160" s="21"/>
    </row>
    <row r="161" spans="2:12" s="12" customFormat="1" ht="33" customHeight="1" thickTop="1" thickBot="1" x14ac:dyDescent="0.2">
      <c r="B161" s="1577"/>
      <c r="C161" s="147">
        <f>'Jrnl Exp ~ Dép'!DI$6</f>
        <v>5850</v>
      </c>
      <c r="D161" s="1574"/>
      <c r="E161" s="501" t="str">
        <f>+'Jrnl Exp ~ Dép'!DI$8</f>
        <v>Purchase for Canteen</v>
      </c>
      <c r="F161" s="535">
        <f>IF($K$1=2,'Jrnl Exp ~ Dép'!DI$13,'Jrnl Exp ~ Dép'!DI$14)</f>
        <v>0</v>
      </c>
      <c r="G161" s="1574"/>
      <c r="H161" s="202"/>
      <c r="I161" s="1205">
        <f>'Jrnl Exp ~ Dép'!DI$516</f>
        <v>0</v>
      </c>
      <c r="J161" s="1213">
        <f t="shared" si="9"/>
        <v>0</v>
      </c>
      <c r="L161" s="21"/>
    </row>
    <row r="162" spans="2:12" s="12" customFormat="1" ht="33" customHeight="1" thickTop="1" thickBot="1" x14ac:dyDescent="0.2">
      <c r="B162" s="1577"/>
      <c r="C162" s="147">
        <f>'Jrnl Exp ~ Dép'!DJ$6</f>
        <v>5860</v>
      </c>
      <c r="D162" s="1574"/>
      <c r="E162" s="501" t="str">
        <f>+'Jrnl Exp ~ Dép'!DJ$8</f>
        <v>Expenses from previous years</v>
      </c>
      <c r="F162" s="535">
        <f>IF($K$1=2,'Jrnl Exp ~ Dép'!DJ$13,'Jrnl Exp ~ Dép'!DJ$14)</f>
        <v>0</v>
      </c>
      <c r="G162" s="1574"/>
      <c r="H162" s="202"/>
      <c r="I162" s="1205">
        <f>'Jrnl Exp ~ Dép'!DJ$516</f>
        <v>0</v>
      </c>
      <c r="J162" s="1213">
        <f t="shared" si="9"/>
        <v>0</v>
      </c>
      <c r="L162" s="21"/>
    </row>
    <row r="163" spans="2:12" s="12" customFormat="1" ht="33" customHeight="1" thickTop="1" thickBot="1" x14ac:dyDescent="0.2">
      <c r="B163" s="1577"/>
      <c r="C163" s="147">
        <f>'Jrnl Exp ~ Dép'!DK$6</f>
        <v>5870</v>
      </c>
      <c r="D163" s="1574"/>
      <c r="E163" s="501" t="str">
        <f>+'Jrnl Exp ~ Dép'!DK$8</f>
        <v>Disponible ~ Available</v>
      </c>
      <c r="F163" s="535">
        <f>IF($K$1=2,'Jrnl Exp ~ Dép'!DK$13,'Jrnl Exp ~ Dép'!DK$14)</f>
        <v>0</v>
      </c>
      <c r="G163" s="1574"/>
      <c r="H163" s="202"/>
      <c r="I163" s="1205">
        <f>'Jrnl Exp ~ Dép'!DK$516</f>
        <v>0</v>
      </c>
      <c r="J163" s="1213">
        <f t="shared" si="9"/>
        <v>0</v>
      </c>
      <c r="L163" s="21"/>
    </row>
    <row r="164" spans="2:12" s="12" customFormat="1" ht="33" customHeight="1" thickTop="1" thickBot="1" x14ac:dyDescent="0.2">
      <c r="B164" s="1578"/>
      <c r="C164" s="541">
        <f>'Jrnl Exp ~ Dép'!DL$6</f>
        <v>5880</v>
      </c>
      <c r="D164" s="1574"/>
      <c r="E164" s="537" t="str">
        <f>+'Jrnl Exp ~ Dép'!DL$8</f>
        <v>Other Expenses (Must not be Excessive)</v>
      </c>
      <c r="F164" s="538"/>
      <c r="G164" s="1574"/>
      <c r="H164" s="205"/>
      <c r="I164" s="1222">
        <f>'Jrnl Exp ~ Dép'!DL$516</f>
        <v>0</v>
      </c>
      <c r="J164" s="1223">
        <f t="shared" si="9"/>
        <v>0</v>
      </c>
      <c r="L164" s="21"/>
    </row>
    <row r="165" spans="2:12" s="12" customFormat="1" ht="6.75" customHeight="1" thickTop="1" x14ac:dyDescent="0.15">
      <c r="B165" s="25"/>
      <c r="C165" s="27"/>
      <c r="D165" s="27"/>
      <c r="E165" s="568"/>
      <c r="F165" s="24"/>
      <c r="G165" s="24"/>
      <c r="H165" s="543"/>
      <c r="I165" s="569"/>
      <c r="J165" s="543"/>
    </row>
    <row r="166" spans="2:12" s="12" customFormat="1" ht="18.75" customHeight="1" x14ac:dyDescent="0.15">
      <c r="B166" s="25"/>
      <c r="C166" s="27"/>
      <c r="D166" s="27"/>
      <c r="E166" s="1575" t="str">
        <f>IF(K1=2,"Sous-Total","Sub-Total")</f>
        <v>Sub-Total</v>
      </c>
      <c r="F166" s="1575"/>
      <c r="G166" s="1575"/>
      <c r="H166" s="571">
        <f>SUM(H64:H90,H95,H100:H123,H131:H164)</f>
        <v>0</v>
      </c>
      <c r="I166" s="571">
        <f>SUM(I64:I90,I95,I100:I123,I131:I164)</f>
        <v>0</v>
      </c>
      <c r="J166" s="571">
        <f>IF($I166=0,0,$H166-$I166)</f>
        <v>0</v>
      </c>
    </row>
    <row r="167" spans="2:12" s="1" customFormat="1" ht="6" customHeight="1" x14ac:dyDescent="0.15"/>
    <row r="168" spans="2:12" s="1" customFormat="1" ht="23.25" customHeight="1" x14ac:dyDescent="0.15"/>
    <row r="169" spans="2:12" s="1" customFormat="1" ht="24" customHeight="1" x14ac:dyDescent="0.15"/>
    <row r="170" spans="2:12" s="1" customFormat="1" ht="12.75" customHeight="1" x14ac:dyDescent="0.15"/>
    <row r="171" spans="2:12" s="1" customFormat="1" ht="43.5" customHeight="1" x14ac:dyDescent="0.15"/>
    <row r="172" spans="2:12" s="1" customFormat="1" ht="24.75" customHeight="1" x14ac:dyDescent="0.15"/>
    <row r="173" spans="2:12" s="1" customFormat="1" ht="24.75" customHeight="1" x14ac:dyDescent="0.15"/>
    <row r="174" spans="2:12" s="1" customFormat="1" ht="24.75" customHeight="1" x14ac:dyDescent="0.15"/>
    <row r="175" spans="2:12" s="1" customFormat="1" ht="24.75" customHeight="1" x14ac:dyDescent="0.15"/>
    <row r="176" spans="2:12" s="1" customFormat="1" ht="24.75" customHeight="1" x14ac:dyDescent="0.15"/>
    <row r="177" s="1" customFormat="1" ht="24.75" customHeight="1" x14ac:dyDescent="0.15"/>
    <row r="178" s="1" customFormat="1" ht="24.75" customHeight="1" x14ac:dyDescent="0.15"/>
    <row r="179" s="1" customFormat="1" ht="24.75" customHeight="1" x14ac:dyDescent="0.15"/>
    <row r="180" s="1" customFormat="1" ht="24.75" customHeight="1" x14ac:dyDescent="0.15"/>
    <row r="181" s="1" customFormat="1" ht="24.75" customHeight="1" x14ac:dyDescent="0.15"/>
    <row r="182" s="1" customFormat="1" ht="24.75" customHeight="1" x14ac:dyDescent="0.15"/>
    <row r="183" s="1" customFormat="1" ht="24.75" customHeight="1" x14ac:dyDescent="0.15"/>
    <row r="184" s="1" customFormat="1" ht="24.75" customHeight="1" x14ac:dyDescent="0.15"/>
    <row r="185" s="1" customFormat="1" ht="24.75" customHeight="1" x14ac:dyDescent="0.15"/>
    <row r="186" s="1" customFormat="1" ht="24.75" customHeight="1" x14ac:dyDescent="0.15"/>
    <row r="187" s="1" customFormat="1" ht="24.75" customHeight="1" x14ac:dyDescent="0.15"/>
    <row r="188" s="1" customFormat="1" ht="24.75" customHeight="1" x14ac:dyDescent="0.15"/>
    <row r="189" s="1" customFormat="1" ht="24.75" customHeight="1" x14ac:dyDescent="0.15"/>
    <row r="190" s="1" customFormat="1" ht="24.75" customHeight="1" x14ac:dyDescent="0.15"/>
    <row r="191" s="1" customFormat="1" ht="24.75" customHeight="1" x14ac:dyDescent="0.15"/>
    <row r="192" s="1" customFormat="1" ht="24.75" customHeight="1" x14ac:dyDescent="0.15"/>
    <row r="193" s="1" customFormat="1" ht="24.75" customHeight="1" x14ac:dyDescent="0.15"/>
    <row r="194" s="1" customFormat="1" ht="24.75" customHeight="1" x14ac:dyDescent="0.15"/>
    <row r="195" s="1" customFormat="1" ht="24.75" customHeight="1" x14ac:dyDescent="0.15"/>
    <row r="196" s="1" customFormat="1" ht="24.75" customHeight="1" x14ac:dyDescent="0.15"/>
    <row r="197" s="1" customFormat="1" ht="24.75" customHeight="1" x14ac:dyDescent="0.15"/>
    <row r="198" s="1" customFormat="1" ht="24.75" customHeight="1" x14ac:dyDescent="0.15"/>
    <row r="199" s="1" customFormat="1" ht="24.75" customHeight="1" x14ac:dyDescent="0.15"/>
    <row r="200" s="1" customFormat="1" ht="24.75" customHeight="1" x14ac:dyDescent="0.15"/>
    <row r="201" s="1" customFormat="1" ht="24.75" customHeight="1" x14ac:dyDescent="0.15"/>
    <row r="202" s="1" customFormat="1" ht="24.75" customHeight="1" x14ac:dyDescent="0.15"/>
    <row r="203" s="1" customFormat="1" ht="24.75" customHeight="1" x14ac:dyDescent="0.15"/>
    <row r="204" s="1" customFormat="1" ht="24.75" customHeight="1" x14ac:dyDescent="0.15"/>
    <row r="205" s="1" customFormat="1" ht="24.75" customHeight="1" x14ac:dyDescent="0.15"/>
    <row r="206" s="1" customFormat="1" ht="24.75" customHeight="1" x14ac:dyDescent="0.15"/>
    <row r="207" s="1" customFormat="1" ht="24.75" customHeight="1" x14ac:dyDescent="0.15"/>
    <row r="208" s="1" customFormat="1" ht="24.75" customHeight="1" x14ac:dyDescent="0.15"/>
    <row r="209" spans="8:10" ht="24.75" customHeight="1" x14ac:dyDescent="0.15"/>
    <row r="210" spans="8:10" ht="24.75" customHeight="1" x14ac:dyDescent="0.15"/>
    <row r="211" spans="8:10" s="1" customFormat="1" ht="24.75" customHeight="1" x14ac:dyDescent="0.15">
      <c r="H211" s="572"/>
      <c r="I211" s="198"/>
      <c r="J211" s="572"/>
    </row>
    <row r="212" spans="8:10" s="1" customFormat="1" ht="24.75" customHeight="1" x14ac:dyDescent="0.15">
      <c r="H212" s="572"/>
      <c r="I212" s="198"/>
      <c r="J212" s="572"/>
    </row>
    <row r="213" spans="8:10" s="1" customFormat="1" ht="24.75" customHeight="1" x14ac:dyDescent="0.15">
      <c r="H213" s="572"/>
      <c r="I213" s="198"/>
      <c r="J213" s="572"/>
    </row>
    <row r="214" spans="8:10" s="1" customFormat="1" ht="24.75" customHeight="1" x14ac:dyDescent="0.15">
      <c r="H214" s="572"/>
      <c r="I214" s="198"/>
      <c r="J214" s="572"/>
    </row>
    <row r="215" spans="8:10" s="1" customFormat="1" ht="24.75" customHeight="1" x14ac:dyDescent="0.15">
      <c r="H215" s="572"/>
      <c r="I215" s="198"/>
      <c r="J215" s="572"/>
    </row>
    <row r="216" spans="8:10" s="1" customFormat="1" ht="24.75" customHeight="1" x14ac:dyDescent="0.15">
      <c r="H216" s="572"/>
      <c r="I216" s="198"/>
      <c r="J216" s="572"/>
    </row>
    <row r="217" spans="8:10" s="1" customFormat="1" ht="24.75" customHeight="1" x14ac:dyDescent="0.15">
      <c r="H217" s="572"/>
      <c r="I217" s="198"/>
      <c r="J217" s="572"/>
    </row>
    <row r="218" spans="8:10" s="1" customFormat="1" ht="24.75" customHeight="1" x14ac:dyDescent="0.15">
      <c r="H218" s="572"/>
    </row>
    <row r="219" spans="8:10" s="1" customFormat="1" ht="24.75" customHeight="1" x14ac:dyDescent="0.15">
      <c r="H219" s="572"/>
    </row>
    <row r="220" spans="8:10" s="1" customFormat="1" ht="18.75" customHeight="1" x14ac:dyDescent="0.15">
      <c r="H220" s="572"/>
    </row>
    <row r="221" spans="8:10" s="1" customFormat="1" ht="18.75" customHeight="1" x14ac:dyDescent="0.15">
      <c r="H221" s="572"/>
    </row>
    <row r="222" spans="8:10" s="1" customFormat="1" ht="18.75" customHeight="1" x14ac:dyDescent="0.15">
      <c r="H222" s="572"/>
    </row>
    <row r="223" spans="8:10" s="1" customFormat="1" ht="18.75" customHeight="1" x14ac:dyDescent="0.15">
      <c r="H223" s="572"/>
    </row>
    <row r="224" spans="8:10" s="1" customFormat="1" ht="18.75" customHeight="1" x14ac:dyDescent="0.15">
      <c r="H224" s="572"/>
    </row>
    <row r="225" spans="8:8" s="1" customFormat="1" ht="18.75" customHeight="1" x14ac:dyDescent="0.15">
      <c r="H225" s="572"/>
    </row>
    <row r="226" spans="8:8" s="1" customFormat="1" ht="18.75" customHeight="1" x14ac:dyDescent="0.15">
      <c r="H226" s="572"/>
    </row>
    <row r="227" spans="8:8" s="1" customFormat="1" ht="18.75" customHeight="1" x14ac:dyDescent="0.15">
      <c r="H227" s="572"/>
    </row>
    <row r="228" spans="8:8" s="1" customFormat="1" ht="18.75" customHeight="1" x14ac:dyDescent="0.15">
      <c r="H228" s="572"/>
    </row>
    <row r="229" spans="8:8" s="1" customFormat="1" ht="23.25" customHeight="1" x14ac:dyDescent="0.15">
      <c r="H229" s="572"/>
    </row>
    <row r="230" spans="8:8" s="1" customFormat="1" ht="23.25" customHeight="1" x14ac:dyDescent="0.15">
      <c r="H230" s="572"/>
    </row>
    <row r="231" spans="8:8" s="1" customFormat="1" ht="23.25" customHeight="1" x14ac:dyDescent="0.15">
      <c r="H231" s="572"/>
    </row>
    <row r="232" spans="8:8" s="1" customFormat="1" ht="23.25" customHeight="1" x14ac:dyDescent="0.15">
      <c r="H232" s="572"/>
    </row>
    <row r="233" spans="8:8" s="1" customFormat="1" ht="23.25" customHeight="1" x14ac:dyDescent="0.15">
      <c r="H233" s="572"/>
    </row>
    <row r="234" spans="8:8" s="1" customFormat="1" ht="23.25" customHeight="1" x14ac:dyDescent="0.15">
      <c r="H234" s="572"/>
    </row>
    <row r="235" spans="8:8" s="1" customFormat="1" ht="23.25" customHeight="1" x14ac:dyDescent="0.15">
      <c r="H235" s="572"/>
    </row>
    <row r="236" spans="8:8" s="1" customFormat="1" ht="23.25" customHeight="1" x14ac:dyDescent="0.15">
      <c r="H236" s="572"/>
    </row>
    <row r="237" spans="8:8" s="1" customFormat="1" ht="23.25" customHeight="1" x14ac:dyDescent="0.15">
      <c r="H237" s="572"/>
    </row>
    <row r="238" spans="8:8" s="1" customFormat="1" ht="23.25" customHeight="1" x14ac:dyDescent="0.15">
      <c r="H238" s="572"/>
    </row>
    <row r="239" spans="8:8" s="1" customFormat="1" ht="23.25" customHeight="1" x14ac:dyDescent="0.15">
      <c r="H239" s="572"/>
    </row>
    <row r="240" spans="8:8" s="1" customFormat="1" x14ac:dyDescent="0.15">
      <c r="H240" s="572"/>
    </row>
    <row r="241" spans="8:8" s="1" customFormat="1" x14ac:dyDescent="0.15">
      <c r="H241" s="572"/>
    </row>
    <row r="242" spans="8:8" s="1" customFormat="1" x14ac:dyDescent="0.15">
      <c r="H242" s="572"/>
    </row>
    <row r="243" spans="8:8" s="1" customFormat="1" x14ac:dyDescent="0.15">
      <c r="H243" s="572"/>
    </row>
    <row r="244" spans="8:8" s="1" customFormat="1" x14ac:dyDescent="0.15">
      <c r="H244" s="572"/>
    </row>
    <row r="245" spans="8:8" s="1" customFormat="1" x14ac:dyDescent="0.15">
      <c r="H245" s="572"/>
    </row>
    <row r="246" spans="8:8" s="1" customFormat="1" x14ac:dyDescent="0.15">
      <c r="H246" s="572"/>
    </row>
    <row r="247" spans="8:8" s="1" customFormat="1" x14ac:dyDescent="0.15">
      <c r="H247" s="572"/>
    </row>
    <row r="248" spans="8:8" s="1" customFormat="1" x14ac:dyDescent="0.15">
      <c r="H248" s="572"/>
    </row>
    <row r="249" spans="8:8" s="1" customFormat="1" x14ac:dyDescent="0.15">
      <c r="H249" s="572"/>
    </row>
    <row r="250" spans="8:8" s="1" customFormat="1" x14ac:dyDescent="0.15">
      <c r="H250" s="572"/>
    </row>
    <row r="251" spans="8:8" s="1" customFormat="1" x14ac:dyDescent="0.15">
      <c r="H251" s="572"/>
    </row>
    <row r="252" spans="8:8" s="1" customFormat="1" x14ac:dyDescent="0.15">
      <c r="H252" s="572"/>
    </row>
  </sheetData>
  <sheetProtection algorithmName="SHA-512" hashValue="TfkLs/MyN7v+6lHZgsQ1oxSOMKpOHnHPS/NSK6m3id2sdVIYBKlgas4fq2AO1+6z2gRcZjijssVuK00fbD/q7w==" saltValue="7HDCzHH6JLkZsDRNF+kwdw==" spinCount="100000" sheet="1" objects="1" scenarios="1" selectLockedCells="1"/>
  <mergeCells count="61">
    <mergeCell ref="G131:G138"/>
    <mergeCell ref="I4:J6"/>
    <mergeCell ref="D100:D112"/>
    <mergeCell ref="D113:D122"/>
    <mergeCell ref="C123:C130"/>
    <mergeCell ref="H91:H94"/>
    <mergeCell ref="H96:H99"/>
    <mergeCell ref="G100:G112"/>
    <mergeCell ref="H124:H130"/>
    <mergeCell ref="B6:C6"/>
    <mergeCell ref="B10:B22"/>
    <mergeCell ref="D10:D11"/>
    <mergeCell ref="G10:G11"/>
    <mergeCell ref="C12:C16"/>
    <mergeCell ref="H13:H16"/>
    <mergeCell ref="D17:D22"/>
    <mergeCell ref="B1:J1"/>
    <mergeCell ref="M1:N1"/>
    <mergeCell ref="B2:J2"/>
    <mergeCell ref="L2:M2"/>
    <mergeCell ref="B3:J3"/>
    <mergeCell ref="L3:M3"/>
    <mergeCell ref="L6:O7"/>
    <mergeCell ref="B8:J8"/>
    <mergeCell ref="L8:M8"/>
    <mergeCell ref="N8:O8"/>
    <mergeCell ref="B9:J9"/>
    <mergeCell ref="G17:G22"/>
    <mergeCell ref="B23:B31"/>
    <mergeCell ref="D23:D31"/>
    <mergeCell ref="G23:G31"/>
    <mergeCell ref="B32:B40"/>
    <mergeCell ref="D32:D40"/>
    <mergeCell ref="G32:G40"/>
    <mergeCell ref="B41:B49"/>
    <mergeCell ref="D41:D49"/>
    <mergeCell ref="G41:G49"/>
    <mergeCell ref="B50:B59"/>
    <mergeCell ref="D50:D59"/>
    <mergeCell ref="G50:G59"/>
    <mergeCell ref="E61:G61"/>
    <mergeCell ref="B63:J63"/>
    <mergeCell ref="B64:B89"/>
    <mergeCell ref="D64:D89"/>
    <mergeCell ref="G64:G89"/>
    <mergeCell ref="B90:B112"/>
    <mergeCell ref="D157:D164"/>
    <mergeCell ref="G157:G164"/>
    <mergeCell ref="E166:G166"/>
    <mergeCell ref="D139:D147"/>
    <mergeCell ref="G139:G147"/>
    <mergeCell ref="D148:D156"/>
    <mergeCell ref="G148:G156"/>
    <mergeCell ref="B157:B164"/>
    <mergeCell ref="B113:B122"/>
    <mergeCell ref="B123:B138"/>
    <mergeCell ref="B139:B147"/>
    <mergeCell ref="B148:B156"/>
    <mergeCell ref="D131:D138"/>
    <mergeCell ref="C90:C94"/>
    <mergeCell ref="C95:C99"/>
  </mergeCells>
  <conditionalFormatting sqref="E10:E12 E17:E59 E64:E90 E100:E123 E131:E164">
    <cfRule type="cellIs" dxfId="41" priority="1" operator="equal">
      <formula>""""""</formula>
    </cfRule>
  </conditionalFormatting>
  <conditionalFormatting sqref="F17:F59 F10:F11 F64:F89 F139:F164">
    <cfRule type="cellIs" dxfId="40" priority="28" operator="equal">
      <formula>0</formula>
    </cfRule>
  </conditionalFormatting>
  <conditionalFormatting sqref="F23:F40">
    <cfRule type="cellIs" dxfId="39" priority="23" operator="equal">
      <formula>0</formula>
    </cfRule>
  </conditionalFormatting>
  <conditionalFormatting sqref="F100:F122">
    <cfRule type="cellIs" dxfId="38" priority="7" operator="equal">
      <formula>0</formula>
    </cfRule>
  </conditionalFormatting>
  <conditionalFormatting sqref="G4:G5">
    <cfRule type="expression" dxfId="37" priority="22">
      <formula>M6="Y"</formula>
    </cfRule>
  </conditionalFormatting>
  <conditionalFormatting sqref="H12:J12 H90:J90 H95:J95 H123:J123">
    <cfRule type="cellIs" dxfId="36" priority="3" operator="equal">
      <formula>0</formula>
    </cfRule>
  </conditionalFormatting>
  <conditionalFormatting sqref="I10:J11 I13:J59 I64:J89 I91:J94 I96:J122 I124:J164">
    <cfRule type="cellIs" dxfId="35" priority="2" operator="equal">
      <formula>0</formula>
    </cfRule>
  </conditionalFormatting>
  <conditionalFormatting sqref="L6">
    <cfRule type="expression" dxfId="34" priority="21">
      <formula>L1="Y"</formula>
    </cfRule>
  </conditionalFormatting>
  <dataValidations count="1">
    <dataValidation type="date" operator="greaterThan" allowBlank="1" showInputMessage="1" showErrorMessage="1" sqref="G6" xr:uid="{00000000-0002-0000-0600-000000000000}">
      <formula1>42917</formula1>
      <formula2>0</formula2>
    </dataValidation>
  </dataValidations>
  <printOptions horizontalCentered="1"/>
  <pageMargins left="0.35416666666666702" right="0.15763888888888899" top="0.22986111111111099" bottom="0.31458333333333299" header="0.511811023622047" footer="0.118055555555556"/>
  <pageSetup scale="48" fitToHeight="0" orientation="portrait" horizontalDpi="300" verticalDpi="300" r:id="rId1"/>
  <headerFooter>
    <oddFooter>&amp;L&amp;D&amp;R&amp;P/&amp;N</oddFooter>
  </headerFooter>
  <rowBreaks count="3" manualBreakCount="3">
    <brk id="40" max="16383" man="1"/>
    <brk id="61" max="9" man="1"/>
    <brk id="131"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DAB8-FF03-4C03-8B43-510C291E8E6D}">
  <sheetPr codeName="Sheet8">
    <tabColor theme="5" tint="-0.499984740745262"/>
    <pageSetUpPr fitToPage="1"/>
  </sheetPr>
  <dimension ref="A1:AMJ63"/>
  <sheetViews>
    <sheetView showGridLines="0" zoomScale="85" zoomScaleNormal="85" zoomScalePageLayoutView="85" workbookViewId="0">
      <pane xSplit="4" ySplit="7" topLeftCell="Q8" activePane="bottomRight" state="frozen"/>
      <selection pane="topRight" activeCell="E1" sqref="E1"/>
      <selection pane="bottomLeft" activeCell="A14" sqref="A14"/>
      <selection pane="bottomRight" activeCell="W17" sqref="W17"/>
    </sheetView>
  </sheetViews>
  <sheetFormatPr baseColWidth="10" defaultColWidth="11.5" defaultRowHeight="13" x14ac:dyDescent="0.15"/>
  <cols>
    <col min="1" max="1" width="3.1640625" style="187" customWidth="1"/>
    <col min="2" max="2" width="10.33203125" style="187" customWidth="1"/>
    <col min="3" max="4" width="20.33203125" style="187" customWidth="1"/>
    <col min="5" max="5" width="29.6640625" style="187" customWidth="1"/>
    <col min="6" max="6" width="15.6640625" style="187" customWidth="1"/>
    <col min="7" max="7" width="29.6640625" style="187" customWidth="1"/>
    <col min="8" max="8" width="15.6640625" style="210" customWidth="1"/>
    <col min="9" max="9" width="29.6640625" style="210" customWidth="1"/>
    <col min="10" max="10" width="15.6640625" style="187" customWidth="1"/>
    <col min="11" max="11" width="29.6640625" style="187" customWidth="1"/>
    <col min="12" max="12" width="15.6640625" style="187" customWidth="1"/>
    <col min="13" max="13" width="29.6640625" style="187" customWidth="1"/>
    <col min="14" max="14" width="15.6640625" style="187" customWidth="1"/>
    <col min="15" max="15" width="29.6640625" style="187" customWidth="1"/>
    <col min="16" max="16" width="15.6640625" style="187" customWidth="1"/>
    <col min="17" max="21" width="20.33203125" style="187" customWidth="1"/>
    <col min="22" max="22" width="20.1640625" style="187" customWidth="1"/>
    <col min="23" max="24" width="15.5" style="187" customWidth="1"/>
    <col min="25" max="26" width="13.83203125" style="187" customWidth="1"/>
    <col min="27" max="27" width="6.33203125" style="187" customWidth="1"/>
    <col min="28" max="28" width="31.83203125" style="187" customWidth="1"/>
    <col min="29" max="29" width="1.5" style="187" customWidth="1"/>
    <col min="30" max="30" width="16.5" style="187" hidden="1" customWidth="1"/>
    <col min="31" max="31" width="16" style="187" hidden="1" customWidth="1"/>
    <col min="32" max="33" width="9.1640625" style="187" hidden="1" customWidth="1"/>
    <col min="34" max="267" width="9.1640625" style="187" customWidth="1"/>
    <col min="268" max="1024" width="11.5" style="187"/>
  </cols>
  <sheetData>
    <row r="1" spans="1:31" ht="33.75" customHeight="1" thickBot="1" x14ac:dyDescent="0.3">
      <c r="B1" s="1639" t="str">
        <f>IF(AD7=2,"Suivi des réclamations MDN","DND Claim Tracker")</f>
        <v>DND Claim Tracker</v>
      </c>
      <c r="C1" s="1639"/>
      <c r="D1" s="1639"/>
      <c r="E1" s="1639"/>
      <c r="F1" s="1639"/>
      <c r="G1" s="1639"/>
      <c r="H1" s="1639"/>
      <c r="I1" s="1639"/>
      <c r="J1" s="1639"/>
      <c r="K1" s="1639"/>
      <c r="L1" s="1639"/>
      <c r="M1" s="1639"/>
      <c r="N1" s="1639"/>
      <c r="O1" s="1639"/>
      <c r="P1" s="1639"/>
      <c r="Q1" s="1640" t="str">
        <f>IF($AD$7=2,"RÉCLAMÉ MAIS PAS REMBOURSÉ","CLAIMED BUT NOT REIMBURSED")</f>
        <v>CLAIMED BUT NOT REIMBURSED</v>
      </c>
      <c r="R1" s="1641">
        <f>AD58</f>
        <v>0</v>
      </c>
    </row>
    <row r="2" spans="1:31" ht="43.5" customHeight="1" thickTop="1" thickBot="1" x14ac:dyDescent="0.2">
      <c r="B2" s="1598" t="str">
        <f>'Set up ~ Config'!B2:J2</f>
        <v xml:space="preserve">SSC </v>
      </c>
      <c r="C2" s="1598"/>
      <c r="D2" s="1598"/>
      <c r="E2" s="1598"/>
      <c r="F2" s="1598"/>
      <c r="G2" s="1598"/>
      <c r="H2" s="1598"/>
      <c r="I2" s="1598"/>
      <c r="J2" s="1598"/>
      <c r="K2" s="1598"/>
      <c r="L2" s="1598"/>
      <c r="M2" s="1598"/>
      <c r="N2" s="1598"/>
      <c r="O2" s="1598"/>
      <c r="P2" s="1598"/>
      <c r="Q2" s="1640"/>
      <c r="R2" s="1641"/>
      <c r="U2" s="1642" t="str">
        <f>IF($AD$7=2,AE6,AE5)</f>
        <v>The J8 Transfer Date is used to warn you that the reimbursement should be deposited after 30 days. Past this date, the next 5 colomns will turn red.</v>
      </c>
      <c r="V2" s="1642"/>
      <c r="W2" s="1642"/>
      <c r="X2" s="1642"/>
      <c r="Y2" s="1642"/>
      <c r="Z2" s="803"/>
      <c r="AA2" s="211" t="s">
        <v>40</v>
      </c>
      <c r="AB2" s="804" t="str">
        <f>IF($AD$7=2,"Inscrivez le nombre de jours après lequel vous voulez être notifié","Insert the number of days after which you want to be notified")</f>
        <v>Insert the number of days after which you want to be notified</v>
      </c>
    </row>
    <row r="3" spans="1:31" s="187" customFormat="1" ht="20.25" customHeight="1" thickTop="1" thickBot="1" x14ac:dyDescent="0.25">
      <c r="B3" s="1643" t="e">
        <f>'Jrnl Rev'!B3:P3</f>
        <v>#VALUE!</v>
      </c>
      <c r="C3" s="1643"/>
      <c r="D3" s="1643"/>
      <c r="E3" s="1643"/>
      <c r="F3" s="1643"/>
      <c r="G3" s="1643"/>
      <c r="H3" s="1643"/>
      <c r="I3" s="1643"/>
      <c r="J3" s="1643"/>
      <c r="K3" s="1643"/>
      <c r="L3" s="1643"/>
      <c r="M3" s="1643"/>
      <c r="N3" s="1643"/>
      <c r="O3" s="1643"/>
      <c r="P3" s="1643"/>
      <c r="Q3" s="805"/>
      <c r="U3" s="1642"/>
      <c r="V3" s="1642"/>
      <c r="W3" s="1642"/>
      <c r="X3" s="1642"/>
      <c r="Y3" s="1642"/>
      <c r="Z3" s="803"/>
      <c r="AB3" s="806">
        <v>30</v>
      </c>
    </row>
    <row r="4" spans="1:31" s="807" customFormat="1" ht="42.75" customHeight="1" thickTop="1" x14ac:dyDescent="0.25">
      <c r="B4" s="1632"/>
      <c r="C4" s="1632"/>
      <c r="D4" s="808"/>
      <c r="E4" s="1633" t="str">
        <f>IF(AD7=2,"Cet onglet est une feuille de travail seulement et n'a aucun impact sur les autres onglets.","This tab is only a Working Sheet and has no impact on other tabs.")</f>
        <v>This tab is only a Working Sheet and has no impact on other tabs.</v>
      </c>
      <c r="F4" s="1633"/>
      <c r="G4" s="1633"/>
      <c r="H4" s="1633"/>
      <c r="I4" s="1633"/>
      <c r="J4" s="1633"/>
      <c r="K4" s="1633"/>
      <c r="L4" s="1633"/>
      <c r="M4" s="1633"/>
      <c r="N4" s="1633"/>
      <c r="O4" s="1633"/>
      <c r="P4" s="1633"/>
      <c r="Q4" s="809"/>
      <c r="R4" s="810" t="str">
        <f>IF($AD$7=2,"Compte
4810","Account
4810")</f>
        <v>Account
4810</v>
      </c>
      <c r="S4" s="811" t="str">
        <f>IF($AD$7=2,"Compte
4820","Account
4820")</f>
        <v>Account
4820</v>
      </c>
      <c r="T4" s="809"/>
      <c r="U4" s="812"/>
      <c r="V4" s="812"/>
      <c r="W4" s="812"/>
      <c r="X4" s="812"/>
      <c r="Y4" s="812"/>
      <c r="Z4" s="813"/>
      <c r="AA4" s="809"/>
      <c r="AB4" s="809"/>
    </row>
    <row r="5" spans="1:31" ht="15" customHeight="1" x14ac:dyDescent="0.15">
      <c r="B5" s="1634" t="str">
        <f>IF(AD7=2,"FACTURE NO.","INVOICE #")</f>
        <v>INVOICE #</v>
      </c>
      <c r="C5" s="1635" t="str">
        <f>IF(AD7=2,"DATE FACTURÉE
(aaaa-mm-jj)","INVOICE DATE
(yyyy-mm-dd)")</f>
        <v>INVOICE DATE
(yyyy-mm-dd)</v>
      </c>
      <c r="D5" s="1636" t="str">
        <f>IF(AD7=2,"ACTIVITÉ","ACTIVITY")</f>
        <v>ACTIVITY</v>
      </c>
      <c r="E5" s="1637" t="str">
        <f>IF(AD7=2,"REPAS","MEALS")</f>
        <v>MEALS</v>
      </c>
      <c r="F5" s="1637"/>
      <c r="G5" s="1638" t="s">
        <v>474</v>
      </c>
      <c r="H5" s="1638"/>
      <c r="I5" s="1637" t="str">
        <f>IF(AD7=2,"TRANSPORT - SOUTIEN","TRANSPORTATION-SUPPORT")</f>
        <v>TRANSPORTATION-SUPPORT</v>
      </c>
      <c r="J5" s="1637"/>
      <c r="K5" s="1638" t="str">
        <f>IF(AD7=2,"AUTRE - 1","OTHER - 1")</f>
        <v>OTHER - 1</v>
      </c>
      <c r="L5" s="1638"/>
      <c r="M5" s="1637" t="str">
        <f>IF($AD$7=2,"AUTRE - 2","OTHER - 2")</f>
        <v>OTHER - 2</v>
      </c>
      <c r="N5" s="1637"/>
      <c r="O5" s="1626" t="str">
        <f>IF($AD$7=2,"AUTRE - 3","OTHER - 3")</f>
        <v>OTHER - 3</v>
      </c>
      <c r="P5" s="1626"/>
      <c r="Q5" s="1627" t="str">
        <f>IF($AD$7=2,"REMBOURSE-
MENT DEMANDÉ","REQUESTED REIMBURSEMENT")</f>
        <v>REQUESTED REIMBURSEMENT</v>
      </c>
      <c r="R5" s="1628" t="str">
        <f>'Jrnl Rev'!BE8</f>
        <v>DND Local Support Allocation (LSA)</v>
      </c>
      <c r="S5" s="1629" t="str">
        <f>'Jrnl Rev'!BF8</f>
        <v>DND Allocation - Mandatory and Complementary Pgm (MCP)</v>
      </c>
      <c r="T5" s="1630" t="str">
        <f>IF($AD$7=2,"REMBOURSEMENT AUTORISÉ","AUTHORIZED REIMBURSEMENT")</f>
        <v>AUTHORIZED REIMBURSEMENT</v>
      </c>
      <c r="U5" s="1631" t="str">
        <f>IF($AD$7=2,"DATE TRSF J8
(aaaa-mm-jj)","J8 DATE TRSF
yyyy-mm-dd")</f>
        <v>J8 DATE TRSF
yyyy-mm-dd</v>
      </c>
      <c r="V5" s="1620" t="str">
        <f>IF($AD$7=2,"REMBOUIRSE-
MENT REÇU","REIMBURSEMENT
RECEIVED")</f>
        <v>REIMBURSEMENT
RECEIVED</v>
      </c>
      <c r="W5" s="1621" t="str">
        <f>IF($AD$7=2,"DATE DU DÉPÔT
(aaaa-mm-jj)","DEPOSIT DATE
yyyy-mm-dd")</f>
        <v>DEPOSIT DATE
yyyy-mm-dd</v>
      </c>
      <c r="X5" s="1622" t="str">
        <f>IF($AD$7=2,"TVH
REMBOURSÉE","HST
REIMBURSED")</f>
        <v>HST
REIMBURSED</v>
      </c>
      <c r="Y5" s="1623" t="str">
        <f>IF($AD$7=2,"TPS
REMBOURSÉE","GST
REIMBURSED")</f>
        <v>GST
REIMBURSED</v>
      </c>
      <c r="Z5" s="1624" t="str">
        <f>IF($AD$7=2,"TVP
REMBOURSÉE","PST
REIMBURSED")</f>
        <v>PST
REIMBURSED</v>
      </c>
      <c r="AA5" s="1625" t="s">
        <v>40</v>
      </c>
      <c r="AB5" s="1616" t="s">
        <v>475</v>
      </c>
      <c r="AE5" s="210" t="str">
        <f>"The J8 Transfer Date is used to warn you that the reimbursement should be deposited after "&amp;AB3&amp;" days. Past this date, the next 5 colomns will turn red."</f>
        <v>The J8 Transfer Date is used to warn you that the reimbursement should be deposited after 30 days. Past this date, the next 5 colomns will turn red.</v>
      </c>
    </row>
    <row r="6" spans="1:31" ht="12.75" customHeight="1" x14ac:dyDescent="0.15">
      <c r="B6" s="1634"/>
      <c r="C6" s="1634"/>
      <c r="D6" s="1636"/>
      <c r="E6" s="814" t="s">
        <v>476</v>
      </c>
      <c r="F6" s="815" t="str">
        <f>IF($AD$7=2,"MONTANT","AMOUNT")</f>
        <v>AMOUNT</v>
      </c>
      <c r="G6" s="816" t="s">
        <v>476</v>
      </c>
      <c r="H6" s="817" t="str">
        <f>IF($AD$7=2,"MONTANT","AMOUNT")</f>
        <v>AMOUNT</v>
      </c>
      <c r="I6" s="814" t="s">
        <v>476</v>
      </c>
      <c r="J6" s="815" t="str">
        <f>IF($AD$7=2,"MONTANT","AMOUNT")</f>
        <v>AMOUNT</v>
      </c>
      <c r="K6" s="816" t="s">
        <v>476</v>
      </c>
      <c r="L6" s="817" t="str">
        <f>IF($AD$7=2,"MONTANT","AMOUNT")</f>
        <v>AMOUNT</v>
      </c>
      <c r="M6" s="814" t="s">
        <v>476</v>
      </c>
      <c r="N6" s="815" t="str">
        <f>IF($AD$7=2,"MONTANT","AMOUNT")</f>
        <v>AMOUNT</v>
      </c>
      <c r="O6" s="818" t="s">
        <v>476</v>
      </c>
      <c r="P6" s="819" t="str">
        <f>IF($AD$7=2,"MONTANT","AMOUNT")</f>
        <v>AMOUNT</v>
      </c>
      <c r="Q6" s="1627"/>
      <c r="R6" s="1628"/>
      <c r="S6" s="1629"/>
      <c r="T6" s="1630"/>
      <c r="U6" s="1631"/>
      <c r="V6" s="1620"/>
      <c r="W6" s="1621"/>
      <c r="X6" s="1622"/>
      <c r="Y6" s="1623"/>
      <c r="Z6" s="1624"/>
      <c r="AA6" s="1625"/>
      <c r="AB6" s="1616"/>
      <c r="AE6" s="210" t="str">
        <f>"La date de transfert au J8 est utilisée pour vous avertir que le remboursement devrait être déposé après "&amp;AB3&amp;" jours. Passé ce délai, les 5 colonnes de droite apparaîtront en rouge."</f>
        <v>La date de transfert au J8 est utilisée pour vous avertir que le remboursement devrait être déposé après 30 jours. Passé ce délai, les 5 colonnes de droite apparaîtront en rouge.</v>
      </c>
    </row>
    <row r="7" spans="1:31" ht="33.75" customHeight="1" x14ac:dyDescent="0.15">
      <c r="B7" s="1634"/>
      <c r="C7" s="1635"/>
      <c r="D7" s="1636"/>
      <c r="E7" s="1617" t="str">
        <f>IF($AD$7=2,"Nom de l'activité, fournisseur, No. Facture, dates, endroit, etc.","Name of activity, Supplier, Invoice #, Dates, Location, etc.")</f>
        <v>Name of activity, Supplier, Invoice #, Dates, Location, etc.</v>
      </c>
      <c r="F7" s="1617"/>
      <c r="G7" s="1618" t="str">
        <f>IF($AD$7=2,"Nom de l'activité, fournisseur, No. Facture, dates, endroit, etc.","Name of activity, Supplier, Invoice #, Dates, Location, etc.")</f>
        <v>Name of activity, Supplier, Invoice #, Dates, Location, etc.</v>
      </c>
      <c r="H7" s="1618"/>
      <c r="I7" s="1617" t="str">
        <f>IF($AD$7=2,"Nom de l'activité, fournisseur, No. Facture, dates, endroit, etc.","Name of activity, Supplier, Invoice #, Dates, Location, etc.")</f>
        <v>Name of activity, Supplier, Invoice #, Dates, Location, etc.</v>
      </c>
      <c r="J7" s="1617"/>
      <c r="K7" s="1618" t="str">
        <f>IF($AD$7=2,"Nom de l'activité, fournisseur, No. Facture, dates, endroit, etc.","Name of activity, Supplier, Invoice #, Dates, Location, etc.")</f>
        <v>Name of activity, Supplier, Invoice #, Dates, Location, etc.</v>
      </c>
      <c r="L7" s="1618"/>
      <c r="M7" s="1617" t="str">
        <f>IF($AD$7=2,"Nom de l'activité, fournisseur, No. Facture, dates, endroit, etc.","Name of activity, Supplier, Invoice #, Dates, Location, etc.")</f>
        <v>Name of activity, Supplier, Invoice #, Dates, Location, etc.</v>
      </c>
      <c r="N7" s="1617"/>
      <c r="O7" s="1619" t="str">
        <f>IF($AD$7=2,"Nom de l'activité, fournisseur, No. Facture, dates, endroit, etc.","Name of activity, Supplier, Invoice #, Dates, Location, etc.")</f>
        <v>Name of activity, Supplier, Invoice #, Dates, Location, etc.</v>
      </c>
      <c r="P7" s="1619"/>
      <c r="Q7" s="1627"/>
      <c r="R7" s="1628"/>
      <c r="S7" s="1629"/>
      <c r="T7" s="1630"/>
      <c r="U7" s="1631"/>
      <c r="V7" s="1620"/>
      <c r="W7" s="1621"/>
      <c r="X7" s="1622"/>
      <c r="Y7" s="1623"/>
      <c r="Z7" s="1624"/>
      <c r="AA7" s="1625"/>
      <c r="AB7" s="1616"/>
      <c r="AD7" s="187">
        <f>'Set up ~ Config'!L10</f>
        <v>1</v>
      </c>
    </row>
    <row r="8" spans="1:31" s="833" customFormat="1" ht="45" customHeight="1" x14ac:dyDescent="0.15">
      <c r="A8" s="27">
        <v>1</v>
      </c>
      <c r="B8" s="820"/>
      <c r="C8" s="958"/>
      <c r="D8" s="821"/>
      <c r="E8" s="822"/>
      <c r="F8" s="823"/>
      <c r="G8" s="822"/>
      <c r="H8" s="823"/>
      <c r="I8" s="822"/>
      <c r="J8" s="823"/>
      <c r="K8" s="822"/>
      <c r="L8" s="823"/>
      <c r="M8" s="822"/>
      <c r="N8" s="823"/>
      <c r="O8" s="822"/>
      <c r="P8" s="823"/>
      <c r="Q8" s="824">
        <f t="shared" ref="Q8:Q43" si="0">SUM(F8,H8,J8,L8,N8,P8)</f>
        <v>0</v>
      </c>
      <c r="R8" s="825"/>
      <c r="S8" s="826"/>
      <c r="T8" s="827">
        <f t="shared" ref="T8:T43" si="1">SUM(R8:S8)</f>
        <v>0</v>
      </c>
      <c r="U8" s="959"/>
      <c r="V8" s="828"/>
      <c r="W8" s="958"/>
      <c r="X8" s="829"/>
      <c r="Y8" s="830"/>
      <c r="Z8" s="831"/>
      <c r="AA8" s="1060"/>
      <c r="AB8" s="832"/>
      <c r="AD8" s="834">
        <f t="shared" ref="AD8:AD43" si="2">IF(AA8&lt;&gt;"",0,IF(T8=0,Q8,T8))</f>
        <v>0</v>
      </c>
      <c r="AE8" s="27">
        <f t="shared" ref="AE8:AE57" ca="1" si="3">IF(AND($U8&lt;&gt;"",$V8="",TODAY()-U8&gt;$AB$3),1,0)</f>
        <v>0</v>
      </c>
    </row>
    <row r="9" spans="1:31" s="835" customFormat="1" ht="45" customHeight="1" x14ac:dyDescent="0.2">
      <c r="A9" s="19">
        <f t="shared" ref="A9:A57" si="4">A8+1</f>
        <v>2</v>
      </c>
      <c r="B9" s="820"/>
      <c r="C9" s="958"/>
      <c r="D9" s="821"/>
      <c r="E9" s="822"/>
      <c r="F9" s="823"/>
      <c r="G9" s="822"/>
      <c r="H9" s="823"/>
      <c r="I9" s="822"/>
      <c r="J9" s="823"/>
      <c r="K9" s="822"/>
      <c r="L9" s="823"/>
      <c r="M9" s="822"/>
      <c r="N9" s="823"/>
      <c r="O9" s="822"/>
      <c r="P9" s="823"/>
      <c r="Q9" s="824">
        <f t="shared" si="0"/>
        <v>0</v>
      </c>
      <c r="R9" s="825"/>
      <c r="S9" s="826"/>
      <c r="T9" s="827">
        <f t="shared" si="1"/>
        <v>0</v>
      </c>
      <c r="U9" s="959"/>
      <c r="V9" s="828"/>
      <c r="W9" s="958"/>
      <c r="X9" s="829"/>
      <c r="Y9" s="830"/>
      <c r="Z9" s="831"/>
      <c r="AA9" s="1060"/>
      <c r="AB9" s="832"/>
      <c r="AD9" s="834">
        <f t="shared" si="2"/>
        <v>0</v>
      </c>
      <c r="AE9" s="27">
        <f t="shared" ca="1" si="3"/>
        <v>0</v>
      </c>
    </row>
    <row r="10" spans="1:31" s="835" customFormat="1" ht="45" customHeight="1" x14ac:dyDescent="0.2">
      <c r="A10" s="19">
        <f t="shared" si="4"/>
        <v>3</v>
      </c>
      <c r="B10" s="820"/>
      <c r="C10" s="958"/>
      <c r="D10" s="821"/>
      <c r="E10" s="822"/>
      <c r="F10" s="823"/>
      <c r="G10" s="822"/>
      <c r="H10" s="823"/>
      <c r="I10" s="822"/>
      <c r="J10" s="823"/>
      <c r="K10" s="822"/>
      <c r="L10" s="823"/>
      <c r="M10" s="822"/>
      <c r="N10" s="823"/>
      <c r="O10" s="822"/>
      <c r="P10" s="823"/>
      <c r="Q10" s="824">
        <f t="shared" si="0"/>
        <v>0</v>
      </c>
      <c r="R10" s="825"/>
      <c r="S10" s="826"/>
      <c r="T10" s="827">
        <f t="shared" si="1"/>
        <v>0</v>
      </c>
      <c r="U10" s="959"/>
      <c r="V10" s="828"/>
      <c r="W10" s="958"/>
      <c r="X10" s="829"/>
      <c r="Y10" s="830"/>
      <c r="Z10" s="831"/>
      <c r="AA10" s="1060"/>
      <c r="AB10" s="832"/>
      <c r="AD10" s="834">
        <f t="shared" si="2"/>
        <v>0</v>
      </c>
      <c r="AE10" s="27">
        <f t="shared" ca="1" si="3"/>
        <v>0</v>
      </c>
    </row>
    <row r="11" spans="1:31" s="835" customFormat="1" ht="45" customHeight="1" x14ac:dyDescent="0.2">
      <c r="A11" s="19">
        <f t="shared" si="4"/>
        <v>4</v>
      </c>
      <c r="B11" s="820"/>
      <c r="C11" s="958"/>
      <c r="D11" s="821"/>
      <c r="E11" s="822"/>
      <c r="F11" s="823"/>
      <c r="G11" s="822"/>
      <c r="H11" s="823"/>
      <c r="I11" s="822"/>
      <c r="J11" s="823"/>
      <c r="K11" s="822"/>
      <c r="L11" s="823"/>
      <c r="M11" s="822"/>
      <c r="N11" s="823"/>
      <c r="O11" s="822"/>
      <c r="P11" s="823"/>
      <c r="Q11" s="824">
        <f t="shared" si="0"/>
        <v>0</v>
      </c>
      <c r="R11" s="825"/>
      <c r="S11" s="826"/>
      <c r="T11" s="827">
        <f t="shared" si="1"/>
        <v>0</v>
      </c>
      <c r="U11" s="959"/>
      <c r="V11" s="828"/>
      <c r="W11" s="958"/>
      <c r="X11" s="829"/>
      <c r="Y11" s="830"/>
      <c r="Z11" s="831"/>
      <c r="AA11" s="1060"/>
      <c r="AB11" s="832"/>
      <c r="AD11" s="834">
        <f t="shared" si="2"/>
        <v>0</v>
      </c>
      <c r="AE11" s="27">
        <f t="shared" ca="1" si="3"/>
        <v>0</v>
      </c>
    </row>
    <row r="12" spans="1:31" s="835" customFormat="1" ht="45" customHeight="1" x14ac:dyDescent="0.2">
      <c r="A12" s="19">
        <f t="shared" si="4"/>
        <v>5</v>
      </c>
      <c r="B12" s="820"/>
      <c r="C12" s="958"/>
      <c r="D12" s="821"/>
      <c r="E12" s="822"/>
      <c r="F12" s="823"/>
      <c r="G12" s="822"/>
      <c r="H12" s="823"/>
      <c r="I12" s="822"/>
      <c r="J12" s="823"/>
      <c r="K12" s="822"/>
      <c r="L12" s="823"/>
      <c r="M12" s="822"/>
      <c r="N12" s="823"/>
      <c r="O12" s="822"/>
      <c r="P12" s="823"/>
      <c r="Q12" s="824">
        <f t="shared" si="0"/>
        <v>0</v>
      </c>
      <c r="R12" s="825"/>
      <c r="S12" s="826"/>
      <c r="T12" s="827">
        <f t="shared" si="1"/>
        <v>0</v>
      </c>
      <c r="U12" s="959"/>
      <c r="V12" s="828"/>
      <c r="W12" s="958"/>
      <c r="X12" s="829"/>
      <c r="Y12" s="830"/>
      <c r="Z12" s="831"/>
      <c r="AA12" s="1060"/>
      <c r="AB12" s="832"/>
      <c r="AD12" s="834">
        <f t="shared" si="2"/>
        <v>0</v>
      </c>
      <c r="AE12" s="27">
        <f t="shared" ca="1" si="3"/>
        <v>0</v>
      </c>
    </row>
    <row r="13" spans="1:31" s="835" customFormat="1" ht="45" customHeight="1" x14ac:dyDescent="0.2">
      <c r="A13" s="19">
        <f t="shared" si="4"/>
        <v>6</v>
      </c>
      <c r="B13" s="820"/>
      <c r="C13" s="958"/>
      <c r="D13" s="821"/>
      <c r="E13" s="822"/>
      <c r="F13" s="823"/>
      <c r="G13" s="822"/>
      <c r="H13" s="823"/>
      <c r="I13" s="822"/>
      <c r="J13" s="823"/>
      <c r="K13" s="822"/>
      <c r="L13" s="823"/>
      <c r="M13" s="822"/>
      <c r="N13" s="823"/>
      <c r="O13" s="822"/>
      <c r="P13" s="823"/>
      <c r="Q13" s="824">
        <f t="shared" si="0"/>
        <v>0</v>
      </c>
      <c r="R13" s="825"/>
      <c r="S13" s="826"/>
      <c r="T13" s="827">
        <f t="shared" si="1"/>
        <v>0</v>
      </c>
      <c r="U13" s="959"/>
      <c r="V13" s="828"/>
      <c r="W13" s="958"/>
      <c r="X13" s="829"/>
      <c r="Y13" s="830"/>
      <c r="Z13" s="831"/>
      <c r="AA13" s="1060"/>
      <c r="AB13" s="832"/>
      <c r="AD13" s="834">
        <f t="shared" si="2"/>
        <v>0</v>
      </c>
      <c r="AE13" s="27">
        <f t="shared" ca="1" si="3"/>
        <v>0</v>
      </c>
    </row>
    <row r="14" spans="1:31" s="835" customFormat="1" ht="45" customHeight="1" x14ac:dyDescent="0.2">
      <c r="A14" s="19">
        <f t="shared" si="4"/>
        <v>7</v>
      </c>
      <c r="B14" s="820"/>
      <c r="C14" s="958"/>
      <c r="D14" s="821"/>
      <c r="E14" s="822"/>
      <c r="F14" s="823"/>
      <c r="G14" s="822"/>
      <c r="H14" s="823"/>
      <c r="I14" s="822"/>
      <c r="J14" s="823"/>
      <c r="K14" s="822"/>
      <c r="L14" s="823"/>
      <c r="M14" s="822"/>
      <c r="N14" s="823"/>
      <c r="O14" s="822"/>
      <c r="P14" s="823"/>
      <c r="Q14" s="824">
        <f t="shared" si="0"/>
        <v>0</v>
      </c>
      <c r="R14" s="825"/>
      <c r="S14" s="826"/>
      <c r="T14" s="827">
        <f t="shared" si="1"/>
        <v>0</v>
      </c>
      <c r="U14" s="959"/>
      <c r="V14" s="828"/>
      <c r="W14" s="958"/>
      <c r="X14" s="829"/>
      <c r="Y14" s="830"/>
      <c r="Z14" s="831"/>
      <c r="AA14" s="1060"/>
      <c r="AB14" s="832"/>
      <c r="AD14" s="834">
        <f t="shared" si="2"/>
        <v>0</v>
      </c>
      <c r="AE14" s="27">
        <f t="shared" ca="1" si="3"/>
        <v>0</v>
      </c>
    </row>
    <row r="15" spans="1:31" s="835" customFormat="1" ht="45" customHeight="1" x14ac:dyDescent="0.2">
      <c r="A15" s="19">
        <f t="shared" si="4"/>
        <v>8</v>
      </c>
      <c r="B15" s="820"/>
      <c r="C15" s="958"/>
      <c r="D15" s="821"/>
      <c r="E15" s="822"/>
      <c r="F15" s="823"/>
      <c r="G15" s="822"/>
      <c r="H15" s="823"/>
      <c r="I15" s="822"/>
      <c r="J15" s="823"/>
      <c r="K15" s="822"/>
      <c r="L15" s="823"/>
      <c r="M15" s="822"/>
      <c r="N15" s="823"/>
      <c r="O15" s="822"/>
      <c r="P15" s="823"/>
      <c r="Q15" s="824">
        <f t="shared" si="0"/>
        <v>0</v>
      </c>
      <c r="R15" s="825"/>
      <c r="S15" s="826"/>
      <c r="T15" s="827">
        <f t="shared" si="1"/>
        <v>0</v>
      </c>
      <c r="U15" s="959"/>
      <c r="V15" s="828"/>
      <c r="W15" s="958"/>
      <c r="X15" s="829"/>
      <c r="Y15" s="830"/>
      <c r="Z15" s="831"/>
      <c r="AA15" s="1060"/>
      <c r="AB15" s="832"/>
      <c r="AD15" s="834">
        <f t="shared" si="2"/>
        <v>0</v>
      </c>
      <c r="AE15" s="27">
        <f t="shared" ca="1" si="3"/>
        <v>0</v>
      </c>
    </row>
    <row r="16" spans="1:31" s="835" customFormat="1" ht="45" customHeight="1" x14ac:dyDescent="0.2">
      <c r="A16" s="19">
        <f t="shared" si="4"/>
        <v>9</v>
      </c>
      <c r="B16" s="820"/>
      <c r="C16" s="958"/>
      <c r="D16" s="821"/>
      <c r="E16" s="822"/>
      <c r="F16" s="823"/>
      <c r="G16" s="822"/>
      <c r="H16" s="823"/>
      <c r="I16" s="822"/>
      <c r="J16" s="823"/>
      <c r="K16" s="822"/>
      <c r="L16" s="823"/>
      <c r="M16" s="822"/>
      <c r="N16" s="823"/>
      <c r="O16" s="822"/>
      <c r="P16" s="823"/>
      <c r="Q16" s="824">
        <f t="shared" si="0"/>
        <v>0</v>
      </c>
      <c r="R16" s="825"/>
      <c r="S16" s="826"/>
      <c r="T16" s="827">
        <f t="shared" si="1"/>
        <v>0</v>
      </c>
      <c r="U16" s="959"/>
      <c r="V16" s="828"/>
      <c r="W16" s="958"/>
      <c r="X16" s="829"/>
      <c r="Y16" s="830"/>
      <c r="Z16" s="831"/>
      <c r="AA16" s="1060"/>
      <c r="AB16" s="832"/>
      <c r="AD16" s="834">
        <f t="shared" si="2"/>
        <v>0</v>
      </c>
      <c r="AE16" s="27">
        <f t="shared" ca="1" si="3"/>
        <v>0</v>
      </c>
    </row>
    <row r="17" spans="1:31" s="835" customFormat="1" ht="45" customHeight="1" x14ac:dyDescent="0.2">
      <c r="A17" s="19">
        <f t="shared" si="4"/>
        <v>10</v>
      </c>
      <c r="B17" s="820"/>
      <c r="C17" s="958"/>
      <c r="D17" s="821"/>
      <c r="E17" s="822"/>
      <c r="F17" s="823"/>
      <c r="G17" s="822"/>
      <c r="H17" s="823"/>
      <c r="I17" s="822"/>
      <c r="J17" s="823"/>
      <c r="K17" s="822"/>
      <c r="L17" s="823"/>
      <c r="M17" s="822"/>
      <c r="N17" s="823"/>
      <c r="O17" s="822"/>
      <c r="P17" s="823"/>
      <c r="Q17" s="824">
        <f t="shared" si="0"/>
        <v>0</v>
      </c>
      <c r="R17" s="825"/>
      <c r="S17" s="826"/>
      <c r="T17" s="827">
        <f t="shared" si="1"/>
        <v>0</v>
      </c>
      <c r="U17" s="959"/>
      <c r="V17" s="828"/>
      <c r="W17" s="958"/>
      <c r="X17" s="829"/>
      <c r="Y17" s="830"/>
      <c r="Z17" s="831"/>
      <c r="AA17" s="1060"/>
      <c r="AB17" s="832"/>
      <c r="AD17" s="834">
        <f t="shared" si="2"/>
        <v>0</v>
      </c>
      <c r="AE17" s="27">
        <f t="shared" ca="1" si="3"/>
        <v>0</v>
      </c>
    </row>
    <row r="18" spans="1:31" s="835" customFormat="1" ht="45" customHeight="1" x14ac:dyDescent="0.2">
      <c r="A18" s="19">
        <f t="shared" si="4"/>
        <v>11</v>
      </c>
      <c r="B18" s="820"/>
      <c r="C18" s="958"/>
      <c r="D18" s="821"/>
      <c r="E18" s="822"/>
      <c r="F18" s="823"/>
      <c r="G18" s="822"/>
      <c r="H18" s="823"/>
      <c r="I18" s="822"/>
      <c r="J18" s="823"/>
      <c r="K18" s="822"/>
      <c r="L18" s="823"/>
      <c r="M18" s="822"/>
      <c r="N18" s="823"/>
      <c r="O18" s="822"/>
      <c r="P18" s="823"/>
      <c r="Q18" s="824">
        <f t="shared" si="0"/>
        <v>0</v>
      </c>
      <c r="R18" s="825"/>
      <c r="S18" s="826"/>
      <c r="T18" s="827">
        <f t="shared" si="1"/>
        <v>0</v>
      </c>
      <c r="U18" s="959"/>
      <c r="V18" s="828"/>
      <c r="W18" s="958"/>
      <c r="X18" s="829"/>
      <c r="Y18" s="830"/>
      <c r="Z18" s="831"/>
      <c r="AA18" s="1060"/>
      <c r="AB18" s="832"/>
      <c r="AD18" s="834">
        <f t="shared" si="2"/>
        <v>0</v>
      </c>
      <c r="AE18" s="27">
        <f t="shared" ca="1" si="3"/>
        <v>0</v>
      </c>
    </row>
    <row r="19" spans="1:31" s="835" customFormat="1" ht="45" customHeight="1" x14ac:dyDescent="0.2">
      <c r="A19" s="19">
        <f t="shared" si="4"/>
        <v>12</v>
      </c>
      <c r="B19" s="820"/>
      <c r="C19" s="958"/>
      <c r="D19" s="821"/>
      <c r="E19" s="822"/>
      <c r="F19" s="823"/>
      <c r="G19" s="822"/>
      <c r="H19" s="823"/>
      <c r="I19" s="822"/>
      <c r="J19" s="823"/>
      <c r="K19" s="822"/>
      <c r="L19" s="823"/>
      <c r="M19" s="822"/>
      <c r="N19" s="823"/>
      <c r="O19" s="822"/>
      <c r="P19" s="823"/>
      <c r="Q19" s="824">
        <f t="shared" si="0"/>
        <v>0</v>
      </c>
      <c r="R19" s="825"/>
      <c r="S19" s="826"/>
      <c r="T19" s="827">
        <f t="shared" si="1"/>
        <v>0</v>
      </c>
      <c r="U19" s="959"/>
      <c r="V19" s="828"/>
      <c r="W19" s="958"/>
      <c r="X19" s="829"/>
      <c r="Y19" s="830"/>
      <c r="Z19" s="831"/>
      <c r="AA19" s="1060"/>
      <c r="AB19" s="832"/>
      <c r="AD19" s="834">
        <f t="shared" si="2"/>
        <v>0</v>
      </c>
      <c r="AE19" s="27">
        <f t="shared" ca="1" si="3"/>
        <v>0</v>
      </c>
    </row>
    <row r="20" spans="1:31" s="835" customFormat="1" ht="45" customHeight="1" x14ac:dyDescent="0.2">
      <c r="A20" s="19">
        <f t="shared" si="4"/>
        <v>13</v>
      </c>
      <c r="B20" s="820"/>
      <c r="C20" s="958"/>
      <c r="D20" s="821"/>
      <c r="E20" s="822"/>
      <c r="F20" s="823"/>
      <c r="G20" s="822"/>
      <c r="H20" s="823"/>
      <c r="I20" s="822"/>
      <c r="J20" s="823"/>
      <c r="K20" s="822"/>
      <c r="L20" s="823"/>
      <c r="M20" s="822"/>
      <c r="N20" s="823"/>
      <c r="O20" s="822"/>
      <c r="P20" s="823"/>
      <c r="Q20" s="824">
        <f t="shared" si="0"/>
        <v>0</v>
      </c>
      <c r="R20" s="825"/>
      <c r="S20" s="826"/>
      <c r="T20" s="827">
        <f t="shared" si="1"/>
        <v>0</v>
      </c>
      <c r="U20" s="959"/>
      <c r="V20" s="828"/>
      <c r="W20" s="958"/>
      <c r="X20" s="829"/>
      <c r="Y20" s="830"/>
      <c r="Z20" s="831"/>
      <c r="AA20" s="1060"/>
      <c r="AB20" s="832"/>
      <c r="AD20" s="834">
        <f t="shared" si="2"/>
        <v>0</v>
      </c>
      <c r="AE20" s="27">
        <f t="shared" ca="1" si="3"/>
        <v>0</v>
      </c>
    </row>
    <row r="21" spans="1:31" s="835" customFormat="1" ht="45" customHeight="1" x14ac:dyDescent="0.2">
      <c r="A21" s="19">
        <f t="shared" si="4"/>
        <v>14</v>
      </c>
      <c r="B21" s="820"/>
      <c r="C21" s="958"/>
      <c r="D21" s="821"/>
      <c r="E21" s="822"/>
      <c r="F21" s="823"/>
      <c r="G21" s="822"/>
      <c r="H21" s="823"/>
      <c r="I21" s="822"/>
      <c r="J21" s="823"/>
      <c r="K21" s="822"/>
      <c r="L21" s="823"/>
      <c r="M21" s="822"/>
      <c r="N21" s="823"/>
      <c r="O21" s="822"/>
      <c r="P21" s="823"/>
      <c r="Q21" s="824">
        <f t="shared" si="0"/>
        <v>0</v>
      </c>
      <c r="R21" s="825"/>
      <c r="S21" s="826"/>
      <c r="T21" s="827">
        <f t="shared" si="1"/>
        <v>0</v>
      </c>
      <c r="U21" s="959"/>
      <c r="V21" s="828"/>
      <c r="W21" s="958"/>
      <c r="X21" s="829"/>
      <c r="Y21" s="830"/>
      <c r="Z21" s="831"/>
      <c r="AA21" s="1060"/>
      <c r="AB21" s="832"/>
      <c r="AD21" s="834">
        <f t="shared" si="2"/>
        <v>0</v>
      </c>
      <c r="AE21" s="27">
        <f t="shared" ca="1" si="3"/>
        <v>0</v>
      </c>
    </row>
    <row r="22" spans="1:31" s="835" customFormat="1" ht="45" customHeight="1" x14ac:dyDescent="0.2">
      <c r="A22" s="19">
        <f t="shared" si="4"/>
        <v>15</v>
      </c>
      <c r="B22" s="820"/>
      <c r="C22" s="958"/>
      <c r="D22" s="821"/>
      <c r="E22" s="822"/>
      <c r="F22" s="823"/>
      <c r="G22" s="822"/>
      <c r="H22" s="823"/>
      <c r="I22" s="822"/>
      <c r="J22" s="823"/>
      <c r="K22" s="822"/>
      <c r="L22" s="823"/>
      <c r="M22" s="822"/>
      <c r="N22" s="823"/>
      <c r="O22" s="822"/>
      <c r="P22" s="823"/>
      <c r="Q22" s="824">
        <f t="shared" si="0"/>
        <v>0</v>
      </c>
      <c r="R22" s="825"/>
      <c r="S22" s="826"/>
      <c r="T22" s="827">
        <f t="shared" si="1"/>
        <v>0</v>
      </c>
      <c r="U22" s="959"/>
      <c r="V22" s="828"/>
      <c r="W22" s="958"/>
      <c r="X22" s="829"/>
      <c r="Y22" s="830"/>
      <c r="Z22" s="831"/>
      <c r="AA22" s="1060"/>
      <c r="AB22" s="832"/>
      <c r="AD22" s="834">
        <f t="shared" si="2"/>
        <v>0</v>
      </c>
      <c r="AE22" s="27">
        <f t="shared" ca="1" si="3"/>
        <v>0</v>
      </c>
    </row>
    <row r="23" spans="1:31" s="835" customFormat="1" ht="45" customHeight="1" x14ac:dyDescent="0.2">
      <c r="A23" s="19">
        <f t="shared" si="4"/>
        <v>16</v>
      </c>
      <c r="B23" s="820"/>
      <c r="C23" s="958"/>
      <c r="D23" s="821"/>
      <c r="E23" s="822"/>
      <c r="F23" s="823"/>
      <c r="G23" s="822"/>
      <c r="H23" s="823"/>
      <c r="I23" s="822"/>
      <c r="J23" s="823"/>
      <c r="K23" s="822"/>
      <c r="L23" s="823"/>
      <c r="M23" s="822"/>
      <c r="N23" s="823"/>
      <c r="O23" s="822"/>
      <c r="P23" s="823"/>
      <c r="Q23" s="824">
        <f t="shared" si="0"/>
        <v>0</v>
      </c>
      <c r="R23" s="825"/>
      <c r="S23" s="826"/>
      <c r="T23" s="827">
        <f t="shared" si="1"/>
        <v>0</v>
      </c>
      <c r="U23" s="959"/>
      <c r="V23" s="828"/>
      <c r="W23" s="958"/>
      <c r="X23" s="829"/>
      <c r="Y23" s="830"/>
      <c r="Z23" s="831"/>
      <c r="AA23" s="1060"/>
      <c r="AB23" s="832"/>
      <c r="AD23" s="834">
        <f t="shared" si="2"/>
        <v>0</v>
      </c>
      <c r="AE23" s="27">
        <f t="shared" ca="1" si="3"/>
        <v>0</v>
      </c>
    </row>
    <row r="24" spans="1:31" s="835" customFormat="1" ht="45" customHeight="1" x14ac:dyDescent="0.2">
      <c r="A24" s="19">
        <f t="shared" si="4"/>
        <v>17</v>
      </c>
      <c r="B24" s="820"/>
      <c r="C24" s="958"/>
      <c r="D24" s="821"/>
      <c r="E24" s="822"/>
      <c r="F24" s="823"/>
      <c r="G24" s="822"/>
      <c r="H24" s="823"/>
      <c r="I24" s="822"/>
      <c r="J24" s="823"/>
      <c r="K24" s="822"/>
      <c r="L24" s="823"/>
      <c r="M24" s="822"/>
      <c r="N24" s="823"/>
      <c r="O24" s="822"/>
      <c r="P24" s="823"/>
      <c r="Q24" s="824">
        <f t="shared" si="0"/>
        <v>0</v>
      </c>
      <c r="R24" s="825"/>
      <c r="S24" s="826"/>
      <c r="T24" s="827">
        <f t="shared" si="1"/>
        <v>0</v>
      </c>
      <c r="U24" s="959"/>
      <c r="V24" s="828"/>
      <c r="W24" s="958"/>
      <c r="X24" s="829"/>
      <c r="Y24" s="830"/>
      <c r="Z24" s="831"/>
      <c r="AA24" s="1060"/>
      <c r="AB24" s="832"/>
      <c r="AD24" s="834">
        <f t="shared" si="2"/>
        <v>0</v>
      </c>
      <c r="AE24" s="27">
        <f t="shared" ca="1" si="3"/>
        <v>0</v>
      </c>
    </row>
    <row r="25" spans="1:31" s="835" customFormat="1" ht="45" customHeight="1" x14ac:dyDescent="0.2">
      <c r="A25" s="19">
        <f t="shared" si="4"/>
        <v>18</v>
      </c>
      <c r="B25" s="820"/>
      <c r="C25" s="958"/>
      <c r="D25" s="821"/>
      <c r="E25" s="822"/>
      <c r="F25" s="823"/>
      <c r="G25" s="822"/>
      <c r="H25" s="823"/>
      <c r="I25" s="822"/>
      <c r="J25" s="823"/>
      <c r="K25" s="822"/>
      <c r="L25" s="823"/>
      <c r="M25" s="822"/>
      <c r="N25" s="823"/>
      <c r="O25" s="822"/>
      <c r="P25" s="823"/>
      <c r="Q25" s="824">
        <f t="shared" si="0"/>
        <v>0</v>
      </c>
      <c r="R25" s="825"/>
      <c r="S25" s="826"/>
      <c r="T25" s="827">
        <f t="shared" si="1"/>
        <v>0</v>
      </c>
      <c r="U25" s="959"/>
      <c r="V25" s="828"/>
      <c r="W25" s="958"/>
      <c r="X25" s="829"/>
      <c r="Y25" s="830"/>
      <c r="Z25" s="831"/>
      <c r="AA25" s="1060"/>
      <c r="AB25" s="832"/>
      <c r="AD25" s="834">
        <f t="shared" si="2"/>
        <v>0</v>
      </c>
      <c r="AE25" s="27">
        <f t="shared" ca="1" si="3"/>
        <v>0</v>
      </c>
    </row>
    <row r="26" spans="1:31" s="835" customFormat="1" ht="45" customHeight="1" x14ac:dyDescent="0.2">
      <c r="A26" s="19">
        <f t="shared" si="4"/>
        <v>19</v>
      </c>
      <c r="B26" s="820"/>
      <c r="C26" s="958"/>
      <c r="D26" s="821"/>
      <c r="E26" s="822"/>
      <c r="F26" s="823"/>
      <c r="G26" s="822"/>
      <c r="H26" s="823"/>
      <c r="I26" s="822"/>
      <c r="J26" s="823"/>
      <c r="K26" s="822"/>
      <c r="L26" s="823"/>
      <c r="M26" s="822"/>
      <c r="N26" s="823"/>
      <c r="O26" s="822"/>
      <c r="P26" s="823"/>
      <c r="Q26" s="824">
        <f t="shared" si="0"/>
        <v>0</v>
      </c>
      <c r="R26" s="825"/>
      <c r="S26" s="826"/>
      <c r="T26" s="827">
        <f t="shared" si="1"/>
        <v>0</v>
      </c>
      <c r="U26" s="959"/>
      <c r="V26" s="828"/>
      <c r="W26" s="958"/>
      <c r="X26" s="829"/>
      <c r="Y26" s="830"/>
      <c r="Z26" s="831"/>
      <c r="AA26" s="1060"/>
      <c r="AB26" s="832"/>
      <c r="AD26" s="834">
        <f t="shared" si="2"/>
        <v>0</v>
      </c>
      <c r="AE26" s="27">
        <f t="shared" ca="1" si="3"/>
        <v>0</v>
      </c>
    </row>
    <row r="27" spans="1:31" s="835" customFormat="1" ht="45" customHeight="1" x14ac:dyDescent="0.2">
      <c r="A27" s="19">
        <f t="shared" si="4"/>
        <v>20</v>
      </c>
      <c r="B27" s="820"/>
      <c r="C27" s="958"/>
      <c r="D27" s="821"/>
      <c r="E27" s="822"/>
      <c r="F27" s="823"/>
      <c r="G27" s="822"/>
      <c r="H27" s="823"/>
      <c r="I27" s="822"/>
      <c r="J27" s="823"/>
      <c r="K27" s="822"/>
      <c r="L27" s="823"/>
      <c r="M27" s="822"/>
      <c r="N27" s="823"/>
      <c r="O27" s="822"/>
      <c r="P27" s="823"/>
      <c r="Q27" s="824">
        <f t="shared" si="0"/>
        <v>0</v>
      </c>
      <c r="R27" s="825"/>
      <c r="S27" s="826"/>
      <c r="T27" s="827">
        <f t="shared" si="1"/>
        <v>0</v>
      </c>
      <c r="U27" s="959"/>
      <c r="V27" s="828"/>
      <c r="W27" s="958"/>
      <c r="X27" s="829"/>
      <c r="Y27" s="830"/>
      <c r="Z27" s="831"/>
      <c r="AA27" s="1060"/>
      <c r="AB27" s="832"/>
      <c r="AD27" s="834">
        <f t="shared" si="2"/>
        <v>0</v>
      </c>
      <c r="AE27" s="27">
        <f t="shared" ca="1" si="3"/>
        <v>0</v>
      </c>
    </row>
    <row r="28" spans="1:31" s="835" customFormat="1" ht="45" customHeight="1" x14ac:dyDescent="0.2">
      <c r="A28" s="19">
        <f t="shared" si="4"/>
        <v>21</v>
      </c>
      <c r="B28" s="820"/>
      <c r="C28" s="958"/>
      <c r="D28" s="821"/>
      <c r="E28" s="822"/>
      <c r="F28" s="823"/>
      <c r="G28" s="822"/>
      <c r="H28" s="823"/>
      <c r="I28" s="822"/>
      <c r="J28" s="823"/>
      <c r="K28" s="822"/>
      <c r="L28" s="823"/>
      <c r="M28" s="822"/>
      <c r="N28" s="823"/>
      <c r="O28" s="822"/>
      <c r="P28" s="823"/>
      <c r="Q28" s="824">
        <f t="shared" si="0"/>
        <v>0</v>
      </c>
      <c r="R28" s="825"/>
      <c r="S28" s="826"/>
      <c r="T28" s="827">
        <f t="shared" si="1"/>
        <v>0</v>
      </c>
      <c r="U28" s="959"/>
      <c r="V28" s="828"/>
      <c r="W28" s="958"/>
      <c r="X28" s="829"/>
      <c r="Y28" s="830"/>
      <c r="Z28" s="831"/>
      <c r="AA28" s="1060"/>
      <c r="AB28" s="832"/>
      <c r="AD28" s="834">
        <f t="shared" si="2"/>
        <v>0</v>
      </c>
      <c r="AE28" s="27">
        <f t="shared" ca="1" si="3"/>
        <v>0</v>
      </c>
    </row>
    <row r="29" spans="1:31" ht="45" customHeight="1" x14ac:dyDescent="0.15">
      <c r="A29" s="19">
        <f t="shared" si="4"/>
        <v>22</v>
      </c>
      <c r="B29" s="820"/>
      <c r="C29" s="958"/>
      <c r="D29" s="821"/>
      <c r="E29" s="822"/>
      <c r="F29" s="823"/>
      <c r="G29" s="822"/>
      <c r="H29" s="823"/>
      <c r="I29" s="822"/>
      <c r="J29" s="823"/>
      <c r="K29" s="822"/>
      <c r="L29" s="823"/>
      <c r="M29" s="822"/>
      <c r="N29" s="823"/>
      <c r="O29" s="822"/>
      <c r="P29" s="823"/>
      <c r="Q29" s="824">
        <f t="shared" si="0"/>
        <v>0</v>
      </c>
      <c r="R29" s="825"/>
      <c r="S29" s="826"/>
      <c r="T29" s="827">
        <f t="shared" si="1"/>
        <v>0</v>
      </c>
      <c r="U29" s="959"/>
      <c r="V29" s="828"/>
      <c r="W29" s="958"/>
      <c r="X29" s="829"/>
      <c r="Y29" s="830"/>
      <c r="Z29" s="831"/>
      <c r="AA29" s="1060"/>
      <c r="AB29" s="832"/>
      <c r="AD29" s="834">
        <f t="shared" si="2"/>
        <v>0</v>
      </c>
      <c r="AE29" s="27">
        <f t="shared" ca="1" si="3"/>
        <v>0</v>
      </c>
    </row>
    <row r="30" spans="1:31" ht="45" customHeight="1" x14ac:dyDescent="0.15">
      <c r="A30" s="19">
        <f t="shared" si="4"/>
        <v>23</v>
      </c>
      <c r="B30" s="820"/>
      <c r="C30" s="958"/>
      <c r="D30" s="821"/>
      <c r="E30" s="822"/>
      <c r="F30" s="823"/>
      <c r="G30" s="822"/>
      <c r="H30" s="823"/>
      <c r="I30" s="822"/>
      <c r="J30" s="823"/>
      <c r="K30" s="822"/>
      <c r="L30" s="823"/>
      <c r="M30" s="822"/>
      <c r="N30" s="823"/>
      <c r="O30" s="822"/>
      <c r="P30" s="823"/>
      <c r="Q30" s="824">
        <f t="shared" si="0"/>
        <v>0</v>
      </c>
      <c r="R30" s="825"/>
      <c r="S30" s="826"/>
      <c r="T30" s="827">
        <f t="shared" si="1"/>
        <v>0</v>
      </c>
      <c r="U30" s="959"/>
      <c r="V30" s="828"/>
      <c r="W30" s="958"/>
      <c r="X30" s="829"/>
      <c r="Y30" s="830"/>
      <c r="Z30" s="831"/>
      <c r="AA30" s="1060"/>
      <c r="AB30" s="832"/>
      <c r="AD30" s="834">
        <f t="shared" si="2"/>
        <v>0</v>
      </c>
      <c r="AE30" s="27">
        <f t="shared" ca="1" si="3"/>
        <v>0</v>
      </c>
    </row>
    <row r="31" spans="1:31" ht="45" customHeight="1" x14ac:dyDescent="0.15">
      <c r="A31" s="19">
        <f t="shared" si="4"/>
        <v>24</v>
      </c>
      <c r="B31" s="820"/>
      <c r="C31" s="958"/>
      <c r="D31" s="821"/>
      <c r="E31" s="822"/>
      <c r="F31" s="823"/>
      <c r="G31" s="822"/>
      <c r="H31" s="823"/>
      <c r="I31" s="822"/>
      <c r="J31" s="823"/>
      <c r="K31" s="822"/>
      <c r="L31" s="823"/>
      <c r="M31" s="822"/>
      <c r="N31" s="823"/>
      <c r="O31" s="822"/>
      <c r="P31" s="823"/>
      <c r="Q31" s="824">
        <f t="shared" si="0"/>
        <v>0</v>
      </c>
      <c r="R31" s="825"/>
      <c r="S31" s="826"/>
      <c r="T31" s="827">
        <f t="shared" si="1"/>
        <v>0</v>
      </c>
      <c r="U31" s="959"/>
      <c r="V31" s="828"/>
      <c r="W31" s="958"/>
      <c r="X31" s="829"/>
      <c r="Y31" s="830"/>
      <c r="Z31" s="831"/>
      <c r="AA31" s="1060"/>
      <c r="AB31" s="832"/>
      <c r="AD31" s="834">
        <f t="shared" si="2"/>
        <v>0</v>
      </c>
      <c r="AE31" s="27">
        <f t="shared" ca="1" si="3"/>
        <v>0</v>
      </c>
    </row>
    <row r="32" spans="1:31" ht="45" customHeight="1" x14ac:dyDescent="0.15">
      <c r="A32" s="19">
        <f t="shared" si="4"/>
        <v>25</v>
      </c>
      <c r="B32" s="820"/>
      <c r="C32" s="958"/>
      <c r="D32" s="821"/>
      <c r="E32" s="822"/>
      <c r="F32" s="823"/>
      <c r="G32" s="822"/>
      <c r="H32" s="823"/>
      <c r="I32" s="822"/>
      <c r="J32" s="823"/>
      <c r="K32" s="822"/>
      <c r="L32" s="823"/>
      <c r="M32" s="822"/>
      <c r="N32" s="823"/>
      <c r="O32" s="822"/>
      <c r="P32" s="823"/>
      <c r="Q32" s="824">
        <f t="shared" si="0"/>
        <v>0</v>
      </c>
      <c r="R32" s="825"/>
      <c r="S32" s="826"/>
      <c r="T32" s="827">
        <f t="shared" si="1"/>
        <v>0</v>
      </c>
      <c r="U32" s="959"/>
      <c r="V32" s="828"/>
      <c r="W32" s="958"/>
      <c r="X32" s="829"/>
      <c r="Y32" s="830"/>
      <c r="Z32" s="831"/>
      <c r="AA32" s="1060"/>
      <c r="AB32" s="832"/>
      <c r="AD32" s="834">
        <f t="shared" si="2"/>
        <v>0</v>
      </c>
      <c r="AE32" s="27">
        <f t="shared" ca="1" si="3"/>
        <v>0</v>
      </c>
    </row>
    <row r="33" spans="1:31" ht="45" customHeight="1" x14ac:dyDescent="0.15">
      <c r="A33" s="19">
        <f t="shared" si="4"/>
        <v>26</v>
      </c>
      <c r="B33" s="820"/>
      <c r="C33" s="958"/>
      <c r="D33" s="821"/>
      <c r="E33" s="822"/>
      <c r="F33" s="823"/>
      <c r="G33" s="822"/>
      <c r="H33" s="823"/>
      <c r="I33" s="822"/>
      <c r="J33" s="823"/>
      <c r="K33" s="822"/>
      <c r="L33" s="823"/>
      <c r="M33" s="822"/>
      <c r="N33" s="823"/>
      <c r="O33" s="822"/>
      <c r="P33" s="823"/>
      <c r="Q33" s="824">
        <f t="shared" si="0"/>
        <v>0</v>
      </c>
      <c r="R33" s="825"/>
      <c r="S33" s="826"/>
      <c r="T33" s="827">
        <f t="shared" si="1"/>
        <v>0</v>
      </c>
      <c r="U33" s="959"/>
      <c r="V33" s="828"/>
      <c r="W33" s="958"/>
      <c r="X33" s="829"/>
      <c r="Y33" s="830"/>
      <c r="Z33" s="831"/>
      <c r="AA33" s="1060"/>
      <c r="AB33" s="832"/>
      <c r="AD33" s="834">
        <f t="shared" si="2"/>
        <v>0</v>
      </c>
      <c r="AE33" s="27">
        <f t="shared" ca="1" si="3"/>
        <v>0</v>
      </c>
    </row>
    <row r="34" spans="1:31" ht="45" customHeight="1" x14ac:dyDescent="0.15">
      <c r="A34" s="19">
        <f t="shared" si="4"/>
        <v>27</v>
      </c>
      <c r="B34" s="820"/>
      <c r="C34" s="958"/>
      <c r="D34" s="821"/>
      <c r="E34" s="822"/>
      <c r="F34" s="823"/>
      <c r="G34" s="822"/>
      <c r="H34" s="823"/>
      <c r="I34" s="822"/>
      <c r="J34" s="823"/>
      <c r="K34" s="822"/>
      <c r="L34" s="823"/>
      <c r="M34" s="822"/>
      <c r="N34" s="823"/>
      <c r="O34" s="822"/>
      <c r="P34" s="823"/>
      <c r="Q34" s="824">
        <f t="shared" si="0"/>
        <v>0</v>
      </c>
      <c r="R34" s="825"/>
      <c r="S34" s="826"/>
      <c r="T34" s="827">
        <f t="shared" si="1"/>
        <v>0</v>
      </c>
      <c r="U34" s="959"/>
      <c r="V34" s="828"/>
      <c r="W34" s="958"/>
      <c r="X34" s="829"/>
      <c r="Y34" s="830"/>
      <c r="Z34" s="831"/>
      <c r="AA34" s="1060"/>
      <c r="AB34" s="832"/>
      <c r="AD34" s="834">
        <f t="shared" si="2"/>
        <v>0</v>
      </c>
      <c r="AE34" s="27">
        <f t="shared" ca="1" si="3"/>
        <v>0</v>
      </c>
    </row>
    <row r="35" spans="1:31" ht="45" customHeight="1" x14ac:dyDescent="0.15">
      <c r="A35" s="19">
        <f t="shared" si="4"/>
        <v>28</v>
      </c>
      <c r="B35" s="820"/>
      <c r="C35" s="958"/>
      <c r="D35" s="821"/>
      <c r="E35" s="822"/>
      <c r="F35" s="823"/>
      <c r="G35" s="822"/>
      <c r="H35" s="823"/>
      <c r="I35" s="822"/>
      <c r="J35" s="823"/>
      <c r="K35" s="822"/>
      <c r="L35" s="823"/>
      <c r="M35" s="822"/>
      <c r="N35" s="823"/>
      <c r="O35" s="822"/>
      <c r="P35" s="823"/>
      <c r="Q35" s="824">
        <f t="shared" si="0"/>
        <v>0</v>
      </c>
      <c r="R35" s="825"/>
      <c r="S35" s="826"/>
      <c r="T35" s="827">
        <f t="shared" si="1"/>
        <v>0</v>
      </c>
      <c r="U35" s="959"/>
      <c r="V35" s="828"/>
      <c r="W35" s="958"/>
      <c r="X35" s="829"/>
      <c r="Y35" s="830"/>
      <c r="Z35" s="831"/>
      <c r="AA35" s="1060"/>
      <c r="AB35" s="832"/>
      <c r="AD35" s="834">
        <f t="shared" si="2"/>
        <v>0</v>
      </c>
      <c r="AE35" s="27">
        <f t="shared" ca="1" si="3"/>
        <v>0</v>
      </c>
    </row>
    <row r="36" spans="1:31" ht="45" customHeight="1" x14ac:dyDescent="0.15">
      <c r="A36" s="19">
        <f t="shared" si="4"/>
        <v>29</v>
      </c>
      <c r="B36" s="820"/>
      <c r="C36" s="958"/>
      <c r="D36" s="821"/>
      <c r="E36" s="822"/>
      <c r="F36" s="823"/>
      <c r="G36" s="822"/>
      <c r="H36" s="823"/>
      <c r="I36" s="822"/>
      <c r="J36" s="823"/>
      <c r="K36" s="822"/>
      <c r="L36" s="823"/>
      <c r="M36" s="822"/>
      <c r="N36" s="823"/>
      <c r="O36" s="822"/>
      <c r="P36" s="823"/>
      <c r="Q36" s="824">
        <f t="shared" si="0"/>
        <v>0</v>
      </c>
      <c r="R36" s="825"/>
      <c r="S36" s="826"/>
      <c r="T36" s="827">
        <f t="shared" si="1"/>
        <v>0</v>
      </c>
      <c r="U36" s="959"/>
      <c r="V36" s="828"/>
      <c r="W36" s="958"/>
      <c r="X36" s="829"/>
      <c r="Y36" s="830"/>
      <c r="Z36" s="831"/>
      <c r="AA36" s="1060"/>
      <c r="AB36" s="832"/>
      <c r="AD36" s="834">
        <f t="shared" si="2"/>
        <v>0</v>
      </c>
      <c r="AE36" s="27">
        <f t="shared" ca="1" si="3"/>
        <v>0</v>
      </c>
    </row>
    <row r="37" spans="1:31" ht="45" customHeight="1" x14ac:dyDescent="0.15">
      <c r="A37" s="19">
        <f t="shared" si="4"/>
        <v>30</v>
      </c>
      <c r="B37" s="820"/>
      <c r="C37" s="958"/>
      <c r="D37" s="821"/>
      <c r="E37" s="822"/>
      <c r="F37" s="823"/>
      <c r="G37" s="822"/>
      <c r="H37" s="823"/>
      <c r="I37" s="822"/>
      <c r="J37" s="823"/>
      <c r="K37" s="822"/>
      <c r="L37" s="823"/>
      <c r="M37" s="822"/>
      <c r="N37" s="823"/>
      <c r="O37" s="822"/>
      <c r="P37" s="823"/>
      <c r="Q37" s="824">
        <f t="shared" si="0"/>
        <v>0</v>
      </c>
      <c r="R37" s="825"/>
      <c r="S37" s="826"/>
      <c r="T37" s="827">
        <f t="shared" si="1"/>
        <v>0</v>
      </c>
      <c r="U37" s="959"/>
      <c r="V37" s="828"/>
      <c r="W37" s="958"/>
      <c r="X37" s="829"/>
      <c r="Y37" s="830"/>
      <c r="Z37" s="831"/>
      <c r="AA37" s="1060"/>
      <c r="AB37" s="832"/>
      <c r="AD37" s="834">
        <f t="shared" si="2"/>
        <v>0</v>
      </c>
      <c r="AE37" s="27">
        <f t="shared" ca="1" si="3"/>
        <v>0</v>
      </c>
    </row>
    <row r="38" spans="1:31" ht="45" customHeight="1" x14ac:dyDescent="0.15">
      <c r="A38" s="19">
        <f t="shared" si="4"/>
        <v>31</v>
      </c>
      <c r="B38" s="820"/>
      <c r="C38" s="958"/>
      <c r="D38" s="821"/>
      <c r="E38" s="822"/>
      <c r="F38" s="823"/>
      <c r="G38" s="822"/>
      <c r="H38" s="823"/>
      <c r="I38" s="822"/>
      <c r="J38" s="823"/>
      <c r="K38" s="822"/>
      <c r="L38" s="823"/>
      <c r="M38" s="822"/>
      <c r="N38" s="823"/>
      <c r="O38" s="822"/>
      <c r="P38" s="823"/>
      <c r="Q38" s="824">
        <f t="shared" si="0"/>
        <v>0</v>
      </c>
      <c r="R38" s="825"/>
      <c r="S38" s="826"/>
      <c r="T38" s="827">
        <f t="shared" si="1"/>
        <v>0</v>
      </c>
      <c r="U38" s="959"/>
      <c r="V38" s="828"/>
      <c r="W38" s="958"/>
      <c r="X38" s="829"/>
      <c r="Y38" s="830"/>
      <c r="Z38" s="831"/>
      <c r="AA38" s="1060"/>
      <c r="AB38" s="832"/>
      <c r="AD38" s="834">
        <f t="shared" si="2"/>
        <v>0</v>
      </c>
      <c r="AE38" s="27">
        <f t="shared" ca="1" si="3"/>
        <v>0</v>
      </c>
    </row>
    <row r="39" spans="1:31" ht="45" customHeight="1" x14ac:dyDescent="0.15">
      <c r="A39" s="19">
        <f t="shared" si="4"/>
        <v>32</v>
      </c>
      <c r="B39" s="820"/>
      <c r="C39" s="958"/>
      <c r="D39" s="821"/>
      <c r="E39" s="822"/>
      <c r="F39" s="823"/>
      <c r="G39" s="822"/>
      <c r="H39" s="823"/>
      <c r="I39" s="822"/>
      <c r="J39" s="823"/>
      <c r="K39" s="822"/>
      <c r="L39" s="823"/>
      <c r="M39" s="822"/>
      <c r="N39" s="823"/>
      <c r="O39" s="822"/>
      <c r="P39" s="823"/>
      <c r="Q39" s="824">
        <f t="shared" si="0"/>
        <v>0</v>
      </c>
      <c r="R39" s="825"/>
      <c r="S39" s="826"/>
      <c r="T39" s="827">
        <f t="shared" si="1"/>
        <v>0</v>
      </c>
      <c r="U39" s="959"/>
      <c r="V39" s="828"/>
      <c r="W39" s="958"/>
      <c r="X39" s="829"/>
      <c r="Y39" s="830"/>
      <c r="Z39" s="831"/>
      <c r="AA39" s="1060"/>
      <c r="AB39" s="832"/>
      <c r="AD39" s="834">
        <f t="shared" si="2"/>
        <v>0</v>
      </c>
      <c r="AE39" s="27">
        <f t="shared" ca="1" si="3"/>
        <v>0</v>
      </c>
    </row>
    <row r="40" spans="1:31" ht="45" customHeight="1" x14ac:dyDescent="0.15">
      <c r="A40" s="19">
        <f t="shared" si="4"/>
        <v>33</v>
      </c>
      <c r="B40" s="820"/>
      <c r="C40" s="958"/>
      <c r="D40" s="821"/>
      <c r="E40" s="822"/>
      <c r="F40" s="823"/>
      <c r="G40" s="822"/>
      <c r="H40" s="823"/>
      <c r="I40" s="822"/>
      <c r="J40" s="823"/>
      <c r="K40" s="822"/>
      <c r="L40" s="823"/>
      <c r="M40" s="822"/>
      <c r="N40" s="823"/>
      <c r="O40" s="822"/>
      <c r="P40" s="823"/>
      <c r="Q40" s="824">
        <f t="shared" si="0"/>
        <v>0</v>
      </c>
      <c r="R40" s="825"/>
      <c r="S40" s="826"/>
      <c r="T40" s="827">
        <f t="shared" si="1"/>
        <v>0</v>
      </c>
      <c r="U40" s="959"/>
      <c r="V40" s="828"/>
      <c r="W40" s="958"/>
      <c r="X40" s="829"/>
      <c r="Y40" s="830"/>
      <c r="Z40" s="831"/>
      <c r="AA40" s="1060"/>
      <c r="AB40" s="832"/>
      <c r="AD40" s="834">
        <f t="shared" si="2"/>
        <v>0</v>
      </c>
      <c r="AE40" s="27">
        <f t="shared" ca="1" si="3"/>
        <v>0</v>
      </c>
    </row>
    <row r="41" spans="1:31" ht="45" customHeight="1" x14ac:dyDescent="0.15">
      <c r="A41" s="19">
        <f t="shared" si="4"/>
        <v>34</v>
      </c>
      <c r="B41" s="820"/>
      <c r="C41" s="958"/>
      <c r="D41" s="821"/>
      <c r="E41" s="822"/>
      <c r="F41" s="823"/>
      <c r="G41" s="822"/>
      <c r="H41" s="823"/>
      <c r="I41" s="822"/>
      <c r="J41" s="823"/>
      <c r="K41" s="822"/>
      <c r="L41" s="823"/>
      <c r="M41" s="822"/>
      <c r="N41" s="823"/>
      <c r="O41" s="822"/>
      <c r="P41" s="823"/>
      <c r="Q41" s="824">
        <f t="shared" si="0"/>
        <v>0</v>
      </c>
      <c r="R41" s="825"/>
      <c r="S41" s="826"/>
      <c r="T41" s="827">
        <f t="shared" si="1"/>
        <v>0</v>
      </c>
      <c r="U41" s="959"/>
      <c r="V41" s="828"/>
      <c r="W41" s="958"/>
      <c r="X41" s="829"/>
      <c r="Y41" s="830"/>
      <c r="Z41" s="831"/>
      <c r="AA41" s="1060"/>
      <c r="AB41" s="832"/>
      <c r="AD41" s="834">
        <f t="shared" si="2"/>
        <v>0</v>
      </c>
      <c r="AE41" s="27">
        <f t="shared" ca="1" si="3"/>
        <v>0</v>
      </c>
    </row>
    <row r="42" spans="1:31" ht="45" customHeight="1" x14ac:dyDescent="0.15">
      <c r="A42" s="19">
        <f t="shared" si="4"/>
        <v>35</v>
      </c>
      <c r="B42" s="820"/>
      <c r="C42" s="958"/>
      <c r="D42" s="821"/>
      <c r="E42" s="822"/>
      <c r="F42" s="823"/>
      <c r="G42" s="822"/>
      <c r="H42" s="823"/>
      <c r="I42" s="822"/>
      <c r="J42" s="823"/>
      <c r="K42" s="822"/>
      <c r="L42" s="823"/>
      <c r="M42" s="822"/>
      <c r="N42" s="823"/>
      <c r="O42" s="822"/>
      <c r="P42" s="823"/>
      <c r="Q42" s="824">
        <f t="shared" si="0"/>
        <v>0</v>
      </c>
      <c r="R42" s="825"/>
      <c r="S42" s="826"/>
      <c r="T42" s="827">
        <f t="shared" si="1"/>
        <v>0</v>
      </c>
      <c r="U42" s="959"/>
      <c r="V42" s="828"/>
      <c r="W42" s="958"/>
      <c r="X42" s="829"/>
      <c r="Y42" s="830"/>
      <c r="Z42" s="831"/>
      <c r="AA42" s="1060"/>
      <c r="AB42" s="832"/>
      <c r="AD42" s="834">
        <f t="shared" si="2"/>
        <v>0</v>
      </c>
      <c r="AE42" s="27">
        <f t="shared" ca="1" si="3"/>
        <v>0</v>
      </c>
    </row>
    <row r="43" spans="1:31" ht="45" customHeight="1" x14ac:dyDescent="0.15">
      <c r="A43" s="19">
        <f t="shared" si="4"/>
        <v>36</v>
      </c>
      <c r="B43" s="820"/>
      <c r="C43" s="958"/>
      <c r="D43" s="821"/>
      <c r="E43" s="822"/>
      <c r="F43" s="823"/>
      <c r="G43" s="822"/>
      <c r="H43" s="823"/>
      <c r="I43" s="822"/>
      <c r="J43" s="823"/>
      <c r="K43" s="822"/>
      <c r="L43" s="823"/>
      <c r="M43" s="822"/>
      <c r="N43" s="823"/>
      <c r="O43" s="822"/>
      <c r="P43" s="823"/>
      <c r="Q43" s="824">
        <f t="shared" si="0"/>
        <v>0</v>
      </c>
      <c r="R43" s="825"/>
      <c r="S43" s="826"/>
      <c r="T43" s="827">
        <f t="shared" si="1"/>
        <v>0</v>
      </c>
      <c r="U43" s="959"/>
      <c r="V43" s="828"/>
      <c r="W43" s="958"/>
      <c r="X43" s="829"/>
      <c r="Y43" s="830"/>
      <c r="Z43" s="831"/>
      <c r="AA43" s="1060"/>
      <c r="AB43" s="832"/>
      <c r="AD43" s="834">
        <f t="shared" si="2"/>
        <v>0</v>
      </c>
      <c r="AE43" s="27">
        <f t="shared" ca="1" si="3"/>
        <v>0</v>
      </c>
    </row>
    <row r="44" spans="1:31" ht="45" customHeight="1" x14ac:dyDescent="0.15">
      <c r="A44" s="19">
        <f t="shared" si="4"/>
        <v>37</v>
      </c>
      <c r="B44" s="820"/>
      <c r="C44" s="958"/>
      <c r="D44" s="836"/>
      <c r="E44" s="822"/>
      <c r="F44" s="823"/>
      <c r="G44" s="822"/>
      <c r="H44" s="823"/>
      <c r="I44" s="822"/>
      <c r="J44" s="823"/>
      <c r="K44" s="822"/>
      <c r="L44" s="823"/>
      <c r="M44" s="822"/>
      <c r="N44" s="823"/>
      <c r="O44" s="822"/>
      <c r="P44" s="823"/>
      <c r="Q44" s="824"/>
      <c r="R44" s="825"/>
      <c r="S44" s="826"/>
      <c r="T44" s="827"/>
      <c r="U44" s="959"/>
      <c r="V44" s="828"/>
      <c r="W44" s="958"/>
      <c r="X44" s="829"/>
      <c r="Y44" s="830"/>
      <c r="Z44" s="831"/>
      <c r="AA44" s="1060"/>
      <c r="AB44" s="832"/>
      <c r="AD44" s="834"/>
      <c r="AE44" s="27">
        <f t="shared" ca="1" si="3"/>
        <v>0</v>
      </c>
    </row>
    <row r="45" spans="1:31" ht="45" customHeight="1" x14ac:dyDescent="0.15">
      <c r="A45" s="19">
        <f t="shared" si="4"/>
        <v>38</v>
      </c>
      <c r="B45" s="820"/>
      <c r="C45" s="958"/>
      <c r="D45" s="836"/>
      <c r="E45" s="822"/>
      <c r="F45" s="823"/>
      <c r="G45" s="822"/>
      <c r="H45" s="823"/>
      <c r="I45" s="822"/>
      <c r="J45" s="823"/>
      <c r="K45" s="822"/>
      <c r="L45" s="823"/>
      <c r="M45" s="822"/>
      <c r="N45" s="823"/>
      <c r="O45" s="822"/>
      <c r="P45" s="823"/>
      <c r="Q45" s="824"/>
      <c r="R45" s="825"/>
      <c r="S45" s="826"/>
      <c r="T45" s="827"/>
      <c r="U45" s="959"/>
      <c r="V45" s="828"/>
      <c r="W45" s="958"/>
      <c r="X45" s="829"/>
      <c r="Y45" s="830"/>
      <c r="Z45" s="831"/>
      <c r="AA45" s="1060"/>
      <c r="AB45" s="832"/>
      <c r="AD45" s="834"/>
      <c r="AE45" s="27">
        <f t="shared" ca="1" si="3"/>
        <v>0</v>
      </c>
    </row>
    <row r="46" spans="1:31" ht="45" customHeight="1" x14ac:dyDescent="0.15">
      <c r="A46" s="19">
        <f t="shared" si="4"/>
        <v>39</v>
      </c>
      <c r="B46" s="820"/>
      <c r="C46" s="958"/>
      <c r="D46" s="836"/>
      <c r="E46" s="822"/>
      <c r="F46" s="823"/>
      <c r="G46" s="822"/>
      <c r="H46" s="823"/>
      <c r="I46" s="822"/>
      <c r="J46" s="823"/>
      <c r="K46" s="822"/>
      <c r="L46" s="823"/>
      <c r="M46" s="822"/>
      <c r="N46" s="823"/>
      <c r="O46" s="822"/>
      <c r="P46" s="823"/>
      <c r="Q46" s="824"/>
      <c r="R46" s="825"/>
      <c r="S46" s="826"/>
      <c r="T46" s="827"/>
      <c r="U46" s="959"/>
      <c r="V46" s="828"/>
      <c r="W46" s="958"/>
      <c r="X46" s="829"/>
      <c r="Y46" s="830"/>
      <c r="Z46" s="831"/>
      <c r="AA46" s="1060"/>
      <c r="AB46" s="832"/>
      <c r="AD46" s="834"/>
      <c r="AE46" s="27">
        <f t="shared" ca="1" si="3"/>
        <v>0</v>
      </c>
    </row>
    <row r="47" spans="1:31" ht="45" customHeight="1" x14ac:dyDescent="0.15">
      <c r="A47" s="19">
        <f t="shared" si="4"/>
        <v>40</v>
      </c>
      <c r="B47" s="820"/>
      <c r="C47" s="958"/>
      <c r="D47" s="836"/>
      <c r="E47" s="822"/>
      <c r="F47" s="823"/>
      <c r="G47" s="822"/>
      <c r="H47" s="823"/>
      <c r="I47" s="822"/>
      <c r="J47" s="823"/>
      <c r="K47" s="822"/>
      <c r="L47" s="823"/>
      <c r="M47" s="822"/>
      <c r="N47" s="823"/>
      <c r="O47" s="822"/>
      <c r="P47" s="823"/>
      <c r="Q47" s="824"/>
      <c r="R47" s="825"/>
      <c r="S47" s="826"/>
      <c r="T47" s="827"/>
      <c r="U47" s="959"/>
      <c r="V47" s="828"/>
      <c r="W47" s="958"/>
      <c r="X47" s="829"/>
      <c r="Y47" s="830"/>
      <c r="Z47" s="831"/>
      <c r="AA47" s="1060"/>
      <c r="AB47" s="832"/>
      <c r="AD47" s="834"/>
      <c r="AE47" s="27">
        <f t="shared" ca="1" si="3"/>
        <v>0</v>
      </c>
    </row>
    <row r="48" spans="1:31" ht="45" customHeight="1" x14ac:dyDescent="0.15">
      <c r="A48" s="19">
        <f t="shared" si="4"/>
        <v>41</v>
      </c>
      <c r="B48" s="820"/>
      <c r="C48" s="958"/>
      <c r="D48" s="836"/>
      <c r="E48" s="822"/>
      <c r="F48" s="823"/>
      <c r="G48" s="822"/>
      <c r="H48" s="823"/>
      <c r="I48" s="822"/>
      <c r="J48" s="823"/>
      <c r="K48" s="822"/>
      <c r="L48" s="823"/>
      <c r="M48" s="822"/>
      <c r="N48" s="823"/>
      <c r="O48" s="822"/>
      <c r="P48" s="823"/>
      <c r="Q48" s="824"/>
      <c r="R48" s="825"/>
      <c r="S48" s="826"/>
      <c r="T48" s="827"/>
      <c r="U48" s="959"/>
      <c r="V48" s="828"/>
      <c r="W48" s="958"/>
      <c r="X48" s="829"/>
      <c r="Y48" s="830"/>
      <c r="Z48" s="831"/>
      <c r="AA48" s="1060"/>
      <c r="AB48" s="832"/>
      <c r="AD48" s="834"/>
      <c r="AE48" s="27">
        <f t="shared" ca="1" si="3"/>
        <v>0</v>
      </c>
    </row>
    <row r="49" spans="1:31" ht="45" customHeight="1" x14ac:dyDescent="0.15">
      <c r="A49" s="19">
        <f t="shared" si="4"/>
        <v>42</v>
      </c>
      <c r="B49" s="820"/>
      <c r="C49" s="958"/>
      <c r="D49" s="836"/>
      <c r="E49" s="822"/>
      <c r="F49" s="823"/>
      <c r="G49" s="822"/>
      <c r="H49" s="823"/>
      <c r="I49" s="822"/>
      <c r="J49" s="823"/>
      <c r="K49" s="822"/>
      <c r="L49" s="823"/>
      <c r="M49" s="822"/>
      <c r="N49" s="823"/>
      <c r="O49" s="822"/>
      <c r="P49" s="823"/>
      <c r="Q49" s="824"/>
      <c r="R49" s="825"/>
      <c r="S49" s="826"/>
      <c r="T49" s="827"/>
      <c r="U49" s="959"/>
      <c r="V49" s="828"/>
      <c r="W49" s="958"/>
      <c r="X49" s="829"/>
      <c r="Y49" s="830"/>
      <c r="Z49" s="831"/>
      <c r="AA49" s="1060"/>
      <c r="AB49" s="832"/>
      <c r="AD49" s="834"/>
      <c r="AE49" s="27">
        <f t="shared" ca="1" si="3"/>
        <v>0</v>
      </c>
    </row>
    <row r="50" spans="1:31" ht="45" customHeight="1" x14ac:dyDescent="0.15">
      <c r="A50" s="19">
        <f t="shared" si="4"/>
        <v>43</v>
      </c>
      <c r="B50" s="820"/>
      <c r="C50" s="958"/>
      <c r="D50" s="836"/>
      <c r="E50" s="822"/>
      <c r="F50" s="823"/>
      <c r="G50" s="822"/>
      <c r="H50" s="823"/>
      <c r="I50" s="822"/>
      <c r="J50" s="823"/>
      <c r="K50" s="822"/>
      <c r="L50" s="823"/>
      <c r="M50" s="822"/>
      <c r="N50" s="823"/>
      <c r="O50" s="822"/>
      <c r="P50" s="823"/>
      <c r="Q50" s="824"/>
      <c r="R50" s="825"/>
      <c r="S50" s="826"/>
      <c r="T50" s="827"/>
      <c r="U50" s="959"/>
      <c r="V50" s="828"/>
      <c r="W50" s="958"/>
      <c r="X50" s="829"/>
      <c r="Y50" s="830"/>
      <c r="Z50" s="831"/>
      <c r="AA50" s="1060"/>
      <c r="AB50" s="832"/>
      <c r="AD50" s="834"/>
      <c r="AE50" s="27">
        <f t="shared" ca="1" si="3"/>
        <v>0</v>
      </c>
    </row>
    <row r="51" spans="1:31" ht="45" customHeight="1" x14ac:dyDescent="0.15">
      <c r="A51" s="19">
        <f t="shared" si="4"/>
        <v>44</v>
      </c>
      <c r="B51" s="820"/>
      <c r="C51" s="958"/>
      <c r="D51" s="836"/>
      <c r="E51" s="822"/>
      <c r="F51" s="823"/>
      <c r="G51" s="822"/>
      <c r="H51" s="823"/>
      <c r="I51" s="822"/>
      <c r="J51" s="823"/>
      <c r="K51" s="822"/>
      <c r="L51" s="823"/>
      <c r="M51" s="822"/>
      <c r="N51" s="823"/>
      <c r="O51" s="822"/>
      <c r="P51" s="823"/>
      <c r="Q51" s="824"/>
      <c r="R51" s="825"/>
      <c r="S51" s="826"/>
      <c r="T51" s="827"/>
      <c r="U51" s="959"/>
      <c r="V51" s="828"/>
      <c r="W51" s="958"/>
      <c r="X51" s="829"/>
      <c r="Y51" s="830"/>
      <c r="Z51" s="831"/>
      <c r="AA51" s="1060"/>
      <c r="AB51" s="832"/>
      <c r="AD51" s="834"/>
      <c r="AE51" s="27">
        <f t="shared" ca="1" si="3"/>
        <v>0</v>
      </c>
    </row>
    <row r="52" spans="1:31" ht="45" customHeight="1" x14ac:dyDescent="0.15">
      <c r="A52" s="19">
        <f t="shared" si="4"/>
        <v>45</v>
      </c>
      <c r="B52" s="820"/>
      <c r="C52" s="958"/>
      <c r="D52" s="836"/>
      <c r="E52" s="822"/>
      <c r="F52" s="823"/>
      <c r="G52" s="822"/>
      <c r="H52" s="823"/>
      <c r="I52" s="822"/>
      <c r="J52" s="823"/>
      <c r="K52" s="822"/>
      <c r="L52" s="823"/>
      <c r="M52" s="822"/>
      <c r="N52" s="823"/>
      <c r="O52" s="822"/>
      <c r="P52" s="823"/>
      <c r="Q52" s="824"/>
      <c r="R52" s="825"/>
      <c r="S52" s="826"/>
      <c r="T52" s="827"/>
      <c r="U52" s="959"/>
      <c r="V52" s="828"/>
      <c r="W52" s="958"/>
      <c r="X52" s="829"/>
      <c r="Y52" s="830"/>
      <c r="Z52" s="831"/>
      <c r="AA52" s="1060"/>
      <c r="AB52" s="832"/>
      <c r="AD52" s="834"/>
      <c r="AE52" s="27">
        <f t="shared" ca="1" si="3"/>
        <v>0</v>
      </c>
    </row>
    <row r="53" spans="1:31" ht="45" customHeight="1" x14ac:dyDescent="0.15">
      <c r="A53" s="19">
        <f t="shared" si="4"/>
        <v>46</v>
      </c>
      <c r="B53" s="820"/>
      <c r="C53" s="958"/>
      <c r="D53" s="836"/>
      <c r="E53" s="822"/>
      <c r="F53" s="823"/>
      <c r="G53" s="822"/>
      <c r="H53" s="823"/>
      <c r="I53" s="822"/>
      <c r="J53" s="823"/>
      <c r="K53" s="822"/>
      <c r="L53" s="823"/>
      <c r="M53" s="822"/>
      <c r="N53" s="823"/>
      <c r="O53" s="822"/>
      <c r="P53" s="823"/>
      <c r="Q53" s="824"/>
      <c r="R53" s="825"/>
      <c r="S53" s="826"/>
      <c r="T53" s="827"/>
      <c r="U53" s="959"/>
      <c r="V53" s="828"/>
      <c r="W53" s="958"/>
      <c r="X53" s="829"/>
      <c r="Y53" s="830"/>
      <c r="Z53" s="831"/>
      <c r="AA53" s="1060"/>
      <c r="AB53" s="832"/>
      <c r="AD53" s="834"/>
      <c r="AE53" s="27">
        <f t="shared" ca="1" si="3"/>
        <v>0</v>
      </c>
    </row>
    <row r="54" spans="1:31" ht="45" customHeight="1" x14ac:dyDescent="0.15">
      <c r="A54" s="19">
        <f t="shared" si="4"/>
        <v>47</v>
      </c>
      <c r="B54" s="820"/>
      <c r="C54" s="958"/>
      <c r="D54" s="836"/>
      <c r="E54" s="822"/>
      <c r="F54" s="823"/>
      <c r="G54" s="822"/>
      <c r="H54" s="823"/>
      <c r="I54" s="822"/>
      <c r="J54" s="823"/>
      <c r="K54" s="822"/>
      <c r="L54" s="823"/>
      <c r="M54" s="822"/>
      <c r="N54" s="823"/>
      <c r="O54" s="822"/>
      <c r="P54" s="823"/>
      <c r="Q54" s="824"/>
      <c r="R54" s="825"/>
      <c r="S54" s="826"/>
      <c r="T54" s="827"/>
      <c r="U54" s="959"/>
      <c r="V54" s="828"/>
      <c r="W54" s="958"/>
      <c r="X54" s="829"/>
      <c r="Y54" s="830"/>
      <c r="Z54" s="831"/>
      <c r="AA54" s="1060"/>
      <c r="AB54" s="832"/>
      <c r="AD54" s="834"/>
      <c r="AE54" s="27">
        <f t="shared" ca="1" si="3"/>
        <v>0</v>
      </c>
    </row>
    <row r="55" spans="1:31" ht="45" customHeight="1" x14ac:dyDescent="0.15">
      <c r="A55" s="19">
        <f t="shared" si="4"/>
        <v>48</v>
      </c>
      <c r="B55" s="820"/>
      <c r="C55" s="958"/>
      <c r="D55" s="836"/>
      <c r="E55" s="822"/>
      <c r="F55" s="823"/>
      <c r="G55" s="822"/>
      <c r="H55" s="823"/>
      <c r="I55" s="822"/>
      <c r="J55" s="823"/>
      <c r="K55" s="822"/>
      <c r="L55" s="823"/>
      <c r="M55" s="822"/>
      <c r="N55" s="823"/>
      <c r="O55" s="822"/>
      <c r="P55" s="823"/>
      <c r="Q55" s="824"/>
      <c r="R55" s="825"/>
      <c r="S55" s="826"/>
      <c r="T55" s="827"/>
      <c r="U55" s="959"/>
      <c r="V55" s="828"/>
      <c r="W55" s="958"/>
      <c r="X55" s="829"/>
      <c r="Y55" s="830"/>
      <c r="Z55" s="831"/>
      <c r="AA55" s="1060"/>
      <c r="AB55" s="832"/>
      <c r="AD55" s="834"/>
      <c r="AE55" s="27">
        <f t="shared" ca="1" si="3"/>
        <v>0</v>
      </c>
    </row>
    <row r="56" spans="1:31" ht="45" customHeight="1" x14ac:dyDescent="0.15">
      <c r="A56" s="19">
        <f t="shared" si="4"/>
        <v>49</v>
      </c>
      <c r="B56" s="820"/>
      <c r="C56" s="958"/>
      <c r="D56" s="836"/>
      <c r="E56" s="822"/>
      <c r="F56" s="823"/>
      <c r="G56" s="822"/>
      <c r="H56" s="823"/>
      <c r="I56" s="822"/>
      <c r="J56" s="823"/>
      <c r="K56" s="822"/>
      <c r="L56" s="823"/>
      <c r="M56" s="822"/>
      <c r="N56" s="823"/>
      <c r="O56" s="822"/>
      <c r="P56" s="823"/>
      <c r="Q56" s="824"/>
      <c r="R56" s="825"/>
      <c r="S56" s="826"/>
      <c r="T56" s="827"/>
      <c r="U56" s="959"/>
      <c r="V56" s="828"/>
      <c r="W56" s="958"/>
      <c r="X56" s="829"/>
      <c r="Y56" s="830"/>
      <c r="Z56" s="831"/>
      <c r="AA56" s="1060"/>
      <c r="AB56" s="832"/>
      <c r="AD56" s="834"/>
      <c r="AE56" s="27">
        <f t="shared" ca="1" si="3"/>
        <v>0</v>
      </c>
    </row>
    <row r="57" spans="1:31" ht="45" customHeight="1" thickBot="1" x14ac:dyDescent="0.2">
      <c r="A57" s="19">
        <f t="shared" si="4"/>
        <v>50</v>
      </c>
      <c r="B57" s="820"/>
      <c r="C57" s="958"/>
      <c r="D57" s="837"/>
      <c r="E57" s="822"/>
      <c r="F57" s="823"/>
      <c r="G57" s="822"/>
      <c r="H57" s="823"/>
      <c r="I57" s="822"/>
      <c r="J57" s="823"/>
      <c r="K57" s="822"/>
      <c r="L57" s="823"/>
      <c r="M57" s="822"/>
      <c r="N57" s="823"/>
      <c r="O57" s="822"/>
      <c r="P57" s="823"/>
      <c r="Q57" s="824">
        <f>SUM(F57,H57,J57,L57,N57,P57)</f>
        <v>0</v>
      </c>
      <c r="R57" s="825"/>
      <c r="S57" s="826"/>
      <c r="T57" s="827">
        <f>SUM(R57:S57)</f>
        <v>0</v>
      </c>
      <c r="U57" s="959"/>
      <c r="V57" s="828"/>
      <c r="W57" s="958"/>
      <c r="X57" s="829"/>
      <c r="Y57" s="830"/>
      <c r="Z57" s="831"/>
      <c r="AA57" s="1060"/>
      <c r="AB57" s="832"/>
      <c r="AD57" s="834">
        <f>IF(AA57&lt;&gt;"",0,IF(T57=0,Q57,T57))</f>
        <v>0</v>
      </c>
      <c r="AE57" s="27">
        <f t="shared" ca="1" si="3"/>
        <v>0</v>
      </c>
    </row>
    <row r="58" spans="1:31" ht="19" thickTop="1" x14ac:dyDescent="0.15">
      <c r="B58" s="838"/>
      <c r="C58" s="839" t="s">
        <v>477</v>
      </c>
      <c r="D58" s="840"/>
      <c r="E58" s="841"/>
      <c r="F58" s="842">
        <f>SUM(F8:F57)</f>
        <v>0</v>
      </c>
      <c r="G58" s="841"/>
      <c r="H58" s="842">
        <f>SUM(H8:H57)</f>
        <v>0</v>
      </c>
      <c r="I58" s="841"/>
      <c r="J58" s="842">
        <f>SUM(J8:J57)</f>
        <v>0</v>
      </c>
      <c r="K58" s="841"/>
      <c r="L58" s="842">
        <f>SUM(L8:L57)</f>
        <v>0</v>
      </c>
      <c r="M58" s="841"/>
      <c r="N58" s="842">
        <f>SUM(N8:N57)</f>
        <v>0</v>
      </c>
      <c r="O58" s="841"/>
      <c r="P58" s="842">
        <f>SUM(P8:P57)</f>
        <v>0</v>
      </c>
      <c r="Q58" s="843">
        <f>SUM(Q8:Q57)</f>
        <v>0</v>
      </c>
      <c r="R58" s="844">
        <f>SUM(R8:R57)</f>
        <v>0</v>
      </c>
      <c r="S58" s="845">
        <f>SUM(S8:S57)</f>
        <v>0</v>
      </c>
      <c r="T58" s="842">
        <f>SUM(T8:T57)</f>
        <v>0</v>
      </c>
      <c r="U58" s="846"/>
      <c r="V58" s="844">
        <f>SUM(V8:V57)</f>
        <v>0</v>
      </c>
      <c r="W58" s="847"/>
      <c r="X58" s="848">
        <f>SUM(X8:X57)</f>
        <v>0</v>
      </c>
      <c r="Y58" s="843">
        <f>SUM(Y8:Y57)</f>
        <v>0</v>
      </c>
      <c r="Z58" s="842">
        <f>SUM(Z8:Z57)</f>
        <v>0</v>
      </c>
      <c r="AA58" s="849">
        <f>COUNTIF(AA8:AA57,AA2)</f>
        <v>0</v>
      </c>
      <c r="AB58" s="850"/>
      <c r="AD58" s="834">
        <f>SUM(AD8:AD57)</f>
        <v>0</v>
      </c>
      <c r="AE58" s="27">
        <f ca="1">SUM(AE8:AE57)</f>
        <v>0</v>
      </c>
    </row>
    <row r="60" spans="1:31" ht="15" thickTop="1" thickBot="1" x14ac:dyDescent="0.2">
      <c r="B60" s="1615" t="str">
        <f>IF(AD7=2,"Effacez les réclamations complètées de l'année précédente et reportez celles en attente au début du tableau.","Delete the completed claims from last year and report the outstanding claims at the beginning of the table.")</f>
        <v>Delete the completed claims from last year and report the outstanding claims at the beginning of the table.</v>
      </c>
      <c r="C60" s="1615"/>
      <c r="D60" s="1615"/>
    </row>
    <row r="61" spans="1:31" ht="15" thickTop="1" thickBot="1" x14ac:dyDescent="0.2">
      <c r="B61" s="1615"/>
      <c r="C61" s="1615"/>
      <c r="D61" s="1615"/>
    </row>
    <row r="62" spans="1:31" ht="15" thickTop="1" thickBot="1" x14ac:dyDescent="0.2">
      <c r="B62" s="1615"/>
      <c r="C62" s="1615"/>
      <c r="D62" s="1615"/>
    </row>
    <row r="63" spans="1:31" ht="15" thickTop="1" thickBot="1" x14ac:dyDescent="0.2">
      <c r="B63" s="1615"/>
      <c r="C63" s="1615"/>
      <c r="D63" s="1615"/>
    </row>
  </sheetData>
  <sheetProtection algorithmName="SHA-512" hashValue="BipdPJsBu+NozMo8Y2iw7qAOYoSrhSy6BZWjpu4Bbx8fgYyDWLEsxQjUqFq7DnXftNCV+Z1erWkCigSYM1xJ5g==" saltValue="EBwJWt04FT0ELJU6ATjA7w==" spinCount="100000" sheet="1" objects="1" scenarios="1" selectLockedCells="1"/>
  <mergeCells count="36">
    <mergeCell ref="B1:P1"/>
    <mergeCell ref="Q1:Q2"/>
    <mergeCell ref="R1:R2"/>
    <mergeCell ref="B2:P2"/>
    <mergeCell ref="U2:Y3"/>
    <mergeCell ref="B3:P3"/>
    <mergeCell ref="R5:R7"/>
    <mergeCell ref="S5:S7"/>
    <mergeCell ref="T5:T7"/>
    <mergeCell ref="U5:U7"/>
    <mergeCell ref="B4:C4"/>
    <mergeCell ref="E4:P4"/>
    <mergeCell ref="B5:B7"/>
    <mergeCell ref="C5:C7"/>
    <mergeCell ref="D5:D7"/>
    <mergeCell ref="E5:F5"/>
    <mergeCell ref="G5:H5"/>
    <mergeCell ref="I5:J5"/>
    <mergeCell ref="K5:L5"/>
    <mergeCell ref="M5:N5"/>
    <mergeCell ref="B60:D63"/>
    <mergeCell ref="AB5:AB7"/>
    <mergeCell ref="E7:F7"/>
    <mergeCell ref="G7:H7"/>
    <mergeCell ref="I7:J7"/>
    <mergeCell ref="K7:L7"/>
    <mergeCell ref="M7:N7"/>
    <mergeCell ref="O7:P7"/>
    <mergeCell ref="V5:V7"/>
    <mergeCell ref="W5:W7"/>
    <mergeCell ref="X5:X7"/>
    <mergeCell ref="Y5:Y7"/>
    <mergeCell ref="Z5:Z7"/>
    <mergeCell ref="AA5:AA7"/>
    <mergeCell ref="O5:P5"/>
    <mergeCell ref="Q5:Q7"/>
  </mergeCells>
  <conditionalFormatting sqref="R1:R2">
    <cfRule type="cellIs" dxfId="33" priority="4" operator="notEqual">
      <formula>0</formula>
    </cfRule>
    <cfRule type="cellIs" dxfId="32" priority="5" operator="equal">
      <formula>0</formula>
    </cfRule>
  </conditionalFormatting>
  <conditionalFormatting sqref="V8:Z57">
    <cfRule type="expression" dxfId="31" priority="1">
      <formula>AND($U8&lt;&gt;"",$V8="",TODAY()-$U8&gt;$AB$3)</formula>
    </cfRule>
  </conditionalFormatting>
  <conditionalFormatting sqref="V8:AB57 B8:P57">
    <cfRule type="expression" dxfId="30" priority="6">
      <formula>$AA8=$AA$2</formula>
    </cfRule>
  </conditionalFormatting>
  <conditionalFormatting sqref="AD8:AD58">
    <cfRule type="expression" dxfId="29" priority="2">
      <formula>$AA8=$AA$2</formula>
    </cfRule>
    <cfRule type="expression" dxfId="28" priority="3">
      <formula>AND($U8&lt;&gt;"",$V8="",TODAY()-$U8&gt;30)</formula>
    </cfRule>
  </conditionalFormatting>
  <dataValidations count="3">
    <dataValidation type="whole" allowBlank="1" showInputMessage="1" showErrorMessage="1" error="Le nombre doit être compris en tre 1 et 365_x000a__x000a_The number is comprised between 1 and 365." sqref="AB3" xr:uid="{E3721F6C-239A-46A0-AFB6-E8851FE70342}">
      <formula1>1</formula1>
      <formula2>365</formula2>
    </dataValidation>
    <dataValidation type="date" operator="greaterThan" allowBlank="1" showInputMessage="1" showErrorMessage="1" sqref="C8:C57" xr:uid="{F5347183-90E4-478F-B61A-1274D0807DC6}">
      <formula1>42917</formula1>
      <formula2>0</formula2>
    </dataValidation>
    <dataValidation type="list" allowBlank="1" showInputMessage="1" showErrorMessage="1" sqref="AA8:AA57" xr:uid="{1918B509-EE5F-4003-82AD-1C12CFB463FC}">
      <formula1>$AA$1:$AA$2</formula1>
      <formula2>0</formula2>
    </dataValidation>
  </dataValidations>
  <printOptions horizontalCentered="1"/>
  <pageMargins left="0.15763888888888899" right="0.15763888888888899" top="0.78749999999999998" bottom="0.35416666666666702" header="0.23611111111111099" footer="0.196527777777778"/>
  <pageSetup fitToHeight="0" orientation="landscape" horizontalDpi="300" verticalDpi="300"/>
  <headerFooter>
    <oddHeader>&amp;C&amp;"Arial,Bold"&amp;28</oddHeader>
    <oddFooter>&amp;L&amp;D&amp;R&amp;P/&amp;N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sheetPr>
  <dimension ref="B1:Y58"/>
  <sheetViews>
    <sheetView showGridLines="0" showRowColHeaders="0" showZeros="0" topLeftCell="A44" zoomScale="85" zoomScaleNormal="85" zoomScalePageLayoutView="55" workbookViewId="0">
      <selection activeCell="B9" sqref="B9:Y9"/>
    </sheetView>
  </sheetViews>
  <sheetFormatPr baseColWidth="10" defaultColWidth="8.6640625" defaultRowHeight="13" x14ac:dyDescent="0.15"/>
  <cols>
    <col min="2" max="2" width="86.33203125" customWidth="1"/>
    <col min="7" max="7" width="9.1640625" customWidth="1"/>
    <col min="9" max="9" width="9.1640625" customWidth="1"/>
  </cols>
  <sheetData>
    <row r="1" spans="2:25" x14ac:dyDescent="0.15">
      <c r="E1" s="214">
        <f>'Set up ~ Config'!L10</f>
        <v>1</v>
      </c>
    </row>
    <row r="4" spans="2:25" ht="72" customHeight="1" x14ac:dyDescent="0.3">
      <c r="B4" s="1644" t="str">
        <f>IF(E1=2,"Ligue des cadets de l'air du Canada
Comité provincial"&amp;" "&amp;"("&amp;'Set up ~ Config'!C11&amp;")","Air Cadet League of Canada
Provincial Committee"&amp;" "&amp;"("&amp;'Set up ~ Config'!C11&amp;")")</f>
        <v>Air Cadet League of Canada
Provincial Committee ()</v>
      </c>
      <c r="C4" s="1644"/>
      <c r="D4" s="1644"/>
      <c r="E4" s="1644"/>
      <c r="F4" s="1644"/>
      <c r="G4" s="1644"/>
      <c r="H4" s="1644"/>
      <c r="I4" s="1644"/>
      <c r="J4" s="1644"/>
      <c r="K4" s="1644"/>
      <c r="L4" s="1644"/>
      <c r="M4" s="1644"/>
      <c r="N4" s="1644"/>
      <c r="O4" s="1644"/>
      <c r="P4" s="1644"/>
      <c r="Q4" s="1644"/>
      <c r="R4" s="1644"/>
      <c r="S4" s="1644"/>
      <c r="T4" s="1644"/>
      <c r="U4" s="1644"/>
      <c r="V4" s="1644"/>
      <c r="W4" s="1644"/>
      <c r="X4" s="1644"/>
      <c r="Y4" s="1644"/>
    </row>
    <row r="6" spans="2:25" ht="25" x14ac:dyDescent="0.25">
      <c r="B6" s="1645" t="str">
        <f>IF(E1=2,"Comité répondant d'escadron","Squadron Sponsoring Committee")</f>
        <v>Squadron Sponsoring Committee</v>
      </c>
      <c r="C6" s="1645"/>
      <c r="D6" s="1645"/>
      <c r="E6" s="1645"/>
      <c r="F6" s="1645"/>
      <c r="G6" s="1645"/>
      <c r="H6" s="1645"/>
      <c r="I6" s="1645"/>
      <c r="J6" s="1645"/>
      <c r="K6" s="1645"/>
      <c r="L6" s="1645"/>
      <c r="M6" s="1645"/>
      <c r="N6" s="1645"/>
      <c r="O6" s="1645"/>
      <c r="P6" s="1645"/>
      <c r="Q6" s="1645"/>
      <c r="R6" s="1645"/>
      <c r="S6" s="1645"/>
      <c r="T6" s="1645"/>
      <c r="U6" s="1645"/>
      <c r="V6" s="1645"/>
      <c r="W6" s="1645"/>
      <c r="X6" s="1645"/>
      <c r="Y6" s="1645"/>
    </row>
    <row r="9" spans="2:25" ht="35" x14ac:dyDescent="0.15">
      <c r="B9" s="1646">
        <f>'Set up ~ Config'!D10</f>
        <v>0</v>
      </c>
      <c r="C9" s="1646"/>
      <c r="D9" s="1646"/>
      <c r="E9" s="1646"/>
      <c r="F9" s="1646"/>
      <c r="G9" s="1646"/>
      <c r="H9" s="1646"/>
      <c r="I9" s="1646"/>
      <c r="J9" s="1646"/>
      <c r="K9" s="1646"/>
      <c r="L9" s="1646"/>
      <c r="M9" s="1646"/>
      <c r="N9" s="1646"/>
      <c r="O9" s="1646"/>
      <c r="P9" s="1646"/>
      <c r="Q9" s="1646"/>
      <c r="R9" s="1646"/>
      <c r="S9" s="1646"/>
      <c r="T9" s="1646"/>
      <c r="U9" s="1646"/>
      <c r="V9" s="1646"/>
      <c r="W9" s="1646"/>
      <c r="X9" s="1646"/>
      <c r="Y9" s="1646"/>
    </row>
    <row r="57" spans="2:25" ht="45" x14ac:dyDescent="0.15">
      <c r="B57" s="1647" t="str">
        <f>IF(E1=2,"Rapport financier annuel","Annual Financial Report")</f>
        <v>Annual Financial Report</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row>
    <row r="58" spans="2:25" ht="28" x14ac:dyDescent="0.3">
      <c r="B58" s="1648" t="e">
        <f>IF(E1=2,"pour l'exercice financier terminé le "&amp;'Set up ~ Config'!N6,"For  Fiscal Year Ending on "&amp;'Set up ~ Config'!N6)</f>
        <v>#VALUE!</v>
      </c>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row>
  </sheetData>
  <sheetProtection algorithmName="SHA-512" hashValue="+RgQLSq4aSudGhmxHG6rTT/OjLGELTXa05Nd5y7hl6SYyqVIS/yB4O6UyyFur3JV5ITtrBOkxnEZCkNA7z/XmA==" saltValue="ESwBuUrsfeAOIVMKqoVGpw==" spinCount="100000" sheet="1" objects="1" scenarios="1" selectLockedCells="1" selectUnlockedCells="1"/>
  <mergeCells count="5">
    <mergeCell ref="B4:Y4"/>
    <mergeCell ref="B6:Y6"/>
    <mergeCell ref="B9:Y9"/>
    <mergeCell ref="B57:Y57"/>
    <mergeCell ref="B58:Y58"/>
  </mergeCells>
  <printOptions horizontalCentered="1"/>
  <pageMargins left="0.17013888888888901" right="0.17013888888888901" top="0.74791666666666701" bottom="0.74791666666666701" header="0.511811023622047" footer="0.511811023622047"/>
  <pageSetup scale="77"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sheetPr>
  <dimension ref="A1:AMJ51"/>
  <sheetViews>
    <sheetView showGridLines="0" showZeros="0" zoomScaleNormal="100" zoomScalePageLayoutView="40" workbookViewId="0">
      <selection activeCell="B37" sqref="B37:C37"/>
    </sheetView>
  </sheetViews>
  <sheetFormatPr baseColWidth="10" defaultColWidth="11.5" defaultRowHeight="13" x14ac:dyDescent="0.15"/>
  <cols>
    <col min="1" max="1" width="4.83203125" style="1" customWidth="1"/>
    <col min="2" max="2" width="5.83203125" style="1" customWidth="1"/>
    <col min="3" max="3" width="15.6640625" style="1" customWidth="1"/>
    <col min="4" max="4" width="16.1640625" style="1" customWidth="1"/>
    <col min="5" max="5" width="16" style="1" customWidth="1"/>
    <col min="6" max="6" width="9.1640625" style="1" customWidth="1"/>
    <col min="7" max="7" width="20.1640625" style="1" customWidth="1"/>
    <col min="8" max="8" width="17.83203125" style="1" customWidth="1"/>
    <col min="9" max="9" width="11" style="1" customWidth="1"/>
    <col min="10" max="10" width="34" style="1" customWidth="1"/>
    <col min="11" max="11" width="1" style="1" customWidth="1"/>
    <col min="12" max="12" width="23.5" style="1" hidden="1" customWidth="1"/>
    <col min="13" max="13" width="1.5" style="1" hidden="1" customWidth="1"/>
    <col min="14" max="14" width="11.5" style="1" hidden="1" customWidth="1"/>
    <col min="15" max="20" width="9.1640625" style="1" hidden="1" customWidth="1"/>
    <col min="21" max="21" width="11.5" style="1" hidden="1" customWidth="1"/>
    <col min="22" max="22" width="14.33203125" style="1" hidden="1" customWidth="1"/>
    <col min="23" max="23" width="8.83203125" style="1" hidden="1" customWidth="1"/>
    <col min="24" max="24" width="9.1640625" style="1" hidden="1" customWidth="1"/>
    <col min="25" max="25" width="3.5" style="1" customWidth="1"/>
    <col min="26" max="26" width="2.1640625" style="1" customWidth="1"/>
    <col min="27" max="28" width="9.1640625" style="1" customWidth="1"/>
    <col min="29" max="29" width="8.5" style="1" customWidth="1"/>
    <col min="30" max="30" width="9.1640625" style="1" customWidth="1"/>
    <col min="31" max="31" width="8.33203125" style="1" customWidth="1"/>
    <col min="32" max="256" width="9.1640625" style="1" customWidth="1"/>
    <col min="257" max="1024" width="11.5" style="1"/>
  </cols>
  <sheetData>
    <row r="1" spans="2:20" ht="54" customHeight="1" x14ac:dyDescent="0.15">
      <c r="B1" s="1712" t="str">
        <f>IF(N1=2,"Ligue des cadets de l'air du Canada
Rapport financier du Comité répondant d'escadron","Air Cadet League of Canada
Squadron Sponsoring Committee
Financial Report")</f>
        <v>Air Cadet League of Canada
Squadron Sponsoring Committee
Financial Report</v>
      </c>
      <c r="C1" s="1712"/>
      <c r="D1" s="1712"/>
      <c r="E1" s="1712"/>
      <c r="F1" s="1712"/>
      <c r="G1" s="1712"/>
      <c r="H1" s="1712"/>
      <c r="I1" s="1712"/>
      <c r="J1" s="1712"/>
      <c r="N1" s="12">
        <f>'Set up ~ Config'!L10</f>
        <v>1</v>
      </c>
    </row>
    <row r="2" spans="2:20" ht="24.75" customHeight="1" x14ac:dyDescent="0.15">
      <c r="B2" s="1713">
        <f>'Set up ~ Config'!D10</f>
        <v>0</v>
      </c>
      <c r="C2" s="1713"/>
      <c r="D2" s="1713"/>
      <c r="E2" s="1713"/>
      <c r="F2" s="1713"/>
      <c r="G2" s="1713"/>
      <c r="H2" s="1713"/>
      <c r="I2" s="1713"/>
      <c r="J2" s="1713"/>
      <c r="N2" s="23"/>
    </row>
    <row r="3" spans="2:20" ht="31.5" customHeight="1" x14ac:dyDescent="0.15">
      <c r="B3" s="1714" t="str">
        <f>IF(N1=2,"Rapport Financier Consolidé 'Comptes multiples' du
Comité Répondant (Formulaire ACC9MA)","Squadron Sponsoring Committee
Financial Report (Form ACC9MA)")</f>
        <v>Squadron Sponsoring Committee
Financial Report (Form ACC9MA)</v>
      </c>
      <c r="C3" s="1714"/>
      <c r="D3" s="1714"/>
      <c r="E3" s="1714"/>
      <c r="F3" s="215"/>
      <c r="G3" s="215"/>
      <c r="H3" s="215"/>
      <c r="I3" s="215"/>
      <c r="J3" s="215"/>
    </row>
    <row r="4" spans="2:20" s="188" customFormat="1" ht="21.75" customHeight="1" x14ac:dyDescent="0.15">
      <c r="B4" s="1706" t="str">
        <f>IF(N1=2,"LA LIGUE DES CADETS DE L'AIR DU CANADA   --  RèGLEMENTS 2006, Article 1.3.9.2.4.v du MPP","AIR CADET LEAGUE OF CANADA   --  2006 BY- LAW Article 9.2.4.v. in the PPM")</f>
        <v>AIR CADET LEAGUE OF CANADA   --  2006 BY- LAW Article 9.2.4.v. in the PPM</v>
      </c>
      <c r="C4" s="1706"/>
      <c r="D4" s="1706"/>
      <c r="E4" s="1706"/>
      <c r="F4" s="1706"/>
      <c r="G4" s="1706"/>
      <c r="H4" s="1706"/>
      <c r="I4" s="1706"/>
      <c r="J4" s="1706"/>
      <c r="T4" s="20" t="s">
        <v>544</v>
      </c>
    </row>
    <row r="5" spans="2:20" ht="81" customHeight="1" x14ac:dyDescent="0.15">
      <c r="B5" s="1715" t="str">
        <f>IF(N1=2,T4,T5)</f>
        <v>As specified in the PPM Article 5.18.19.1 revised in January 2024, each Squadron Sponsoring  Committee must render an annual statement of receipts and expenditures on Form ACC9 to its ACL Provincial Committee before 31 October of the next fiscal year.  The PC will then review before sending a signed off copy to the National level.</v>
      </c>
      <c r="C5" s="1715"/>
      <c r="D5" s="1715"/>
      <c r="E5" s="1715"/>
      <c r="F5" s="1715"/>
      <c r="G5" s="1715"/>
      <c r="H5" s="1715"/>
      <c r="I5" s="1715"/>
      <c r="J5" s="1715"/>
      <c r="T5" s="20" t="s">
        <v>543</v>
      </c>
    </row>
    <row r="6" spans="2:20" ht="23.25" customHeight="1" x14ac:dyDescent="0.15">
      <c r="B6" s="1706" t="str">
        <f>IF(N1=2,"CHAQUE PAGE DE CE FORMULAIRE DOIT ÊTRE COMPLÉTÉE ET REMISE ANNUELLEMENT.","THE FULL AND COMPLETE YEARLY SUBMISSION OF THIS FORM IS MANDATORY.")</f>
        <v>THE FULL AND COMPLETE YEARLY SUBMISSION OF THIS FORM IS MANDATORY.</v>
      </c>
      <c r="C6" s="1706"/>
      <c r="D6" s="1706"/>
      <c r="E6" s="1706"/>
      <c r="F6" s="1706"/>
      <c r="G6" s="1706"/>
      <c r="H6" s="1706"/>
      <c r="I6" s="1706"/>
      <c r="J6" s="1706"/>
      <c r="O6" s="216"/>
      <c r="Q6" s="217"/>
      <c r="T6" s="1" t="e">
        <f>"It must be completed with a Year-End of  "&amp;'Set up ~ Config'!N6&amp;" and submitted "</f>
        <v>#VALUE!</v>
      </c>
    </row>
    <row r="7" spans="2:20" x14ac:dyDescent="0.15">
      <c r="B7" s="1707" t="e">
        <f>IF(N1=2,T7, T6)</f>
        <v>#VALUE!</v>
      </c>
      <c r="C7" s="1707"/>
      <c r="D7" s="1707"/>
      <c r="E7" s="1707"/>
      <c r="F7" s="1707"/>
      <c r="G7" s="1707"/>
      <c r="H7" s="1707"/>
      <c r="I7" s="1707"/>
      <c r="J7" s="1707"/>
      <c r="O7" s="80"/>
      <c r="R7" s="217"/>
      <c r="T7" s="1" t="e">
        <f>"Le rapport doit être complété avec une fin d'année au "&amp;'Set up ~ Config'!N6&amp;" et remis "</f>
        <v>#VALUE!</v>
      </c>
    </row>
    <row r="8" spans="2:20" x14ac:dyDescent="0.15">
      <c r="B8" s="1708" t="str">
        <f>T10</f>
        <v xml:space="preserve">to the Provincial Committee by 31 October </v>
      </c>
      <c r="C8" s="1708"/>
      <c r="D8" s="1708"/>
      <c r="E8" s="1708"/>
      <c r="F8" s="1708"/>
      <c r="G8" s="1708"/>
      <c r="H8" s="1708"/>
      <c r="I8" s="1708"/>
      <c r="J8" s="1708"/>
      <c r="O8" s="80"/>
      <c r="R8" s="82"/>
    </row>
    <row r="9" spans="2:20" ht="4.5" customHeight="1" x14ac:dyDescent="0.15">
      <c r="B9" s="193"/>
      <c r="C9" s="193"/>
      <c r="D9" s="193"/>
      <c r="E9" s="193"/>
      <c r="F9" s="193"/>
      <c r="G9" s="193"/>
      <c r="H9" s="193"/>
      <c r="I9" s="193"/>
      <c r="J9" s="193"/>
      <c r="O9" s="80"/>
      <c r="R9" s="82"/>
    </row>
    <row r="10" spans="2:20" ht="37.5" customHeight="1" x14ac:dyDescent="0.15">
      <c r="B10" s="1709" t="str">
        <f>IF(N1=2," IDENTIFICATION DU COMITÉ RÉPONDANT (CR)","SQUADRON SPONSORING COMMITTEE Identification")</f>
        <v>SQUADRON SPONSORING COMMITTEE Identification</v>
      </c>
      <c r="C10" s="1709"/>
      <c r="D10" s="1709"/>
      <c r="E10" s="1709"/>
      <c r="F10" s="1709"/>
      <c r="G10" s="1709"/>
      <c r="H10" s="1709"/>
      <c r="I10" s="1709"/>
      <c r="J10" s="1709"/>
      <c r="O10" s="80"/>
      <c r="R10" s="217" t="s">
        <v>139</v>
      </c>
      <c r="T10" s="218" t="str">
        <f>IF(N1=2,"au comité provincial de la ligue avant le 31 octobre "&amp;'Set up ~ Config'!G31,"to the Provincial Committee by 31 October "&amp;'Set up ~ Config'!G31)</f>
        <v xml:space="preserve">to the Provincial Committee by 31 October </v>
      </c>
    </row>
    <row r="11" spans="2:20" ht="25.5" customHeight="1" x14ac:dyDescent="0.15">
      <c r="B11" s="1710" t="str">
        <f>IF(N1=2,"No. d'escadron:","Sqn Number")</f>
        <v>Sqn Number</v>
      </c>
      <c r="C11" s="1710"/>
      <c r="D11" s="949">
        <f>'Set up ~ Config'!H10</f>
        <v>0</v>
      </c>
      <c r="E11" s="948" t="str">
        <f>IF(N1=2,"Nom du Comité:","Committee Name:")</f>
        <v>Committee Name:</v>
      </c>
      <c r="F11" s="1711" t="str">
        <f>'Set up ~ Config'!C10&amp;" "&amp;'Set up ~ Config'!D10</f>
        <v xml:space="preserve">SSC </v>
      </c>
      <c r="G11" s="1711"/>
      <c r="H11" s="1711"/>
      <c r="I11" s="1711"/>
      <c r="J11" s="1711"/>
      <c r="O11" s="80"/>
      <c r="R11" s="82" t="s">
        <v>140</v>
      </c>
    </row>
    <row r="12" spans="2:20" ht="25.5" customHeight="1" x14ac:dyDescent="0.15">
      <c r="B12" s="1703" t="str">
        <f>IF(N1=2,"Comité Provincial (juridiction):","Provincial Committee Jurisdiction:")</f>
        <v>Provincial Committee Jurisdiction:</v>
      </c>
      <c r="C12" s="1703"/>
      <c r="D12" s="1703"/>
      <c r="E12" s="1704">
        <f>'Set up ~ Config'!C11</f>
        <v>0</v>
      </c>
      <c r="F12" s="1704"/>
      <c r="G12" s="1704"/>
      <c r="H12" s="1705" t="e">
        <f>'Cover~Page~Titre'!B58</f>
        <v>#VALUE!</v>
      </c>
      <c r="I12" s="1705"/>
      <c r="J12" s="1705"/>
      <c r="O12" s="80"/>
      <c r="R12" s="82">
        <v>2006</v>
      </c>
    </row>
    <row r="13" spans="2:20" ht="23" customHeight="1" x14ac:dyDescent="0.15">
      <c r="B13" s="1703" t="str">
        <f>IF(N1=2,"Addresse postale - CRE:","SSC Mailing Address:")</f>
        <v>SSC Mailing Address:</v>
      </c>
      <c r="C13" s="1703"/>
      <c r="D13" s="1663">
        <f>'Set up ~ Config'!C12</f>
        <v>0</v>
      </c>
      <c r="E13" s="1663"/>
      <c r="F13" s="1663"/>
      <c r="G13" s="1663"/>
      <c r="H13" s="188"/>
      <c r="I13" s="188"/>
      <c r="J13" s="188"/>
      <c r="O13" s="80"/>
      <c r="R13" s="82">
        <v>2007</v>
      </c>
    </row>
    <row r="14" spans="2:20" ht="23" customHeight="1" x14ac:dyDescent="0.15">
      <c r="D14" s="1699">
        <f>'Set up ~ Config'!C13</f>
        <v>0</v>
      </c>
      <c r="E14" s="1699"/>
      <c r="F14" s="1699"/>
      <c r="G14" s="1699"/>
      <c r="H14" s="188"/>
      <c r="I14" s="188"/>
      <c r="J14" s="188"/>
      <c r="O14" s="80"/>
      <c r="R14" s="82">
        <v>2008</v>
      </c>
    </row>
    <row r="15" spans="2:20" ht="23" customHeight="1" x14ac:dyDescent="0.15">
      <c r="D15" s="1699">
        <f>'Set up ~ Config'!C14</f>
        <v>0</v>
      </c>
      <c r="E15" s="1699"/>
      <c r="F15" s="1699"/>
      <c r="G15" s="1699"/>
      <c r="H15" s="188"/>
      <c r="I15" s="188"/>
      <c r="J15" s="188"/>
      <c r="O15" s="80"/>
      <c r="R15" s="82">
        <v>2009</v>
      </c>
    </row>
    <row r="16" spans="2:20" ht="23" customHeight="1" x14ac:dyDescent="0.15">
      <c r="B16" s="1702" t="str">
        <f>IF(N1=2,"Président(e) du CRE:","SSC Chair:")</f>
        <v>SSC Chair:</v>
      </c>
      <c r="C16" s="1702"/>
      <c r="D16" s="1699">
        <f>'Set up ~ Config'!C15</f>
        <v>0</v>
      </c>
      <c r="E16" s="1699"/>
      <c r="F16" s="1699"/>
      <c r="G16" s="1699"/>
      <c r="H16" s="188"/>
      <c r="I16" s="188"/>
      <c r="J16" s="188"/>
      <c r="O16" s="80"/>
      <c r="R16" s="82">
        <v>2010</v>
      </c>
    </row>
    <row r="17" spans="1:22" ht="25.5" customHeight="1" x14ac:dyDescent="0.15">
      <c r="B17" s="1700" t="str">
        <f>IF(N1=2,"Informations - personne ayant complétée ce rapport (normalement le trésorier):","Person completing this form (normally the treasurer):")</f>
        <v>Person completing this form (normally the treasurer):</v>
      </c>
      <c r="C17" s="1700"/>
      <c r="D17" s="1700"/>
      <c r="E17" s="1700"/>
      <c r="F17" s="1700"/>
      <c r="G17" s="1700"/>
      <c r="H17" s="1700"/>
      <c r="I17" s="1700"/>
      <c r="J17" s="1700"/>
      <c r="M17" s="219"/>
      <c r="O17" s="80"/>
      <c r="R17" s="82">
        <v>2011</v>
      </c>
    </row>
    <row r="18" spans="1:22" ht="23" customHeight="1" x14ac:dyDescent="0.15">
      <c r="C18" s="1694" t="str">
        <f>IF(N1=2,"Nom &amp; Titre:","Name &amp; Title:")</f>
        <v>Name &amp; Title:</v>
      </c>
      <c r="D18" s="1695"/>
      <c r="E18" s="1701">
        <f>'Set up ~ Config'!I20</f>
        <v>0</v>
      </c>
      <c r="F18" s="1699"/>
      <c r="G18" s="1699"/>
      <c r="H18" s="188"/>
      <c r="I18" s="188"/>
      <c r="J18" s="188"/>
      <c r="O18" s="80"/>
      <c r="R18" s="82">
        <v>2012</v>
      </c>
    </row>
    <row r="19" spans="1:22" ht="23" customHeight="1" x14ac:dyDescent="0.15">
      <c r="C19" s="1694" t="str">
        <f>IF(N1=2,"Addresse postale:","Mailing Address:")</f>
        <v>Mailing Address:</v>
      </c>
      <c r="D19" s="1695"/>
      <c r="E19" s="1699">
        <f>'Set up ~ Config'!I21</f>
        <v>0</v>
      </c>
      <c r="F19" s="1699"/>
      <c r="G19" s="1699"/>
      <c r="H19" s="188"/>
      <c r="I19" s="188"/>
      <c r="J19" s="188"/>
      <c r="O19" s="82"/>
      <c r="R19" s="82">
        <v>2013</v>
      </c>
    </row>
    <row r="20" spans="1:22" ht="23" customHeight="1" x14ac:dyDescent="0.15">
      <c r="C20" s="1694" t="str">
        <f>IF(N1=2," Ville, Prov, Code Postal:","City,  Prov. &amp; Postal Code:")</f>
        <v>City,  Prov. &amp; Postal Code:</v>
      </c>
      <c r="D20" s="1695"/>
      <c r="E20" s="1699">
        <f>'Set up ~ Config'!I22</f>
        <v>0</v>
      </c>
      <c r="F20" s="1699"/>
      <c r="G20" s="1699"/>
      <c r="H20" s="188"/>
      <c r="I20" s="188"/>
      <c r="J20" s="188"/>
      <c r="R20" s="82">
        <v>2014</v>
      </c>
    </row>
    <row r="21" spans="1:22" ht="23" customHeight="1" x14ac:dyDescent="0.15">
      <c r="C21" s="1694" t="str">
        <f>IF(N1=2,"Tél 1:  Résidence:","Phone 1:  Residence.:")</f>
        <v>Phone 1:  Residence.:</v>
      </c>
      <c r="D21" s="1695"/>
      <c r="E21" s="1696">
        <f>'Set up ~ Config'!I23</f>
        <v>0</v>
      </c>
      <c r="F21" s="1696"/>
      <c r="G21" s="1696"/>
      <c r="H21" s="1697"/>
      <c r="I21" s="1697"/>
      <c r="O21" s="12" t="s">
        <v>23</v>
      </c>
      <c r="R21" s="82">
        <v>2015</v>
      </c>
    </row>
    <row r="22" spans="1:22" ht="23" customHeight="1" x14ac:dyDescent="0.15">
      <c r="C22" s="1694" t="str">
        <f>IF(N1=2,"Téléphone (Bureau ou Cellulaire) :","Phone (Work or Cell) :")</f>
        <v>Phone (Work or Cell) :</v>
      </c>
      <c r="D22" s="1695"/>
      <c r="E22" s="1696">
        <f>'Set up ~ Config'!I24</f>
        <v>0</v>
      </c>
      <c r="F22" s="1696"/>
      <c r="G22" s="1696"/>
      <c r="H22" s="1697"/>
      <c r="I22" s="1697"/>
      <c r="O22" s="12" t="s">
        <v>26</v>
      </c>
      <c r="R22" s="82">
        <v>2016</v>
      </c>
    </row>
    <row r="23" spans="1:22" ht="23" customHeight="1" x14ac:dyDescent="0.15">
      <c r="C23" s="1694" t="str">
        <f>IF(N1=2,"Courriel:","e-mail:")</f>
        <v>e-mail:</v>
      </c>
      <c r="D23" s="1695"/>
      <c r="E23" s="1696">
        <f>'Set up ~ Config'!I25</f>
        <v>0</v>
      </c>
      <c r="F23" s="1696"/>
      <c r="G23" s="1696"/>
      <c r="H23" s="1697"/>
      <c r="I23" s="1697"/>
      <c r="O23" s="12" t="s">
        <v>141</v>
      </c>
      <c r="R23" s="82">
        <v>2017</v>
      </c>
    </row>
    <row r="24" spans="1:22" ht="23" customHeight="1" x14ac:dyDescent="0.15">
      <c r="H24" s="1697">
        <f>'Set up ~ Config'!C30</f>
        <v>0</v>
      </c>
      <c r="I24" s="1697"/>
      <c r="O24" s="12" t="s">
        <v>142</v>
      </c>
      <c r="R24" s="82">
        <v>2018</v>
      </c>
    </row>
    <row r="25" spans="1:22" ht="5.25" customHeight="1" x14ac:dyDescent="0.15">
      <c r="C25" s="220"/>
      <c r="D25" s="220"/>
      <c r="E25" s="26"/>
      <c r="F25" s="26"/>
      <c r="G25" s="26"/>
      <c r="H25" s="26"/>
      <c r="I25" s="26"/>
      <c r="J25" s="26"/>
      <c r="R25" s="82">
        <v>2019</v>
      </c>
    </row>
    <row r="26" spans="1:22" ht="23" customHeight="1" x14ac:dyDescent="0.15">
      <c r="B26" s="1683" t="str">
        <f>IF(N1=2,"L'escadron est-il un organisme de bienfaisance enregistré (Agence Revenue Canada)?","Is the Squadron Sponsoring Committee a Registered Canadian Charity?")</f>
        <v>Is the Squadron Sponsoring Committee a Registered Canadian Charity?</v>
      </c>
      <c r="C26" s="1683"/>
      <c r="D26" s="1683"/>
      <c r="E26" s="1683"/>
      <c r="F26" s="1683"/>
      <c r="G26" s="1683"/>
      <c r="H26" s="1683"/>
      <c r="I26" s="1683"/>
      <c r="J26" s="943">
        <f>'Set up ~ Config'!C20</f>
        <v>0</v>
      </c>
      <c r="R26" s="82">
        <v>2020</v>
      </c>
    </row>
    <row r="27" spans="1:22" ht="3.75" customHeight="1" x14ac:dyDescent="0.15"/>
    <row r="28" spans="1:22" ht="23" customHeight="1" x14ac:dyDescent="0.15">
      <c r="B28" s="1683" t="str">
        <f>IF(N1=2,"Si oui,  le numéro d'enregistrement est:","If yes,  the Registration Number is:")</f>
        <v>If yes,  the Registration Number is:</v>
      </c>
      <c r="C28" s="1683"/>
      <c r="D28" s="1683"/>
      <c r="E28" s="1683"/>
      <c r="F28" s="1683"/>
      <c r="G28" s="1698" t="str">
        <f>LEFT('Set up ~ Config'!C22,9)</f>
        <v/>
      </c>
      <c r="H28" s="1698"/>
      <c r="I28" s="944" t="s">
        <v>143</v>
      </c>
      <c r="J28" s="945" t="str">
        <f>RIGHT('Set up ~ Config'!C22,4)</f>
        <v/>
      </c>
      <c r="K28" s="222"/>
      <c r="L28" s="222"/>
      <c r="O28" s="1">
        <f>'Set up ~ Config'!P34</f>
        <v>0</v>
      </c>
      <c r="P28" s="1">
        <f>'Set up ~ Config'!Q34</f>
        <v>0</v>
      </c>
      <c r="Q28" s="1">
        <f>'Set up ~ Config'!R34</f>
        <v>0</v>
      </c>
      <c r="R28" s="1">
        <f>'Set up ~ Config'!S34</f>
        <v>0</v>
      </c>
      <c r="S28" s="1">
        <f>'Set up ~ Config'!T34</f>
        <v>0</v>
      </c>
      <c r="T28" s="1">
        <f>'Set up ~ Config'!U34</f>
        <v>0</v>
      </c>
      <c r="U28" s="1">
        <f>'Set up ~ Config'!V34</f>
        <v>0</v>
      </c>
      <c r="V28" s="1">
        <f>'Set up ~ Config'!W34</f>
        <v>0</v>
      </c>
    </row>
    <row r="29" spans="1:22" ht="23" customHeight="1" x14ac:dyDescent="0.15">
      <c r="B29" s="1683" t="str">
        <f>IF(N1=2,"Le numéro d'enregistrement d'entreprise (si applicable):","Business Registration Number (if applicable):")</f>
        <v>Business Registration Number (if applicable):</v>
      </c>
      <c r="C29" s="1683"/>
      <c r="D29" s="1683"/>
      <c r="E29" s="1683"/>
      <c r="F29" s="1683"/>
      <c r="G29" s="1684" t="str">
        <f>LEFT('Set up ~ Config'!C23,9)</f>
        <v/>
      </c>
      <c r="H29" s="1684"/>
      <c r="I29" s="221" t="s">
        <v>144</v>
      </c>
      <c r="J29" s="946" t="str">
        <f>RIGHT('Set up ~ Config'!C23,4)</f>
        <v/>
      </c>
    </row>
    <row r="30" spans="1:22" ht="23" customHeight="1" x14ac:dyDescent="0.15">
      <c r="B30" s="1683" t="str">
        <f>IF(N1=2,"La déclaration renseignements des org. de bienfaisance enregistrés (T3010) a-t-elle été soumise?","Was the past year's Registered Charity Information Return (Form T3010) submitted?")</f>
        <v>Was the past year's Registered Charity Information Return (Form T3010) submitted?</v>
      </c>
      <c r="C30" s="1683"/>
      <c r="D30" s="1683"/>
      <c r="E30" s="1683"/>
      <c r="F30" s="1683"/>
      <c r="G30" s="1683"/>
      <c r="H30" s="1683"/>
      <c r="I30" s="1683"/>
      <c r="J30" s="947">
        <f>'Set up ~ Config'!C24</f>
        <v>0</v>
      </c>
    </row>
    <row r="31" spans="1:22" ht="9.75" customHeight="1" x14ac:dyDescent="0.15"/>
    <row r="32" spans="1:22" s="219" customFormat="1" ht="15" customHeight="1" x14ac:dyDescent="0.15">
      <c r="A32" s="1"/>
      <c r="B32" s="1685" t="str">
        <f>IF(N1=2,"CETTE SECTION DOIT ÊTRE COMPLÉTÉE PAR L'AGENT AUX CONFORMITES FINANCIERES DU CP","THIS SECTION IS TO BE COMPLETED BY THE PC Financial Compliance Officer")</f>
        <v>THIS SECTION IS TO BE COMPLETED BY THE PC Financial Compliance Officer</v>
      </c>
      <c r="C32" s="1686"/>
      <c r="D32" s="1686"/>
      <c r="E32" s="1686"/>
      <c r="F32" s="1686"/>
      <c r="G32" s="1686"/>
      <c r="H32" s="1686"/>
      <c r="I32" s="1686"/>
      <c r="J32" s="1687"/>
      <c r="K32" s="1"/>
      <c r="L32" s="1"/>
      <c r="M32" s="1"/>
      <c r="N32" s="1"/>
      <c r="O32" s="1"/>
      <c r="P32" s="1"/>
      <c r="Q32" s="1"/>
    </row>
    <row r="33" spans="1:20" s="219" customFormat="1" ht="73.5" customHeight="1" x14ac:dyDescent="0.15">
      <c r="A33" s="1"/>
      <c r="B33" s="1688" t="str">
        <f>IF(N1=2,T34,T36)</f>
        <v>The information provided in this ACC9 has been reviewed with due dilligence for completeness, reasonability and compliance in accordance with the League's procedures. This review is not an audit. The financial information included herein appears on its face to be reasonable. Nothing has come to our attention that would indicate the information provided is not reliable and/or fairly stated, except if and as noted in comments attached as annex "A" hereto.</v>
      </c>
      <c r="C33" s="1689"/>
      <c r="D33" s="1689"/>
      <c r="E33" s="1689"/>
      <c r="F33" s="1689"/>
      <c r="G33" s="1689"/>
      <c r="H33" s="1689"/>
      <c r="I33" s="1689"/>
      <c r="J33" s="1690"/>
      <c r="K33" s="1"/>
      <c r="L33" s="1"/>
      <c r="M33" s="1"/>
      <c r="N33" s="1"/>
      <c r="O33" s="1"/>
      <c r="P33" s="1"/>
      <c r="Q33" s="1"/>
    </row>
    <row r="34" spans="1:20" ht="30.75" customHeight="1" x14ac:dyDescent="0.15">
      <c r="A34" s="219"/>
      <c r="B34" s="1691" t="str">
        <f>IF(N1=2,"                                   Cochez cette case si une annexe est jointe","        Check box if annex attached")</f>
        <v xml:space="preserve">        Check box if annex attached</v>
      </c>
      <c r="C34" s="1692"/>
      <c r="D34" s="1692"/>
      <c r="E34" s="1692"/>
      <c r="F34" s="1692"/>
      <c r="G34" s="1692"/>
      <c r="H34" s="1692"/>
      <c r="I34" s="1692"/>
      <c r="J34" s="1693"/>
      <c r="K34" s="219"/>
      <c r="L34" s="219"/>
      <c r="M34" s="219"/>
      <c r="N34" s="219"/>
      <c r="O34" s="219"/>
      <c r="P34" s="219"/>
      <c r="Q34" s="219"/>
      <c r="T34" s="20" t="s">
        <v>549</v>
      </c>
    </row>
    <row r="35" spans="1:20" ht="12" customHeight="1" x14ac:dyDescent="0.15">
      <c r="A35" s="219"/>
      <c r="B35" s="26"/>
      <c r="C35" s="26"/>
      <c r="D35" s="26"/>
      <c r="E35" s="26"/>
      <c r="F35" s="26"/>
      <c r="G35" s="26"/>
      <c r="H35" s="26"/>
      <c r="I35" s="26"/>
      <c r="J35" s="26"/>
      <c r="K35" s="219"/>
      <c r="L35" s="219"/>
      <c r="M35" s="219"/>
      <c r="N35" s="219"/>
      <c r="O35" s="219"/>
      <c r="P35" s="219"/>
      <c r="Q35" s="219"/>
    </row>
    <row r="36" spans="1:20" s="223" customFormat="1" ht="14.25" customHeight="1" x14ac:dyDescent="0.15">
      <c r="A36" s="1"/>
      <c r="B36" s="1676" t="s">
        <v>132</v>
      </c>
      <c r="C36" s="1677"/>
      <c r="D36" s="1678" t="str">
        <f>IF(N1=2,"Nom de l'agent aux conformites financières du CP","PC Financial Compliance Officer (Name)")</f>
        <v>PC Financial Compliance Officer (Name)</v>
      </c>
      <c r="E36" s="1678"/>
      <c r="F36" s="1678"/>
      <c r="G36" s="1678"/>
      <c r="H36" s="1676" t="s">
        <v>145</v>
      </c>
      <c r="I36" s="1679"/>
      <c r="J36" s="1677"/>
      <c r="K36" s="1"/>
      <c r="L36" s="1"/>
      <c r="M36" s="1"/>
      <c r="N36" s="1"/>
      <c r="O36" s="1"/>
      <c r="P36" s="1"/>
      <c r="Q36" s="1"/>
      <c r="T36" s="1263" t="s">
        <v>146</v>
      </c>
    </row>
    <row r="37" spans="1:20" ht="63" customHeight="1" x14ac:dyDescent="0.15">
      <c r="A37" s="223"/>
      <c r="B37" s="1656"/>
      <c r="C37" s="1657"/>
      <c r="D37" s="1658"/>
      <c r="E37" s="1658"/>
      <c r="F37" s="1658"/>
      <c r="G37" s="1658"/>
      <c r="H37" s="1680"/>
      <c r="I37" s="1681"/>
      <c r="J37" s="1682"/>
      <c r="K37" s="223"/>
      <c r="L37" s="223"/>
      <c r="M37" s="223"/>
      <c r="N37" s="223"/>
      <c r="O37" s="223"/>
      <c r="P37" s="223"/>
      <c r="Q37" s="223"/>
    </row>
    <row r="38" spans="1:20" ht="36" customHeight="1" x14ac:dyDescent="0.15">
      <c r="B38" s="1649" t="str">
        <f>IF(N1=2,"Date ACC9 envoyé au CP (aaaa-mm-jj):","Date ACC9 sent to Nat'l by the PC (yyyy-mm-dd):")</f>
        <v>Date ACC9 sent to Nat'l by the PC (yyyy-mm-dd):</v>
      </c>
      <c r="C38" s="1650"/>
      <c r="D38" s="1651"/>
      <c r="E38" s="1654"/>
      <c r="F38" s="1655"/>
      <c r="G38" s="1649" t="str">
        <f>IF(N1=2,"Date reçue au National (aaaa-mm-jj):","Date recieved by National (yyyy-mm-dd):")</f>
        <v>Date recieved by National (yyyy-mm-dd):</v>
      </c>
      <c r="H38" s="1650"/>
      <c r="I38" s="1651"/>
      <c r="J38" s="1262"/>
    </row>
    <row r="39" spans="1:20" ht="16" x14ac:dyDescent="0.15">
      <c r="B39" s="1652"/>
      <c r="C39" s="1652"/>
      <c r="D39" s="224"/>
      <c r="E39" s="1653"/>
      <c r="F39" s="1653"/>
      <c r="G39" s="1653"/>
      <c r="J39" s="225" t="s">
        <v>465</v>
      </c>
    </row>
    <row r="40" spans="1:20" ht="25.5" customHeight="1" x14ac:dyDescent="0.15">
      <c r="B40" s="1662" t="str">
        <f>IF(N1=2,"No. d'escadron:","Sqn Number")</f>
        <v>Sqn Number</v>
      </c>
      <c r="C40" s="1662"/>
      <c r="D40" s="949">
        <f>D11</f>
        <v>0</v>
      </c>
      <c r="E40" s="948" t="str">
        <f>IF(N1=2,"Nom du Comité:","Committee Name:")</f>
        <v>Committee Name:</v>
      </c>
      <c r="F40" s="1663" t="str">
        <f>F11</f>
        <v xml:space="preserve">SSC </v>
      </c>
      <c r="G40" s="1663"/>
      <c r="H40" s="1663"/>
      <c r="I40" s="1663"/>
      <c r="J40" s="108" t="str">
        <f>IF(N1=2,"Annexe A","Annex A")</f>
        <v>Annex A</v>
      </c>
    </row>
    <row r="41" spans="1:20" ht="39" customHeight="1" x14ac:dyDescent="0.15">
      <c r="B41" s="1664" t="str">
        <f>IF(N1=2,"COMMENTAIRES DE L'AGENT AUX CONFORMITES FINANCIERES DU CP (s'il y a lieu):","ANNOTATIONS &amp; COMMENTS by PC FINANCIAL COMPLIANCE OFFICER (if any):")</f>
        <v>ANNOTATIONS &amp; COMMENTS by PC FINANCIAL COMPLIANCE OFFICER (if any):</v>
      </c>
      <c r="C41" s="1664"/>
      <c r="D41" s="1664"/>
      <c r="E41" s="1664"/>
      <c r="F41" s="1664"/>
      <c r="G41" s="1664"/>
      <c r="H41" s="1664"/>
      <c r="I41" s="1664"/>
      <c r="J41" s="1664"/>
    </row>
    <row r="42" spans="1:20" ht="23.25" customHeight="1" x14ac:dyDescent="0.15">
      <c r="B42" s="1665" t="e">
        <f>'Cover~Page~Titre'!B58:Y58</f>
        <v>#VALUE!</v>
      </c>
      <c r="C42" s="1665"/>
      <c r="D42" s="1665"/>
      <c r="E42" s="1665"/>
      <c r="F42" s="1665"/>
      <c r="G42" s="1665"/>
      <c r="H42" s="1665"/>
      <c r="I42" s="1665"/>
      <c r="J42" s="1665"/>
    </row>
    <row r="43" spans="1:20" ht="334.5" customHeight="1" x14ac:dyDescent="0.15">
      <c r="B43" s="1666">
        <v>1</v>
      </c>
      <c r="C43" s="1667"/>
      <c r="D43" s="1668"/>
      <c r="E43" s="1668"/>
      <c r="F43" s="1668"/>
      <c r="G43" s="1668"/>
      <c r="H43" s="1668"/>
      <c r="I43" s="1668"/>
      <c r="J43" s="1669"/>
      <c r="K43" s="227"/>
    </row>
    <row r="44" spans="1:20" ht="80.25" customHeight="1" x14ac:dyDescent="0.15">
      <c r="B44" s="1666"/>
      <c r="C44" s="1670"/>
      <c r="D44" s="1671"/>
      <c r="E44" s="1671"/>
      <c r="F44" s="1671"/>
      <c r="G44" s="1671"/>
      <c r="H44" s="1671"/>
      <c r="I44" s="1671"/>
      <c r="J44" s="1672"/>
      <c r="K44" s="227"/>
    </row>
    <row r="45" spans="1:20" ht="409.5" customHeight="1" x14ac:dyDescent="0.15">
      <c r="A45" s="10"/>
      <c r="B45" s="226">
        <v>2</v>
      </c>
      <c r="C45" s="1673"/>
      <c r="D45" s="1674"/>
      <c r="E45" s="1674"/>
      <c r="F45" s="1674"/>
      <c r="G45" s="1674"/>
      <c r="H45" s="1674"/>
      <c r="I45" s="1674"/>
      <c r="J45" s="1675"/>
      <c r="K45" s="227"/>
    </row>
    <row r="46" spans="1:20" ht="19.5" customHeight="1" x14ac:dyDescent="0.15">
      <c r="B46" s="228"/>
      <c r="C46" s="229"/>
      <c r="D46" s="230"/>
      <c r="E46" s="230"/>
      <c r="F46" s="230"/>
      <c r="G46" s="230"/>
      <c r="H46" s="230"/>
      <c r="I46" s="230"/>
      <c r="J46" s="231"/>
    </row>
    <row r="47" spans="1:20" ht="29.25" customHeight="1" x14ac:dyDescent="0.15">
      <c r="B47" s="1676" t="s">
        <v>132</v>
      </c>
      <c r="C47" s="1677"/>
      <c r="D47" s="1678" t="str">
        <f>IF(N1=2,"Nom de l'agent aux conformites financières du CP","PC Financial Compliance Officer (Name)")</f>
        <v>PC Financial Compliance Officer (Name)</v>
      </c>
      <c r="E47" s="1678"/>
      <c r="F47" s="1678"/>
      <c r="G47" s="1678"/>
      <c r="H47" s="1676" t="s">
        <v>145</v>
      </c>
      <c r="I47" s="1679"/>
      <c r="J47" s="1677"/>
    </row>
    <row r="48" spans="1:20" ht="35.25" customHeight="1" x14ac:dyDescent="0.15">
      <c r="B48" s="1656"/>
      <c r="C48" s="1657"/>
      <c r="D48" s="1658"/>
      <c r="E48" s="1658"/>
      <c r="F48" s="1658"/>
      <c r="G48" s="1658"/>
      <c r="H48" s="1659"/>
      <c r="I48" s="1660"/>
      <c r="J48" s="1661"/>
    </row>
    <row r="49" spans="2:10" ht="14.25" customHeight="1" x14ac:dyDescent="0.15">
      <c r="B49" s="18"/>
      <c r="C49" s="18"/>
      <c r="D49" s="18"/>
      <c r="E49" s="18"/>
      <c r="F49" s="18"/>
      <c r="G49" s="18"/>
      <c r="H49" s="18"/>
      <c r="I49" s="18"/>
      <c r="J49" s="225" t="s">
        <v>147</v>
      </c>
    </row>
    <row r="51" spans="2:10" ht="20.25" customHeight="1" x14ac:dyDescent="0.15"/>
  </sheetData>
  <sheetProtection algorithmName="SHA-512" hashValue="Q3gmsl66LaIQpxa3lJ2q5HrQC1nljcrEwFHB2vfTN6rVDwsQRRIZd+hiOPSrjX+qSAXeTpPsO7IRBVJaL+zGGA==" saltValue="KPEsMF2gDi10V8pp0B0x9w==" spinCount="100000" sheet="1" scenarios="1" selectLockedCells="1"/>
  <mergeCells count="70">
    <mergeCell ref="B1:J1"/>
    <mergeCell ref="B2:J2"/>
    <mergeCell ref="B3:E3"/>
    <mergeCell ref="B4:J4"/>
    <mergeCell ref="B5:J5"/>
    <mergeCell ref="B6:J6"/>
    <mergeCell ref="B7:J7"/>
    <mergeCell ref="B8:J8"/>
    <mergeCell ref="B10:J10"/>
    <mergeCell ref="B11:C11"/>
    <mergeCell ref="F11:J11"/>
    <mergeCell ref="B12:D12"/>
    <mergeCell ref="E12:G12"/>
    <mergeCell ref="H12:J12"/>
    <mergeCell ref="B13:C13"/>
    <mergeCell ref="D13:G13"/>
    <mergeCell ref="D14:G14"/>
    <mergeCell ref="D15:G15"/>
    <mergeCell ref="D16:G16"/>
    <mergeCell ref="B17:J17"/>
    <mergeCell ref="C18:D18"/>
    <mergeCell ref="E18:G18"/>
    <mergeCell ref="B16:C16"/>
    <mergeCell ref="H21:I21"/>
    <mergeCell ref="C22:D22"/>
    <mergeCell ref="H22:I22"/>
    <mergeCell ref="C19:D19"/>
    <mergeCell ref="E19:G19"/>
    <mergeCell ref="C20:D20"/>
    <mergeCell ref="E20:G20"/>
    <mergeCell ref="C21:D21"/>
    <mergeCell ref="E21:G21"/>
    <mergeCell ref="E22:G22"/>
    <mergeCell ref="C23:D23"/>
    <mergeCell ref="E23:G23"/>
    <mergeCell ref="H24:I24"/>
    <mergeCell ref="B26:I26"/>
    <mergeCell ref="B28:F28"/>
    <mergeCell ref="G28:H28"/>
    <mergeCell ref="H23:I23"/>
    <mergeCell ref="B37:C37"/>
    <mergeCell ref="D37:G37"/>
    <mergeCell ref="H37:J37"/>
    <mergeCell ref="B29:F29"/>
    <mergeCell ref="G29:H29"/>
    <mergeCell ref="B30:I30"/>
    <mergeCell ref="B32:J32"/>
    <mergeCell ref="B33:J33"/>
    <mergeCell ref="B34:J34"/>
    <mergeCell ref="B36:C36"/>
    <mergeCell ref="D36:G36"/>
    <mergeCell ref="H36:J36"/>
    <mergeCell ref="B48:C48"/>
    <mergeCell ref="D48:G48"/>
    <mergeCell ref="H48:J48"/>
    <mergeCell ref="B40:C40"/>
    <mergeCell ref="F40:I40"/>
    <mergeCell ref="B41:J41"/>
    <mergeCell ref="B42:J42"/>
    <mergeCell ref="B43:B44"/>
    <mergeCell ref="C43:J44"/>
    <mergeCell ref="C45:J45"/>
    <mergeCell ref="B47:C47"/>
    <mergeCell ref="D47:G47"/>
    <mergeCell ref="H47:J47"/>
    <mergeCell ref="B38:D38"/>
    <mergeCell ref="B39:C39"/>
    <mergeCell ref="E39:G39"/>
    <mergeCell ref="E38:F38"/>
    <mergeCell ref="G38:I38"/>
  </mergeCells>
  <conditionalFormatting sqref="D13:D16 H13:J16 D11 F11:J11 E12:G12 E18:E20 H18:J20 H21:H24">
    <cfRule type="cellIs" dxfId="27" priority="3" operator="equal">
      <formula>0</formula>
    </cfRule>
  </conditionalFormatting>
  <conditionalFormatting sqref="D16 H16:J16">
    <cfRule type="cellIs" dxfId="26" priority="2" operator="equal">
      <formula>0</formula>
    </cfRule>
  </conditionalFormatting>
  <dataValidations count="2">
    <dataValidation allowBlank="1" showInputMessage="1" showErrorMessage="1" promptTitle="year selection" prompt="Click down arrow, cursor to the appropriate year end, hit enter key" sqref="R9 R12:R13" xr:uid="{00000000-0002-0000-0B00-000000000000}">
      <formula1>0</formula1>
      <formula2>0</formula2>
    </dataValidation>
    <dataValidation allowBlank="1" showErrorMessage="1" promptTitle="message" prompt="Scroll down the list and select your appropriate jurisdiction" sqref="E12:G12" xr:uid="{00000000-0002-0000-0B00-000001000000}">
      <formula1>0</formula1>
      <formula2>0</formula2>
    </dataValidation>
  </dataValidations>
  <printOptions horizontalCentered="1"/>
  <pageMargins left="0.55972222222222201" right="0.17013888888888901" top="0.42986111111111103" bottom="0.31527777777777799" header="0.511811023622047" footer="0.511811023622047"/>
  <pageSetup scale="70" orientation="portrait" horizontalDpi="300" verticalDpi="300" r:id="rId1"/>
  <rowBreaks count="1" manualBreakCount="1">
    <brk id="39" max="16383" man="1"/>
  </rowBreaks>
  <ignoredErrors>
    <ignoredError sqref="H12 B4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5</xdr:col>
                    <xdr:colOff>177800</xdr:colOff>
                    <xdr:row>32</xdr:row>
                    <xdr:rowOff>889000</xdr:rowOff>
                  </from>
                  <to>
                    <xdr:col>5</xdr:col>
                    <xdr:colOff>482600</xdr:colOff>
                    <xdr:row>33</xdr:row>
                    <xdr:rowOff>254000</xdr:rowOff>
                  </to>
                </anchor>
              </controlPr>
            </control>
          </mc:Choice>
        </mc:AlternateContent>
      </controls>
    </mc:Choice>
  </mc:AlternateContent>
  <tableParts count="1">
    <tablePart r:id="rId5"/>
  </tablePart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19</vt:i4>
      </vt:variant>
      <vt:variant>
        <vt:lpstr>Named Ranges</vt:lpstr>
      </vt:variant>
      <vt:variant>
        <vt:i4>41</vt:i4>
      </vt:variant>
    </vt:vector>
  </HeadingPairs>
  <TitlesOfParts>
    <vt:vector size="60" baseType="lpstr">
      <vt:lpstr>Set up ~ Config</vt:lpstr>
      <vt:lpstr>Jrnl Rev</vt:lpstr>
      <vt:lpstr>Jrnl Exp ~ Dép</vt:lpstr>
      <vt:lpstr>Transactions</vt:lpstr>
      <vt:lpstr>Reconciliation</vt:lpstr>
      <vt:lpstr>Budget Tracker~Suivi</vt:lpstr>
      <vt:lpstr>DND Claims~Réclam MDN</vt:lpstr>
      <vt:lpstr>Cover~Page~Titre</vt:lpstr>
      <vt:lpstr>ACC9 (Page 1) ID</vt:lpstr>
      <vt:lpstr>ACC9 (Pages 2-3) Rev</vt:lpstr>
      <vt:lpstr>ACC9 (Pages 4-5-6) Exp~Dép</vt:lpstr>
      <vt:lpstr>ACC9 (Page 7-8) Bal Sh~Bilan</vt:lpstr>
      <vt:lpstr>ACC9 (Pages 9-11) Assets~Immo</vt:lpstr>
      <vt:lpstr>T3010</vt:lpstr>
      <vt:lpstr>TP-985.22-V</vt:lpstr>
      <vt:lpstr>Remise~Tax.~Rebate</vt:lpstr>
      <vt:lpstr>Data~Transf.~Données</vt:lpstr>
      <vt:lpstr>Budget Next FY~Proch. AF</vt:lpstr>
      <vt:lpstr>Roll Up Pgm</vt:lpstr>
      <vt:lpstr>BestTime</vt:lpstr>
      <vt:lpstr>DebutAnnee</vt:lpstr>
      <vt:lpstr>Reconciliation!EndOfYear</vt:lpstr>
      <vt:lpstr>FY</vt:lpstr>
      <vt:lpstr>jurisdiction</vt:lpstr>
      <vt:lpstr>'ACC9 (Page 1) ID'!Print_Area</vt:lpstr>
      <vt:lpstr>'ACC9 (Page 7-8) Bal Sh~Bilan'!Print_Area</vt:lpstr>
      <vt:lpstr>'ACC9 (Pages 2-3) Rev'!Print_Area</vt:lpstr>
      <vt:lpstr>'ACC9 (Pages 4-5-6) Exp~Dép'!Print_Area</vt:lpstr>
      <vt:lpstr>'ACC9 (Pages 9-11) Assets~Immo'!Print_Area</vt:lpstr>
      <vt:lpstr>'Budget Next FY~Proch. AF'!Print_Area</vt:lpstr>
      <vt:lpstr>'Budget Tracker~Suivi'!Print_Area</vt:lpstr>
      <vt:lpstr>'Cover~Page~Titre'!Print_Area</vt:lpstr>
      <vt:lpstr>'Data~Transf.~Données'!Print_Area</vt:lpstr>
      <vt:lpstr>'DND Claims~Réclam MDN'!Print_Area</vt:lpstr>
      <vt:lpstr>'Jrnl Exp ~ Dép'!Print_Area</vt:lpstr>
      <vt:lpstr>'Jrnl Rev'!Print_Area</vt:lpstr>
      <vt:lpstr>Reconciliation!Print_Area</vt:lpstr>
      <vt:lpstr>'Remise~Tax.~Rebate'!Print_Area</vt:lpstr>
      <vt:lpstr>'Set up ~ Config'!Print_Area</vt:lpstr>
      <vt:lpstr>'T3010'!Print_Area</vt:lpstr>
      <vt:lpstr>'TP-985.22-V'!Print_Area</vt:lpstr>
      <vt:lpstr>Transactions!Print_Area</vt:lpstr>
      <vt:lpstr>'ACC9 (Pages 2-3) Rev'!Print_Titles</vt:lpstr>
      <vt:lpstr>'ACC9 (Pages 4-5-6) Exp~Dép'!Print_Titles</vt:lpstr>
      <vt:lpstr>'ACC9 (Pages 9-11) Assets~Immo'!Print_Titles</vt:lpstr>
      <vt:lpstr>'Budget Next FY~Proch. AF'!Print_Titles</vt:lpstr>
      <vt:lpstr>'Budget Tracker~Suivi'!Print_Titles</vt:lpstr>
      <vt:lpstr>'DND Claims~Réclam MDN'!Print_Titles</vt:lpstr>
      <vt:lpstr>'Jrnl Exp ~ Dép'!Print_Titles</vt:lpstr>
      <vt:lpstr>'Jrnl Rev'!Print_Titles</vt:lpstr>
      <vt:lpstr>Reconciliation!Print_Titles</vt:lpstr>
      <vt:lpstr>'Remise~Tax.~Rebate'!Print_Titles</vt:lpstr>
      <vt:lpstr>'Set up ~ Config'!Print_Titles</vt:lpstr>
      <vt:lpstr>'T3010'!Print_Titles</vt:lpstr>
      <vt:lpstr>'TP-985.22-V'!Print_Titles</vt:lpstr>
      <vt:lpstr>Transactions!Print_Titles</vt:lpstr>
      <vt:lpstr>'Data~Transf.~Données'!Prov</vt:lpstr>
      <vt:lpstr>'Data~Transf.~Données'!Rate</vt:lpstr>
      <vt:lpstr>StartOfYear</vt:lpstr>
      <vt:lpstr>TodayDate</vt:lpstr>
    </vt:vector>
  </TitlesOfParts>
  <Company>Air Cadet League of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ACC-9  Multi Account V2019.01</dc:title>
  <dc:subject/>
  <dc:creator>Rick Brooks;Andre Guilbault</dc:creator>
  <dc:description/>
  <cp:lastModifiedBy>ACL ED</cp:lastModifiedBy>
  <cp:revision>1</cp:revision>
  <cp:lastPrinted>2024-02-17T23:12:31Z</cp:lastPrinted>
  <dcterms:created xsi:type="dcterms:W3CDTF">1997-11-22T21:54:10Z</dcterms:created>
  <dcterms:modified xsi:type="dcterms:W3CDTF">2025-08-13T18:53:54Z</dcterms:modified>
  <dc:language>en-CA</dc:language>
</cp:coreProperties>
</file>